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7"/>
  <workbookPr filterPrivacy="1" codeName="ThisWorkbook"/>
  <xr:revisionPtr revIDLastSave="0" documentId="13_ncr:1_{7D1713E7-9293-6641-8E09-83FCE1017DBA}" xr6:coauthVersionLast="47" xr6:coauthVersionMax="47" xr10:uidLastSave="{00000000-0000-0000-0000-000000000000}"/>
  <bookViews>
    <workbookView xWindow="0" yWindow="0" windowWidth="28800" windowHeight="18000" tabRatio="1000" activeTab="10" xr2:uid="{00000000-000D-0000-FFFF-FFFF00000000}"/>
  </bookViews>
  <sheets>
    <sheet name="Profit reco" sheetId="40" state="hidden" r:id="rId1"/>
    <sheet name="BS" sheetId="2" r:id="rId2"/>
    <sheet name="PL" sheetId="1" r:id="rId3"/>
    <sheet name="Cash flow" sheetId="35" r:id="rId4"/>
    <sheet name="Notes" sheetId="5" r:id="rId5"/>
    <sheet name="SOCE" sheetId="10" r:id="rId6"/>
    <sheet name="cash loss" sheetId="107" state="hidden" r:id="rId7"/>
    <sheet name="Accounting Policies(2)" sheetId="41" r:id="rId8"/>
    <sheet name="FA" sheetId="6" r:id="rId9"/>
    <sheet name="Employee benefits Note 35" sheetId="46" r:id="rId10"/>
    <sheet name="Note 36" sheetId="86" r:id="rId11"/>
    <sheet name="Note 37 ratios" sheetId="108" r:id="rId12"/>
    <sheet name="Note 38 FVM_1" sheetId="22" r:id="rId13"/>
    <sheet name="Note 38 FRM1_credit &amp; liquidity" sheetId="23" r:id="rId14"/>
    <sheet name="Note 38 FRM2_Currency &amp; price" sheetId="24" r:id="rId15"/>
    <sheet name="Notes 39 to 41" sheetId="47" r:id="rId16"/>
    <sheet name="Notes 42 to 43" sheetId="45" r:id="rId17"/>
    <sheet name="BS Grouping" sheetId="101" r:id="rId18"/>
    <sheet name="TB Other" sheetId="110" r:id="rId19"/>
    <sheet name="PL Grouping" sheetId="102" r:id="rId20"/>
    <sheet name="TB CY" sheetId="104" r:id="rId21"/>
    <sheet name="TB PY" sheetId="103" r:id="rId22"/>
    <sheet name="Sheet2" sheetId="114" r:id="rId23"/>
    <sheet name="AE 21_22" sheetId="105" state="hidden" r:id="rId24"/>
    <sheet name="AE 22_23" sheetId="111" state="hidden" r:id="rId25"/>
    <sheet name="Sales return" sheetId="42" state="hidden" r:id="rId26"/>
    <sheet name="SDS JBA" sheetId="106" state="hidden" r:id="rId27"/>
    <sheet name="ROU" sheetId="32" state="hidden" r:id="rId28"/>
    <sheet name="Deferred tax 22-23" sheetId="112" state="hidden" r:id="rId29"/>
    <sheet name="Deferred tax 21-22" sheetId="109" state="hidden" r:id="rId30"/>
    <sheet name="Deferred tax 20-21" sheetId="99" state="hidden" r:id="rId31"/>
    <sheet name="Deferred tax 19-20" sheetId="69" state="hidden" r:id="rId32"/>
    <sheet name="Deferred tax 18-19" sheetId="70" state="hidden" r:id="rId33"/>
    <sheet name="Dep as per IT" sheetId="71" state="hidden" r:id="rId34"/>
  </sheets>
  <externalReferences>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s>
  <definedNames>
    <definedName name="_" localSheetId="7">'[4]For Excel'!#REF!</definedName>
    <definedName name="_" localSheetId="32">'[4]For Excel'!#REF!</definedName>
    <definedName name="_">'[4]For Excel'!#REF!</definedName>
    <definedName name="__" localSheetId="7">'[4]For Excel'!#REF!</definedName>
    <definedName name="__" localSheetId="32">'[4]For Excel'!#REF!</definedName>
    <definedName name="__">'[4]For Excel'!#REF!</definedName>
    <definedName name="___" localSheetId="7">'[4]For Excel'!#REF!</definedName>
    <definedName name="___" localSheetId="32">'[4]For Excel'!#REF!</definedName>
    <definedName name="___">'[4]For Excel'!#REF!</definedName>
    <definedName name="______________FEb1" localSheetId="7">'[5]PL PBC'!#REF!</definedName>
    <definedName name="______________FEb1" localSheetId="32">'[5]PL PBC'!#REF!</definedName>
    <definedName name="______________FEb1" localSheetId="26">'[5]PL PBC'!#REF!</definedName>
    <definedName name="______________FEb1">'[5]PL PBC'!#REF!</definedName>
    <definedName name="______________ist1" localSheetId="7">'[5]PL PBC'!#REF!</definedName>
    <definedName name="______________ist1" localSheetId="32">'[5]PL PBC'!#REF!</definedName>
    <definedName name="______________ist1" localSheetId="26">'[5]PL PBC'!#REF!</definedName>
    <definedName name="______________ist1">'[5]PL PBC'!#REF!</definedName>
    <definedName name="______________TB1" localSheetId="7">#REF!</definedName>
    <definedName name="______________TB1" localSheetId="32">#REF!</definedName>
    <definedName name="______________TB1" localSheetId="26">#REF!</definedName>
    <definedName name="______________TB1">#REF!</definedName>
    <definedName name="_____________FEb1" localSheetId="7">'[5]PL PBC'!#REF!</definedName>
    <definedName name="_____________FEb1" localSheetId="32">'[5]PL PBC'!#REF!</definedName>
    <definedName name="_____________FEb1">'[5]PL PBC'!#REF!</definedName>
    <definedName name="_____________ist1" localSheetId="7">'[5]PL PBC'!#REF!</definedName>
    <definedName name="_____________ist1" localSheetId="32">'[5]PL PBC'!#REF!</definedName>
    <definedName name="_____________ist1">'[5]PL PBC'!#REF!</definedName>
    <definedName name="____________FEb1" localSheetId="7">'[5]PL PBC'!#REF!</definedName>
    <definedName name="____________FEb1" localSheetId="32">'[5]PL PBC'!#REF!</definedName>
    <definedName name="____________FEb1" localSheetId="26">'[5]PL PBC'!#REF!</definedName>
    <definedName name="____________FEb1">'[5]PL PBC'!#REF!</definedName>
    <definedName name="____________ist1" localSheetId="7">'[5]PL PBC'!#REF!</definedName>
    <definedName name="____________ist1" localSheetId="32">'[5]PL PBC'!#REF!</definedName>
    <definedName name="____________ist1" localSheetId="26">'[5]PL PBC'!#REF!</definedName>
    <definedName name="____________ist1">'[5]PL PBC'!#REF!</definedName>
    <definedName name="____________TB1" localSheetId="7">#REF!</definedName>
    <definedName name="____________TB1" localSheetId="32">#REF!</definedName>
    <definedName name="____________TB1" localSheetId="26">#REF!</definedName>
    <definedName name="____________TB1">#REF!</definedName>
    <definedName name="___________FEb1" localSheetId="7">'[5]PL PBC'!#REF!</definedName>
    <definedName name="___________FEb1" localSheetId="32">'[5]PL PBC'!#REF!</definedName>
    <definedName name="___________FEb1" localSheetId="26">'[5]PL PBC'!#REF!</definedName>
    <definedName name="___________FEb1">'[5]PL PBC'!#REF!</definedName>
    <definedName name="___________ist1" localSheetId="7">'[5]PL PBC'!#REF!</definedName>
    <definedName name="___________ist1" localSheetId="32">'[5]PL PBC'!#REF!</definedName>
    <definedName name="___________ist1" localSheetId="26">'[5]PL PBC'!#REF!</definedName>
    <definedName name="___________ist1">'[5]PL PBC'!#REF!</definedName>
    <definedName name="___________TB1" localSheetId="7">#REF!</definedName>
    <definedName name="___________TB1" localSheetId="32">#REF!</definedName>
    <definedName name="___________TB1" localSheetId="26">#REF!</definedName>
    <definedName name="___________TB1">#REF!</definedName>
    <definedName name="__________col1" localSheetId="7">#REF!</definedName>
    <definedName name="__________col1" localSheetId="32">#REF!</definedName>
    <definedName name="__________col1">#REF!</definedName>
    <definedName name="__________col10" localSheetId="7">#REF!</definedName>
    <definedName name="__________col10" localSheetId="32">#REF!</definedName>
    <definedName name="__________col10">#REF!</definedName>
    <definedName name="__________col11" localSheetId="7">#REF!</definedName>
    <definedName name="__________col11" localSheetId="32">#REF!</definedName>
    <definedName name="__________col11">#REF!</definedName>
    <definedName name="__________col12" localSheetId="7">#REF!</definedName>
    <definedName name="__________col12" localSheetId="32">#REF!</definedName>
    <definedName name="__________col12">#REF!</definedName>
    <definedName name="__________col13" localSheetId="7">#REF!</definedName>
    <definedName name="__________col13" localSheetId="32">#REF!</definedName>
    <definedName name="__________col13">#REF!</definedName>
    <definedName name="__________col2" localSheetId="7">#REF!</definedName>
    <definedName name="__________col2" localSheetId="32">#REF!</definedName>
    <definedName name="__________col2">#REF!</definedName>
    <definedName name="__________col3" localSheetId="7">#REF!</definedName>
    <definedName name="__________col3" localSheetId="32">#REF!</definedName>
    <definedName name="__________col3">#REF!</definedName>
    <definedName name="__________col4" localSheetId="7">#REF!</definedName>
    <definedName name="__________col4" localSheetId="32">#REF!</definedName>
    <definedName name="__________col4">#REF!</definedName>
    <definedName name="__________col5" localSheetId="7">#REF!</definedName>
    <definedName name="__________col5" localSheetId="32">#REF!</definedName>
    <definedName name="__________col5">#REF!</definedName>
    <definedName name="__________col6" localSheetId="7">#REF!</definedName>
    <definedName name="__________col6" localSheetId="32">#REF!</definedName>
    <definedName name="__________col6">#REF!</definedName>
    <definedName name="__________col7" localSheetId="7">#REF!</definedName>
    <definedName name="__________col7" localSheetId="32">#REF!</definedName>
    <definedName name="__________col7">#REF!</definedName>
    <definedName name="__________col8" localSheetId="7">#REF!</definedName>
    <definedName name="__________col8" localSheetId="32">#REF!</definedName>
    <definedName name="__________col8">#REF!</definedName>
    <definedName name="__________col9" localSheetId="7">#REF!</definedName>
    <definedName name="__________col9" localSheetId="32">#REF!</definedName>
    <definedName name="__________col9">#REF!</definedName>
    <definedName name="__________FEb1" localSheetId="7">'[5]PL PBC'!#REF!</definedName>
    <definedName name="__________FEb1" localSheetId="32">'[5]PL PBC'!#REF!</definedName>
    <definedName name="__________FEb1" localSheetId="26">'[5]PL PBC'!#REF!</definedName>
    <definedName name="__________FEb1">'[5]PL PBC'!#REF!</definedName>
    <definedName name="__________ist1" localSheetId="7">'[5]PL PBC'!#REF!</definedName>
    <definedName name="__________ist1" localSheetId="32">'[5]PL PBC'!#REF!</definedName>
    <definedName name="__________ist1" localSheetId="26">'[5]PL PBC'!#REF!</definedName>
    <definedName name="__________ist1">'[5]PL PBC'!#REF!</definedName>
    <definedName name="__________MAR9091" localSheetId="7">'[6]TRIAL BALANCE'!#REF!</definedName>
    <definedName name="__________MAR9091" localSheetId="32">'[6]TRIAL BALANCE'!#REF!</definedName>
    <definedName name="__________MAR9091">'[6]TRIAL BALANCE'!#REF!</definedName>
    <definedName name="__________qih1" localSheetId="7">#REF!</definedName>
    <definedName name="__________qih1" localSheetId="32">#REF!</definedName>
    <definedName name="__________qih1" localSheetId="26">#REF!</definedName>
    <definedName name="__________qih1">#REF!</definedName>
    <definedName name="__________TB1" localSheetId="7">#REF!</definedName>
    <definedName name="__________TB1" localSheetId="32">#REF!</definedName>
    <definedName name="__________TB1" localSheetId="26">#REF!</definedName>
    <definedName name="__________TB1">#REF!</definedName>
    <definedName name="_________col1" localSheetId="7">#REF!</definedName>
    <definedName name="_________col1" localSheetId="32">#REF!</definedName>
    <definedName name="_________col1">#REF!</definedName>
    <definedName name="_________col10" localSheetId="7">#REF!</definedName>
    <definedName name="_________col10" localSheetId="32">#REF!</definedName>
    <definedName name="_________col10">#REF!</definedName>
    <definedName name="_________col11" localSheetId="7">#REF!</definedName>
    <definedName name="_________col11" localSheetId="32">#REF!</definedName>
    <definedName name="_________col11">#REF!</definedName>
    <definedName name="_________col12" localSheetId="7">#REF!</definedName>
    <definedName name="_________col12" localSheetId="32">#REF!</definedName>
    <definedName name="_________col12">#REF!</definedName>
    <definedName name="_________col13" localSheetId="7">#REF!</definedName>
    <definedName name="_________col13" localSheetId="32">#REF!</definedName>
    <definedName name="_________col13">#REF!</definedName>
    <definedName name="_________col2" localSheetId="7">#REF!</definedName>
    <definedName name="_________col2" localSheetId="32">#REF!</definedName>
    <definedName name="_________col2">#REF!</definedName>
    <definedName name="_________col3" localSheetId="7">#REF!</definedName>
    <definedName name="_________col3" localSheetId="32">#REF!</definedName>
    <definedName name="_________col3">#REF!</definedName>
    <definedName name="_________col4" localSheetId="7">#REF!</definedName>
    <definedName name="_________col4" localSheetId="32">#REF!</definedName>
    <definedName name="_________col4">#REF!</definedName>
    <definedName name="_________col5" localSheetId="7">#REF!</definedName>
    <definedName name="_________col5" localSheetId="32">#REF!</definedName>
    <definedName name="_________col5">#REF!</definedName>
    <definedName name="_________col6" localSheetId="7">#REF!</definedName>
    <definedName name="_________col6" localSheetId="32">#REF!</definedName>
    <definedName name="_________col6">#REF!</definedName>
    <definedName name="_________col7" localSheetId="7">#REF!</definedName>
    <definedName name="_________col7" localSheetId="32">#REF!</definedName>
    <definedName name="_________col7">#REF!</definedName>
    <definedName name="_________col8" localSheetId="7">#REF!</definedName>
    <definedName name="_________col8" localSheetId="32">#REF!</definedName>
    <definedName name="_________col8">#REF!</definedName>
    <definedName name="_________col9" localSheetId="7">#REF!</definedName>
    <definedName name="_________col9" localSheetId="32">#REF!</definedName>
    <definedName name="_________col9">#REF!</definedName>
    <definedName name="_________FEb1" localSheetId="7">'[5]PL PBC'!#REF!</definedName>
    <definedName name="_________FEb1" localSheetId="32">'[5]PL PBC'!#REF!</definedName>
    <definedName name="_________FEb1" localSheetId="26">'[5]PL PBC'!#REF!</definedName>
    <definedName name="_________FEb1">'[5]PL PBC'!#REF!</definedName>
    <definedName name="_________ist1" localSheetId="7">'[5]PL PBC'!#REF!</definedName>
    <definedName name="_________ist1" localSheetId="32">'[5]PL PBC'!#REF!</definedName>
    <definedName name="_________ist1" localSheetId="26">'[5]PL PBC'!#REF!</definedName>
    <definedName name="_________ist1">'[5]PL PBC'!#REF!</definedName>
    <definedName name="_________MAR9091" localSheetId="7">'[7]TRIAL BALANCE'!#REF!</definedName>
    <definedName name="_________MAR9091" localSheetId="32">'[7]TRIAL BALANCE'!#REF!</definedName>
    <definedName name="_________MAR9091">'[7]TRIAL BALANCE'!#REF!</definedName>
    <definedName name="_________qih1" localSheetId="7">#REF!</definedName>
    <definedName name="_________qih1" localSheetId="32">#REF!</definedName>
    <definedName name="_________qih1" localSheetId="26">#REF!</definedName>
    <definedName name="_________qih1">#REF!</definedName>
    <definedName name="_________TB1" localSheetId="7">#REF!</definedName>
    <definedName name="_________TB1" localSheetId="32">#REF!</definedName>
    <definedName name="_________TB1" localSheetId="26">#REF!</definedName>
    <definedName name="_________TB1">#REF!</definedName>
    <definedName name="________col1" localSheetId="7">#REF!</definedName>
    <definedName name="________col1" localSheetId="32">#REF!</definedName>
    <definedName name="________col1">#REF!</definedName>
    <definedName name="________col10" localSheetId="7">#REF!</definedName>
    <definedName name="________col10" localSheetId="32">#REF!</definedName>
    <definedName name="________col10">#REF!</definedName>
    <definedName name="________col11" localSheetId="7">#REF!</definedName>
    <definedName name="________col11" localSheetId="32">#REF!</definedName>
    <definedName name="________col11">#REF!</definedName>
    <definedName name="________col12" localSheetId="7">#REF!</definedName>
    <definedName name="________col12" localSheetId="32">#REF!</definedName>
    <definedName name="________col12">#REF!</definedName>
    <definedName name="________col13" localSheetId="7">#REF!</definedName>
    <definedName name="________col13" localSheetId="32">#REF!</definedName>
    <definedName name="________col13">#REF!</definedName>
    <definedName name="________col2" localSheetId="7">#REF!</definedName>
    <definedName name="________col2" localSheetId="32">#REF!</definedName>
    <definedName name="________col2">#REF!</definedName>
    <definedName name="________col3" localSheetId="7">#REF!</definedName>
    <definedName name="________col3" localSheetId="32">#REF!</definedName>
    <definedName name="________col3">#REF!</definedName>
    <definedName name="________col4" localSheetId="7">#REF!</definedName>
    <definedName name="________col4" localSheetId="32">#REF!</definedName>
    <definedName name="________col4">#REF!</definedName>
    <definedName name="________col5" localSheetId="7">#REF!</definedName>
    <definedName name="________col5" localSheetId="32">#REF!</definedName>
    <definedName name="________col5">#REF!</definedName>
    <definedName name="________col6" localSheetId="7">#REF!</definedName>
    <definedName name="________col6" localSheetId="32">#REF!</definedName>
    <definedName name="________col6">#REF!</definedName>
    <definedName name="________col7" localSheetId="7">#REF!</definedName>
    <definedName name="________col7" localSheetId="32">#REF!</definedName>
    <definedName name="________col7">#REF!</definedName>
    <definedName name="________col8" localSheetId="7">#REF!</definedName>
    <definedName name="________col8" localSheetId="32">#REF!</definedName>
    <definedName name="________col8">#REF!</definedName>
    <definedName name="________col9" localSheetId="7">#REF!</definedName>
    <definedName name="________col9" localSheetId="32">#REF!</definedName>
    <definedName name="________col9">#REF!</definedName>
    <definedName name="________FEb1" localSheetId="7">'[5]PL PBC'!#REF!</definedName>
    <definedName name="________FEb1" localSheetId="32">'[5]PL PBC'!#REF!</definedName>
    <definedName name="________FEb1" localSheetId="26">'[5]PL PBC'!#REF!</definedName>
    <definedName name="________FEb1">'[5]PL PBC'!#REF!</definedName>
    <definedName name="________H95454" localSheetId="7">#REF!</definedName>
    <definedName name="________H95454" localSheetId="32">#REF!</definedName>
    <definedName name="________H95454">#REF!</definedName>
    <definedName name="________ist1" localSheetId="7">'[5]PL PBC'!#REF!</definedName>
    <definedName name="________ist1" localSheetId="32">'[5]PL PBC'!#REF!</definedName>
    <definedName name="________ist1" localSheetId="26">'[5]PL PBC'!#REF!</definedName>
    <definedName name="________ist1">'[5]PL PBC'!#REF!</definedName>
    <definedName name="________MAR9091" localSheetId="7">'[7]TRIAL BALANCE'!#REF!</definedName>
    <definedName name="________MAR9091" localSheetId="32">'[7]TRIAL BALANCE'!#REF!</definedName>
    <definedName name="________MAR9091">'[7]TRIAL BALANCE'!#REF!</definedName>
    <definedName name="________qih1" localSheetId="7">#REF!</definedName>
    <definedName name="________qih1" localSheetId="32">#REF!</definedName>
    <definedName name="________qih1" localSheetId="26">#REF!</definedName>
    <definedName name="________qih1">#REF!</definedName>
    <definedName name="________TB1" localSheetId="7">#REF!</definedName>
    <definedName name="________TB1" localSheetId="32">#REF!</definedName>
    <definedName name="________TB1" localSheetId="26">#REF!</definedName>
    <definedName name="________TB1">#REF!</definedName>
    <definedName name="_______col1" localSheetId="7">#REF!</definedName>
    <definedName name="_______col1" localSheetId="32">#REF!</definedName>
    <definedName name="_______col1">#REF!</definedName>
    <definedName name="_______col10" localSheetId="7">#REF!</definedName>
    <definedName name="_______col10" localSheetId="32">#REF!</definedName>
    <definedName name="_______col10">#REF!</definedName>
    <definedName name="_______col11" localSheetId="7">#REF!</definedName>
    <definedName name="_______col11" localSheetId="32">#REF!</definedName>
    <definedName name="_______col11">#REF!</definedName>
    <definedName name="_______col12" localSheetId="7">#REF!</definedName>
    <definedName name="_______col12" localSheetId="32">#REF!</definedName>
    <definedName name="_______col12">#REF!</definedName>
    <definedName name="_______col13" localSheetId="7">#REF!</definedName>
    <definedName name="_______col13" localSheetId="32">#REF!</definedName>
    <definedName name="_______col13">#REF!</definedName>
    <definedName name="_______col2" localSheetId="7">#REF!</definedName>
    <definedName name="_______col2" localSheetId="32">#REF!</definedName>
    <definedName name="_______col2">#REF!</definedName>
    <definedName name="_______col3" localSheetId="7">#REF!</definedName>
    <definedName name="_______col3" localSheetId="32">#REF!</definedName>
    <definedName name="_______col3">#REF!</definedName>
    <definedName name="_______col4" localSheetId="7">#REF!</definedName>
    <definedName name="_______col4" localSheetId="32">#REF!</definedName>
    <definedName name="_______col4">#REF!</definedName>
    <definedName name="_______col5" localSheetId="7">#REF!</definedName>
    <definedName name="_______col5" localSheetId="32">#REF!</definedName>
    <definedName name="_______col5">#REF!</definedName>
    <definedName name="_______col6" localSheetId="7">#REF!</definedName>
    <definedName name="_______col6" localSheetId="32">#REF!</definedName>
    <definedName name="_______col6">#REF!</definedName>
    <definedName name="_______col7" localSheetId="7">#REF!</definedName>
    <definedName name="_______col7" localSheetId="32">#REF!</definedName>
    <definedName name="_______col7">#REF!</definedName>
    <definedName name="_______col8" localSheetId="7">#REF!</definedName>
    <definedName name="_______col8" localSheetId="32">#REF!</definedName>
    <definedName name="_______col8">#REF!</definedName>
    <definedName name="_______col9" localSheetId="7">#REF!</definedName>
    <definedName name="_______col9" localSheetId="32">#REF!</definedName>
    <definedName name="_______col9">#REF!</definedName>
    <definedName name="_______FEb1" localSheetId="7">'[5]PL PBC'!#REF!</definedName>
    <definedName name="_______FEb1" localSheetId="32">'[5]PL PBC'!#REF!</definedName>
    <definedName name="_______FEb1" localSheetId="26">'[5]PL PBC'!#REF!</definedName>
    <definedName name="_______FEb1">'[5]PL PBC'!#REF!</definedName>
    <definedName name="_______H95454" localSheetId="7">#REF!</definedName>
    <definedName name="_______H95454" localSheetId="32">#REF!</definedName>
    <definedName name="_______H95454">#REF!</definedName>
    <definedName name="_______ist1" localSheetId="7">'[5]PL PBC'!#REF!</definedName>
    <definedName name="_______ist1" localSheetId="32">'[5]PL PBC'!#REF!</definedName>
    <definedName name="_______ist1" localSheetId="26">'[5]PL PBC'!#REF!</definedName>
    <definedName name="_______ist1">'[5]PL PBC'!#REF!</definedName>
    <definedName name="_______MAR9091" localSheetId="7">'[7]TRIAL BALANCE'!#REF!</definedName>
    <definedName name="_______MAR9091" localSheetId="32">'[7]TRIAL BALANCE'!#REF!</definedName>
    <definedName name="_______MAR9091">'[7]TRIAL BALANCE'!#REF!</definedName>
    <definedName name="_______qih1" localSheetId="7">#REF!</definedName>
    <definedName name="_______qih1" localSheetId="32">#REF!</definedName>
    <definedName name="_______qih1" localSheetId="26">#REF!</definedName>
    <definedName name="_______qih1">#REF!</definedName>
    <definedName name="_______TB1" localSheetId="7">#REF!</definedName>
    <definedName name="_______TB1" localSheetId="32">#REF!</definedName>
    <definedName name="_______TB1" localSheetId="26">#REF!</definedName>
    <definedName name="_______TB1">#REF!</definedName>
    <definedName name="______col1" localSheetId="7">#REF!</definedName>
    <definedName name="______col1" localSheetId="32">#REF!</definedName>
    <definedName name="______col1">#REF!</definedName>
    <definedName name="______col10" localSheetId="7">#REF!</definedName>
    <definedName name="______col10" localSheetId="32">#REF!</definedName>
    <definedName name="______col10">#REF!</definedName>
    <definedName name="______col11" localSheetId="7">#REF!</definedName>
    <definedName name="______col11" localSheetId="32">#REF!</definedName>
    <definedName name="______col11">#REF!</definedName>
    <definedName name="______col12" localSheetId="7">#REF!</definedName>
    <definedName name="______col12" localSheetId="32">#REF!</definedName>
    <definedName name="______col12">#REF!</definedName>
    <definedName name="______col13" localSheetId="7">#REF!</definedName>
    <definedName name="______col13" localSheetId="32">#REF!</definedName>
    <definedName name="______col13">#REF!</definedName>
    <definedName name="______col2" localSheetId="7">#REF!</definedName>
    <definedName name="______col2" localSheetId="32">#REF!</definedName>
    <definedName name="______col2">#REF!</definedName>
    <definedName name="______col3" localSheetId="7">#REF!</definedName>
    <definedName name="______col3" localSheetId="32">#REF!</definedName>
    <definedName name="______col3">#REF!</definedName>
    <definedName name="______col4" localSheetId="7">#REF!</definedName>
    <definedName name="______col4" localSheetId="32">#REF!</definedName>
    <definedName name="______col4">#REF!</definedName>
    <definedName name="______col5" localSheetId="7">#REF!</definedName>
    <definedName name="______col5" localSheetId="32">#REF!</definedName>
    <definedName name="______col5">#REF!</definedName>
    <definedName name="______col6" localSheetId="7">#REF!</definedName>
    <definedName name="______col6" localSheetId="32">#REF!</definedName>
    <definedName name="______col6">#REF!</definedName>
    <definedName name="______col7" localSheetId="7">#REF!</definedName>
    <definedName name="______col7" localSheetId="32">#REF!</definedName>
    <definedName name="______col7">#REF!</definedName>
    <definedName name="______col8" localSheetId="7">#REF!</definedName>
    <definedName name="______col8" localSheetId="32">#REF!</definedName>
    <definedName name="______col8">#REF!</definedName>
    <definedName name="______col9" localSheetId="7">#REF!</definedName>
    <definedName name="______col9" localSheetId="32">#REF!</definedName>
    <definedName name="______col9">#REF!</definedName>
    <definedName name="______FEb1" localSheetId="7">'[5]PL PBC'!#REF!</definedName>
    <definedName name="______FEb1" localSheetId="32">'[5]PL PBC'!#REF!</definedName>
    <definedName name="______FEb1" localSheetId="26">'[5]PL PBC'!#REF!</definedName>
    <definedName name="______FEb1">'[5]PL PBC'!#REF!</definedName>
    <definedName name="______H95454" localSheetId="7">#REF!</definedName>
    <definedName name="______H95454" localSheetId="32">#REF!</definedName>
    <definedName name="______H95454" localSheetId="26">#REF!</definedName>
    <definedName name="______H95454">#REF!</definedName>
    <definedName name="______ist1" localSheetId="7">'[5]PL PBC'!#REF!</definedName>
    <definedName name="______ist1" localSheetId="32">'[5]PL PBC'!#REF!</definedName>
    <definedName name="______ist1" localSheetId="26">'[5]PL PBC'!#REF!</definedName>
    <definedName name="______ist1">'[5]PL PBC'!#REF!</definedName>
    <definedName name="______MAR9091" localSheetId="7">'[8]TRIAL BALANCE'!#REF!</definedName>
    <definedName name="______MAR9091" localSheetId="32">'[8]TRIAL BALANCE'!#REF!</definedName>
    <definedName name="______MAR9091">'[8]TRIAL BALANCE'!#REF!</definedName>
    <definedName name="______qih1" localSheetId="7">#REF!</definedName>
    <definedName name="______qih1" localSheetId="32">#REF!</definedName>
    <definedName name="______qih1" localSheetId="26">#REF!</definedName>
    <definedName name="______qih1">#REF!</definedName>
    <definedName name="______TB1" localSheetId="7">#REF!</definedName>
    <definedName name="______TB1" localSheetId="32">#REF!</definedName>
    <definedName name="______TB1" localSheetId="26">#REF!</definedName>
    <definedName name="______TB1">#REF!</definedName>
    <definedName name="_____col1" localSheetId="7">#REF!</definedName>
    <definedName name="_____col1" localSheetId="32">#REF!</definedName>
    <definedName name="_____col1">#REF!</definedName>
    <definedName name="_____col10" localSheetId="7">#REF!</definedName>
    <definedName name="_____col10" localSheetId="32">#REF!</definedName>
    <definedName name="_____col10">#REF!</definedName>
    <definedName name="_____col11" localSheetId="7">#REF!</definedName>
    <definedName name="_____col11" localSheetId="32">#REF!</definedName>
    <definedName name="_____col11">#REF!</definedName>
    <definedName name="_____col12" localSheetId="7">#REF!</definedName>
    <definedName name="_____col12" localSheetId="32">#REF!</definedName>
    <definedName name="_____col12">#REF!</definedName>
    <definedName name="_____col13" localSheetId="7">#REF!</definedName>
    <definedName name="_____col13" localSheetId="32">#REF!</definedName>
    <definedName name="_____col13">#REF!</definedName>
    <definedName name="_____col2" localSheetId="7">#REF!</definedName>
    <definedName name="_____col2" localSheetId="32">#REF!</definedName>
    <definedName name="_____col2">#REF!</definedName>
    <definedName name="_____col3" localSheetId="7">#REF!</definedName>
    <definedName name="_____col3" localSheetId="32">#REF!</definedName>
    <definedName name="_____col3">#REF!</definedName>
    <definedName name="_____col4" localSheetId="7">#REF!</definedName>
    <definedName name="_____col4" localSheetId="32">#REF!</definedName>
    <definedName name="_____col4">#REF!</definedName>
    <definedName name="_____col5" localSheetId="7">#REF!</definedName>
    <definedName name="_____col5" localSheetId="32">#REF!</definedName>
    <definedName name="_____col5">#REF!</definedName>
    <definedName name="_____col6" localSheetId="7">#REF!</definedName>
    <definedName name="_____col6" localSheetId="32">#REF!</definedName>
    <definedName name="_____col6">#REF!</definedName>
    <definedName name="_____col7" localSheetId="7">#REF!</definedName>
    <definedName name="_____col7" localSheetId="32">#REF!</definedName>
    <definedName name="_____col7">#REF!</definedName>
    <definedName name="_____col8" localSheetId="7">#REF!</definedName>
    <definedName name="_____col8" localSheetId="32">#REF!</definedName>
    <definedName name="_____col8">#REF!</definedName>
    <definedName name="_____col9" localSheetId="7">#REF!</definedName>
    <definedName name="_____col9" localSheetId="32">#REF!</definedName>
    <definedName name="_____col9">#REF!</definedName>
    <definedName name="_____FEb1" localSheetId="7">'[5]PL PBC'!#REF!</definedName>
    <definedName name="_____FEb1" localSheetId="32">'[5]PL PBC'!#REF!</definedName>
    <definedName name="_____FEb1" localSheetId="26">'[5]PL PBC'!#REF!</definedName>
    <definedName name="_____FEb1">'[5]PL PBC'!#REF!</definedName>
    <definedName name="_____H95454" localSheetId="7">#REF!</definedName>
    <definedName name="_____H95454" localSheetId="32">#REF!</definedName>
    <definedName name="_____H95454" localSheetId="26">#REF!</definedName>
    <definedName name="_____H95454">#REF!</definedName>
    <definedName name="_____ist1" localSheetId="7">'[5]PL PBC'!#REF!</definedName>
    <definedName name="_____ist1" localSheetId="32">'[5]PL PBC'!#REF!</definedName>
    <definedName name="_____ist1" localSheetId="26">'[5]PL PBC'!#REF!</definedName>
    <definedName name="_____ist1">'[5]PL PBC'!#REF!</definedName>
    <definedName name="_____MAR9091" localSheetId="7">'[8]TRIAL BALANCE'!#REF!</definedName>
    <definedName name="_____MAR9091" localSheetId="32">'[8]TRIAL BALANCE'!#REF!</definedName>
    <definedName name="_____MAR9091">'[8]TRIAL BALANCE'!#REF!</definedName>
    <definedName name="_____qih1" localSheetId="7">#REF!</definedName>
    <definedName name="_____qih1" localSheetId="32">#REF!</definedName>
    <definedName name="_____qih1" localSheetId="26">#REF!</definedName>
    <definedName name="_____qih1">#REF!</definedName>
    <definedName name="_____TB1" localSheetId="7">#REF!</definedName>
    <definedName name="_____TB1" localSheetId="32">#REF!</definedName>
    <definedName name="_____TB1" localSheetId="26">#REF!</definedName>
    <definedName name="_____TB1">#REF!</definedName>
    <definedName name="____col1" localSheetId="7">#REF!</definedName>
    <definedName name="____col1" localSheetId="32">#REF!</definedName>
    <definedName name="____col1">#REF!</definedName>
    <definedName name="____col10" localSheetId="7">#REF!</definedName>
    <definedName name="____col10" localSheetId="32">#REF!</definedName>
    <definedName name="____col10">#REF!</definedName>
    <definedName name="____col11" localSheetId="7">#REF!</definedName>
    <definedName name="____col11" localSheetId="32">#REF!</definedName>
    <definedName name="____col11">#REF!</definedName>
    <definedName name="____col12" localSheetId="7">#REF!</definedName>
    <definedName name="____col12" localSheetId="32">#REF!</definedName>
    <definedName name="____col12">#REF!</definedName>
    <definedName name="____col13" localSheetId="7">#REF!</definedName>
    <definedName name="____col13" localSheetId="32">#REF!</definedName>
    <definedName name="____col13">#REF!</definedName>
    <definedName name="____col2" localSheetId="7">#REF!</definedName>
    <definedName name="____col2" localSheetId="32">#REF!</definedName>
    <definedName name="____col2">#REF!</definedName>
    <definedName name="____col3" localSheetId="7">#REF!</definedName>
    <definedName name="____col3" localSheetId="32">#REF!</definedName>
    <definedName name="____col3">#REF!</definedName>
    <definedName name="____col4" localSheetId="7">#REF!</definedName>
    <definedName name="____col4" localSheetId="32">#REF!</definedName>
    <definedName name="____col4">#REF!</definedName>
    <definedName name="____col5" localSheetId="7">#REF!</definedName>
    <definedName name="____col5" localSheetId="32">#REF!</definedName>
    <definedName name="____col5">#REF!</definedName>
    <definedName name="____col6" localSheetId="7">#REF!</definedName>
    <definedName name="____col6" localSheetId="32">#REF!</definedName>
    <definedName name="____col6">#REF!</definedName>
    <definedName name="____col7" localSheetId="7">#REF!</definedName>
    <definedName name="____col7" localSheetId="32">#REF!</definedName>
    <definedName name="____col7">#REF!</definedName>
    <definedName name="____col8" localSheetId="7">#REF!</definedName>
    <definedName name="____col8" localSheetId="32">#REF!</definedName>
    <definedName name="____col8">#REF!</definedName>
    <definedName name="____col9" localSheetId="7">#REF!</definedName>
    <definedName name="____col9" localSheetId="32">#REF!</definedName>
    <definedName name="____col9">#REF!</definedName>
    <definedName name="____erp15">'[9]TB ERP 15'!$B$3:$U$1024</definedName>
    <definedName name="____FEb1" localSheetId="7">'[5]PL PBC'!#REF!</definedName>
    <definedName name="____FEb1" localSheetId="32">'[5]PL PBC'!#REF!</definedName>
    <definedName name="____FEb1" localSheetId="26">'[5]PL PBC'!#REF!</definedName>
    <definedName name="____FEb1">'[5]PL PBC'!#REF!</definedName>
    <definedName name="____H95454" localSheetId="7">#REF!</definedName>
    <definedName name="____H95454" localSheetId="32">#REF!</definedName>
    <definedName name="____H95454" localSheetId="26">#REF!</definedName>
    <definedName name="____H95454">#REF!</definedName>
    <definedName name="____ist1" localSheetId="7">'[5]PL PBC'!#REF!</definedName>
    <definedName name="____ist1" localSheetId="32">'[5]PL PBC'!#REF!</definedName>
    <definedName name="____ist1" localSheetId="26">'[5]PL PBC'!#REF!</definedName>
    <definedName name="____ist1">'[5]PL PBC'!#REF!</definedName>
    <definedName name="____MAR9091" localSheetId="7">'[8]TRIAL BALANCE'!#REF!</definedName>
    <definedName name="____MAR9091" localSheetId="32">'[8]TRIAL BALANCE'!#REF!</definedName>
    <definedName name="____MAR9091">'[8]TRIAL BALANCE'!#REF!</definedName>
    <definedName name="____qih1" localSheetId="7">#REF!</definedName>
    <definedName name="____qih1" localSheetId="32">#REF!</definedName>
    <definedName name="____qih1" localSheetId="26">#REF!</definedName>
    <definedName name="____qih1">#REF!</definedName>
    <definedName name="____TB1" localSheetId="7">#REF!</definedName>
    <definedName name="____TB1" localSheetId="32">#REF!</definedName>
    <definedName name="____TB1" localSheetId="26">#REF!</definedName>
    <definedName name="____TB1">#REF!</definedName>
    <definedName name="____tu14" localSheetId="7">#REF!</definedName>
    <definedName name="____tu14" localSheetId="32">#REF!</definedName>
    <definedName name="____tu14" localSheetId="26">#REF!</definedName>
    <definedName name="____tu14">#REF!</definedName>
    <definedName name="____tur14" localSheetId="7">#REF!</definedName>
    <definedName name="____tur14" localSheetId="32">#REF!</definedName>
    <definedName name="____tur14" localSheetId="26">#REF!</definedName>
    <definedName name="____tur14">#REF!</definedName>
    <definedName name="___bb1" localSheetId="7">#REF!</definedName>
    <definedName name="___bb1" localSheetId="32">#REF!</definedName>
    <definedName name="___bb1">#REF!</definedName>
    <definedName name="___C" localSheetId="7">#REF!</definedName>
    <definedName name="___C" localSheetId="32">#REF!</definedName>
    <definedName name="___C">#REF!</definedName>
    <definedName name="___col1" localSheetId="7">#REF!</definedName>
    <definedName name="___col1" localSheetId="32">#REF!</definedName>
    <definedName name="___col1">#REF!</definedName>
    <definedName name="___col10" localSheetId="7">#REF!</definedName>
    <definedName name="___col10" localSheetId="32">#REF!</definedName>
    <definedName name="___col10">#REF!</definedName>
    <definedName name="___col11" localSheetId="7">#REF!</definedName>
    <definedName name="___col11" localSheetId="32">#REF!</definedName>
    <definedName name="___col11">#REF!</definedName>
    <definedName name="___col12" localSheetId="7">#REF!</definedName>
    <definedName name="___col12" localSheetId="32">#REF!</definedName>
    <definedName name="___col12">#REF!</definedName>
    <definedName name="___col13" localSheetId="7">#REF!</definedName>
    <definedName name="___col13" localSheetId="32">#REF!</definedName>
    <definedName name="___col13">#REF!</definedName>
    <definedName name="___col2" localSheetId="7">#REF!</definedName>
    <definedName name="___col2" localSheetId="32">#REF!</definedName>
    <definedName name="___col2">#REF!</definedName>
    <definedName name="___col3" localSheetId="7">#REF!</definedName>
    <definedName name="___col3" localSheetId="32">#REF!</definedName>
    <definedName name="___col3">#REF!</definedName>
    <definedName name="___col4" localSheetId="7">#REF!</definedName>
    <definedName name="___col4" localSheetId="32">#REF!</definedName>
    <definedName name="___col4">#REF!</definedName>
    <definedName name="___col5" localSheetId="7">#REF!</definedName>
    <definedName name="___col5" localSheetId="32">#REF!</definedName>
    <definedName name="___col5">#REF!</definedName>
    <definedName name="___col6" localSheetId="7">#REF!</definedName>
    <definedName name="___col6" localSheetId="32">#REF!</definedName>
    <definedName name="___col6">#REF!</definedName>
    <definedName name="___col7" localSheetId="7">#REF!</definedName>
    <definedName name="___col7" localSheetId="32">#REF!</definedName>
    <definedName name="___col7">#REF!</definedName>
    <definedName name="___col8" localSheetId="7">#REF!</definedName>
    <definedName name="___col8" localSheetId="32">#REF!</definedName>
    <definedName name="___col8">#REF!</definedName>
    <definedName name="___col9" localSheetId="7">#REF!</definedName>
    <definedName name="___col9" localSheetId="32">#REF!</definedName>
    <definedName name="___col9">#REF!</definedName>
    <definedName name="___DAT4" localSheetId="7">#REF!</definedName>
    <definedName name="___DAT4" localSheetId="32">#REF!</definedName>
    <definedName name="___DAT4">#REF!</definedName>
    <definedName name="___erp15">'[10]TB ERP 15'!$B$3:$U$1024</definedName>
    <definedName name="___FEb1" localSheetId="7">'[5]PL PBC'!#REF!</definedName>
    <definedName name="___FEb1" localSheetId="32">'[5]PL PBC'!#REF!</definedName>
    <definedName name="___FEb1" localSheetId="26">'[5]PL PBC'!#REF!</definedName>
    <definedName name="___FEb1">'[5]PL PBC'!#REF!</definedName>
    <definedName name="___H95454" localSheetId="7">#REF!</definedName>
    <definedName name="___H95454" localSheetId="32">#REF!</definedName>
    <definedName name="___H95454" localSheetId="26">#REF!</definedName>
    <definedName name="___H95454">#REF!</definedName>
    <definedName name="___INDEX_SHEET___ASAP_Utilities" localSheetId="7">#REF!</definedName>
    <definedName name="___INDEX_SHEET___ASAP_Utilities" localSheetId="32">#REF!</definedName>
    <definedName name="___INDEX_SHEET___ASAP_Utilities">#REF!</definedName>
    <definedName name="___ist1" localSheetId="7">'[5]PL PBC'!#REF!</definedName>
    <definedName name="___ist1" localSheetId="32">'[5]PL PBC'!#REF!</definedName>
    <definedName name="___ist1" localSheetId="26">'[5]PL PBC'!#REF!</definedName>
    <definedName name="___ist1">'[5]PL PBC'!#REF!</definedName>
    <definedName name="___lia1" localSheetId="7">#REF!</definedName>
    <definedName name="___lia1" localSheetId="32">#REF!</definedName>
    <definedName name="___lia1">#REF!</definedName>
    <definedName name="___MAR9091" localSheetId="7">'[11]TRIAL BALANCE'!#REF!</definedName>
    <definedName name="___MAR9091" localSheetId="32">'[11]TRIAL BALANCE'!#REF!</definedName>
    <definedName name="___MAR9091">'[11]TRIAL BALANCE'!#REF!</definedName>
    <definedName name="___qih1" localSheetId="7">#REF!</definedName>
    <definedName name="___qih1" localSheetId="32">#REF!</definedName>
    <definedName name="___qih1" localSheetId="26">#REF!</definedName>
    <definedName name="___qih1">#REF!</definedName>
    <definedName name="___rdd1" localSheetId="7">#REF!</definedName>
    <definedName name="___rdd1" localSheetId="32">#REF!</definedName>
    <definedName name="___rdd1">#REF!</definedName>
    <definedName name="___SCH11" localSheetId="7">#REF!</definedName>
    <definedName name="___SCH11" localSheetId="32">#REF!</definedName>
    <definedName name="___SCH11">#REF!</definedName>
    <definedName name="___SCH4" localSheetId="7">#REF!</definedName>
    <definedName name="___SCH4" localSheetId="32">#REF!</definedName>
    <definedName name="___SCH4">#REF!</definedName>
    <definedName name="___SCH8" localSheetId="7">#REF!</definedName>
    <definedName name="___SCH8" localSheetId="32">#REF!</definedName>
    <definedName name="___SCH8">#REF!</definedName>
    <definedName name="___STI1" hidden="1">[12]B!$B$70:$D$72</definedName>
    <definedName name="___TB0313" localSheetId="7">#REF!</definedName>
    <definedName name="___TB0313" localSheetId="32">#REF!</definedName>
    <definedName name="___TB0313" localSheetId="26">#REF!</definedName>
    <definedName name="___TB0313">#REF!</definedName>
    <definedName name="___TB1" localSheetId="7">#REF!</definedName>
    <definedName name="___TB1" localSheetId="32">#REF!</definedName>
    <definedName name="___TB1" localSheetId="26">#REF!</definedName>
    <definedName name="___TB1">#REF!</definedName>
    <definedName name="___tu14" localSheetId="7">#REF!</definedName>
    <definedName name="___tu14" localSheetId="32">#REF!</definedName>
    <definedName name="___tu14" localSheetId="26">#REF!</definedName>
    <definedName name="___tu14">#REF!</definedName>
    <definedName name="___tur14" localSheetId="7">#REF!</definedName>
    <definedName name="___tur14" localSheetId="32">#REF!</definedName>
    <definedName name="___tur14" localSheetId="26">#REF!</definedName>
    <definedName name="___tur14">#REF!</definedName>
    <definedName name="__123Graph_A" localSheetId="7" hidden="1">'[13]BS IS 8&amp;9'!#REF!</definedName>
    <definedName name="__123Graph_A" localSheetId="32" hidden="1">'[13]BS IS 8&amp;9'!#REF!</definedName>
    <definedName name="__123Graph_A" hidden="1">'[13]BS IS 8&amp;9'!#REF!</definedName>
    <definedName name="__123Graph_B" localSheetId="7" hidden="1">'[13]BS IS 8&amp;9'!#REF!</definedName>
    <definedName name="__123Graph_B" localSheetId="32" hidden="1">'[13]BS IS 8&amp;9'!#REF!</definedName>
    <definedName name="__123Graph_B" hidden="1">'[13]BS IS 8&amp;9'!#REF!</definedName>
    <definedName name="__123Graph_D" localSheetId="7" hidden="1">#REF!</definedName>
    <definedName name="__123Graph_D" localSheetId="32" hidden="1">#REF!</definedName>
    <definedName name="__123Graph_D" localSheetId="26" hidden="1">#REF!</definedName>
    <definedName name="__123Graph_D" hidden="1">#REF!</definedName>
    <definedName name="__123Graph_X" localSheetId="7" hidden="1">'[13]BS IS 8&amp;9'!#REF!</definedName>
    <definedName name="__123Graph_X" localSheetId="32" hidden="1">'[13]BS IS 8&amp;9'!#REF!</definedName>
    <definedName name="__123Graph_X" hidden="1">'[13]BS IS 8&amp;9'!#REF!</definedName>
    <definedName name="__amc2" localSheetId="7">#REF!</definedName>
    <definedName name="__amc2" localSheetId="32">#REF!</definedName>
    <definedName name="__amc2">#REF!</definedName>
    <definedName name="__AXE10" localSheetId="7">#REF!</definedName>
    <definedName name="__AXE10" localSheetId="32">#REF!</definedName>
    <definedName name="__AXE10">#REF!</definedName>
    <definedName name="__bb1" localSheetId="7">#REF!</definedName>
    <definedName name="__bb1" localSheetId="32">#REF!</definedName>
    <definedName name="__bb1">#REF!</definedName>
    <definedName name="__bfs1" localSheetId="7">#REF!</definedName>
    <definedName name="__bfs1" localSheetId="32">#REF!</definedName>
    <definedName name="__bfs1">#REF!</definedName>
    <definedName name="__bfs10" localSheetId="7">#REF!</definedName>
    <definedName name="__bfs10" localSheetId="32">#REF!</definedName>
    <definedName name="__bfs10">#REF!</definedName>
    <definedName name="__bfs11" localSheetId="7">#REF!</definedName>
    <definedName name="__bfs11" localSheetId="32">#REF!</definedName>
    <definedName name="__bfs11">#REF!</definedName>
    <definedName name="__bfs12" localSheetId="7">#REF!</definedName>
    <definedName name="__bfs12" localSheetId="32">#REF!</definedName>
    <definedName name="__bfs12">#REF!</definedName>
    <definedName name="__bfs13" localSheetId="7">#REF!</definedName>
    <definedName name="__bfs13" localSheetId="32">#REF!</definedName>
    <definedName name="__bfs13">#REF!</definedName>
    <definedName name="__bfs14" localSheetId="7">#REF!</definedName>
    <definedName name="__bfs14" localSheetId="32">#REF!</definedName>
    <definedName name="__bfs14">#REF!</definedName>
    <definedName name="__bfs2" localSheetId="7">#REF!</definedName>
    <definedName name="__bfs2" localSheetId="32">#REF!</definedName>
    <definedName name="__bfs2">#REF!</definedName>
    <definedName name="__bfs3" localSheetId="7">#REF!</definedName>
    <definedName name="__bfs3" localSheetId="32">#REF!</definedName>
    <definedName name="__bfs3">#REF!</definedName>
    <definedName name="__bfs4" localSheetId="7">#REF!</definedName>
    <definedName name="__bfs4" localSheetId="32">#REF!</definedName>
    <definedName name="__bfs4">#REF!</definedName>
    <definedName name="__bfs5" localSheetId="7">#REF!</definedName>
    <definedName name="__bfs5" localSheetId="32">#REF!</definedName>
    <definedName name="__bfs5">#REF!</definedName>
    <definedName name="__bfs6" localSheetId="7">#REF!</definedName>
    <definedName name="__bfs6" localSheetId="32">#REF!</definedName>
    <definedName name="__bfs6">#REF!</definedName>
    <definedName name="__bfs7" localSheetId="7">#REF!</definedName>
    <definedName name="__bfs7" localSheetId="32">#REF!</definedName>
    <definedName name="__bfs7">#REF!</definedName>
    <definedName name="__bfs8" localSheetId="7">#REF!</definedName>
    <definedName name="__bfs8" localSheetId="32">#REF!</definedName>
    <definedName name="__bfs8">#REF!</definedName>
    <definedName name="__bfs9" localSheetId="7">#REF!</definedName>
    <definedName name="__bfs9" localSheetId="32">#REF!</definedName>
    <definedName name="__bfs9">#REF!</definedName>
    <definedName name="__bs1" hidden="1">{#N/A,#N/A,FALSE,"Staffnos &amp; cost"}</definedName>
    <definedName name="__bs2" hidden="1">{#N/A,#N/A,TRUE,"Staffnos &amp; cost"}</definedName>
    <definedName name="__C" localSheetId="7">#REF!</definedName>
    <definedName name="__C" localSheetId="32">#REF!</definedName>
    <definedName name="__C">#REF!</definedName>
    <definedName name="__cap1" localSheetId="7">#REF!</definedName>
    <definedName name="__cap1" localSheetId="32">#REF!</definedName>
    <definedName name="__cap1">#REF!</definedName>
    <definedName name="__col1" localSheetId="7">#REF!</definedName>
    <definedName name="__col1" localSheetId="32">#REF!</definedName>
    <definedName name="__col1">#REF!</definedName>
    <definedName name="__col10" localSheetId="7">#REF!</definedName>
    <definedName name="__col10" localSheetId="32">#REF!</definedName>
    <definedName name="__col10">#REF!</definedName>
    <definedName name="__col11" localSheetId="7">#REF!</definedName>
    <definedName name="__col11" localSheetId="32">#REF!</definedName>
    <definedName name="__col11">#REF!</definedName>
    <definedName name="__col12" localSheetId="7">#REF!</definedName>
    <definedName name="__col12" localSheetId="32">#REF!</definedName>
    <definedName name="__col12">#REF!</definedName>
    <definedName name="__col13" localSheetId="7">#REF!</definedName>
    <definedName name="__col13" localSheetId="32">#REF!</definedName>
    <definedName name="__col13">#REF!</definedName>
    <definedName name="__col2" localSheetId="7">#REF!</definedName>
    <definedName name="__col2" localSheetId="32">#REF!</definedName>
    <definedName name="__col2">#REF!</definedName>
    <definedName name="__col3" localSheetId="7">#REF!</definedName>
    <definedName name="__col3" localSheetId="32">#REF!</definedName>
    <definedName name="__col3">#REF!</definedName>
    <definedName name="__col4" localSheetId="7">#REF!</definedName>
    <definedName name="__col4" localSheetId="32">#REF!</definedName>
    <definedName name="__col4">#REF!</definedName>
    <definedName name="__col5" localSheetId="7">#REF!</definedName>
    <definedName name="__col5" localSheetId="32">#REF!</definedName>
    <definedName name="__col5">#REF!</definedName>
    <definedName name="__col6" localSheetId="7">#REF!</definedName>
    <definedName name="__col6" localSheetId="32">#REF!</definedName>
    <definedName name="__col6">#REF!</definedName>
    <definedName name="__col7" localSheetId="7">#REF!</definedName>
    <definedName name="__col7" localSheetId="32">#REF!</definedName>
    <definedName name="__col7">#REF!</definedName>
    <definedName name="__col8" localSheetId="7">#REF!</definedName>
    <definedName name="__col8" localSheetId="32">#REF!</definedName>
    <definedName name="__col8">#REF!</definedName>
    <definedName name="__col9" localSheetId="7">#REF!</definedName>
    <definedName name="__col9" localSheetId="32">#REF!</definedName>
    <definedName name="__col9">#REF!</definedName>
    <definedName name="__DAT3" localSheetId="7">#REF!</definedName>
    <definedName name="__DAT3" localSheetId="32">#REF!</definedName>
    <definedName name="__DAT3">#REF!</definedName>
    <definedName name="__DAT4" localSheetId="7">#REF!</definedName>
    <definedName name="__DAT4" localSheetId="32">#REF!</definedName>
    <definedName name="__DAT4">#REF!</definedName>
    <definedName name="__erl1" localSheetId="7">#REF!</definedName>
    <definedName name="__erl1" localSheetId="32">#REF!</definedName>
    <definedName name="__erl1">#REF!</definedName>
    <definedName name="__erl2" localSheetId="7">#REF!</definedName>
    <definedName name="__erl2" localSheetId="32">#REF!</definedName>
    <definedName name="__erl2">#REF!</definedName>
    <definedName name="__erp15">'[9]TB ERP 15'!$B$3:$U$1024</definedName>
    <definedName name="__FEb1" localSheetId="7">'[5]PL PBC'!#REF!</definedName>
    <definedName name="__FEb1" localSheetId="32">'[5]PL PBC'!#REF!</definedName>
    <definedName name="__FEb1" localSheetId="26">'[5]PL PBC'!#REF!</definedName>
    <definedName name="__FEb1">'[5]PL PBC'!#REF!</definedName>
    <definedName name="__H95454" localSheetId="7">#REF!</definedName>
    <definedName name="__H95454" localSheetId="32">#REF!</definedName>
    <definedName name="__H95454" localSheetId="26">#REF!</definedName>
    <definedName name="__H95454">#REF!</definedName>
    <definedName name="__IntlFixup" hidden="1">TRUE</definedName>
    <definedName name="__IntlFixupTable" localSheetId="7" hidden="1">#REF!</definedName>
    <definedName name="__IntlFixupTable" localSheetId="32" hidden="1">#REF!</definedName>
    <definedName name="__IntlFixupTable" localSheetId="26" hidden="1">#REF!</definedName>
    <definedName name="__IntlFixupTable" hidden="1">#REF!</definedName>
    <definedName name="__ist1" localSheetId="7">'[5]PL PBC'!#REF!</definedName>
    <definedName name="__ist1" localSheetId="32">'[5]PL PBC'!#REF!</definedName>
    <definedName name="__ist1" localSheetId="26">'[5]PL PBC'!#REF!</definedName>
    <definedName name="__ist1">'[5]PL PBC'!#REF!</definedName>
    <definedName name="__lia1" localSheetId="7">#REF!</definedName>
    <definedName name="__lia1" localSheetId="32">#REF!</definedName>
    <definedName name="__lia1">#REF!</definedName>
    <definedName name="__lup1" localSheetId="7">#REF!</definedName>
    <definedName name="__lup1" localSheetId="32">#REF!</definedName>
    <definedName name="__lup1">#REF!</definedName>
    <definedName name="__lup2" localSheetId="7">#REF!</definedName>
    <definedName name="__lup2" localSheetId="32">#REF!</definedName>
    <definedName name="__lup2">#REF!</definedName>
    <definedName name="__MAR9091" localSheetId="7">'[11]TRIAL BALANCE'!#REF!</definedName>
    <definedName name="__MAR9091" localSheetId="32">'[11]TRIAL BALANCE'!#REF!</definedName>
    <definedName name="__MAR9091">'[11]TRIAL BALANCE'!#REF!</definedName>
    <definedName name="__OC12" localSheetId="7">#REF!</definedName>
    <definedName name="__OC12" localSheetId="32">#REF!</definedName>
    <definedName name="__OC12">#REF!</definedName>
    <definedName name="__OC3" localSheetId="7">#REF!</definedName>
    <definedName name="__OC3" localSheetId="32">#REF!</definedName>
    <definedName name="__OC3">#REF!</definedName>
    <definedName name="__qih1" localSheetId="7">#REF!</definedName>
    <definedName name="__qih1" localSheetId="32">#REF!</definedName>
    <definedName name="__qih1" localSheetId="26">#REF!</definedName>
    <definedName name="__qih1">#REF!</definedName>
    <definedName name="__QT1" localSheetId="7">#REF!</definedName>
    <definedName name="__QT1" localSheetId="32">#REF!</definedName>
    <definedName name="__QT1">#REF!</definedName>
    <definedName name="__QT2" localSheetId="7">#REF!</definedName>
    <definedName name="__QT2" localSheetId="32">#REF!</definedName>
    <definedName name="__QT2">#REF!</definedName>
    <definedName name="__QT3" localSheetId="7">#REF!</definedName>
    <definedName name="__QT3" localSheetId="32">#REF!</definedName>
    <definedName name="__QT3">#REF!</definedName>
    <definedName name="__QT4" localSheetId="7">#REF!</definedName>
    <definedName name="__QT4" localSheetId="32">#REF!</definedName>
    <definedName name="__QT4">#REF!</definedName>
    <definedName name="__rdd1" localSheetId="7">#REF!</definedName>
    <definedName name="__rdd1" localSheetId="32">#REF!</definedName>
    <definedName name="__rdd1">#REF!</definedName>
    <definedName name="__RSU1" localSheetId="7">#REF!</definedName>
    <definedName name="__RSU1" localSheetId="32">#REF!</definedName>
    <definedName name="__RSU1">#REF!</definedName>
    <definedName name="__RSU11" localSheetId="7">#REF!</definedName>
    <definedName name="__RSU11" localSheetId="32">#REF!</definedName>
    <definedName name="__RSU11">#REF!</definedName>
    <definedName name="__RSU2" localSheetId="7">#REF!</definedName>
    <definedName name="__RSU2" localSheetId="32">#REF!</definedName>
    <definedName name="__RSU2">#REF!</definedName>
    <definedName name="__RSU22" localSheetId="7">#REF!</definedName>
    <definedName name="__RSU22" localSheetId="32">#REF!</definedName>
    <definedName name="__RSU22">#REF!</definedName>
    <definedName name="__RSU3" localSheetId="7">#REF!</definedName>
    <definedName name="__RSU3" localSheetId="32">#REF!</definedName>
    <definedName name="__RSU3">#REF!</definedName>
    <definedName name="__RSU33" localSheetId="7">#REF!</definedName>
    <definedName name="__RSU33" localSheetId="32">#REF!</definedName>
    <definedName name="__RSU33">#REF!</definedName>
    <definedName name="__RSU4" localSheetId="7">#REF!</definedName>
    <definedName name="__RSU4" localSheetId="32">#REF!</definedName>
    <definedName name="__RSU4">#REF!</definedName>
    <definedName name="__RSU44" localSheetId="7">#REF!</definedName>
    <definedName name="__RSU44" localSheetId="32">#REF!</definedName>
    <definedName name="__RSU44">#REF!</definedName>
    <definedName name="__RSU5" localSheetId="7">#REF!</definedName>
    <definedName name="__RSU5" localSheetId="32">#REF!</definedName>
    <definedName name="__RSU5">#REF!</definedName>
    <definedName name="__RSU55" localSheetId="7">#REF!</definedName>
    <definedName name="__RSU55" localSheetId="32">#REF!</definedName>
    <definedName name="__RSU55">#REF!</definedName>
    <definedName name="__RSU6" localSheetId="7">#REF!</definedName>
    <definedName name="__RSU6" localSheetId="32">#REF!</definedName>
    <definedName name="__RSU6">#REF!</definedName>
    <definedName name="__RSU66" localSheetId="7">#REF!</definedName>
    <definedName name="__RSU66" localSheetId="32">#REF!</definedName>
    <definedName name="__RSU66">#REF!</definedName>
    <definedName name="__SCH11" localSheetId="7">#REF!</definedName>
    <definedName name="__SCH11" localSheetId="32">#REF!</definedName>
    <definedName name="__SCH11">#REF!</definedName>
    <definedName name="__SCH4" localSheetId="7">#REF!</definedName>
    <definedName name="__SCH4" localSheetId="32">#REF!</definedName>
    <definedName name="__SCH4">#REF!</definedName>
    <definedName name="__SCH8" localSheetId="7">#REF!</definedName>
    <definedName name="__SCH8" localSheetId="32">#REF!</definedName>
    <definedName name="__SCH8">#REF!</definedName>
    <definedName name="__SSP103" localSheetId="7">#REF!</definedName>
    <definedName name="__SSP103" localSheetId="32">#REF!</definedName>
    <definedName name="__SSP103">#REF!</definedName>
    <definedName name="__SSP112" localSheetId="7">#REF!</definedName>
    <definedName name="__SSP112" localSheetId="32">#REF!</definedName>
    <definedName name="__SSP112">#REF!</definedName>
    <definedName name="__SSP113" localSheetId="7">#REF!</definedName>
    <definedName name="__SSP113" localSheetId="32">#REF!</definedName>
    <definedName name="__SSP113">#REF!</definedName>
    <definedName name="__STI1" hidden="1">[12]B!$B$70:$D$72</definedName>
    <definedName name="__TB0313" localSheetId="7">#REF!</definedName>
    <definedName name="__TB0313" localSheetId="32">#REF!</definedName>
    <definedName name="__TB0313" localSheetId="26">#REF!</definedName>
    <definedName name="__TB0313">#REF!</definedName>
    <definedName name="__TB1" localSheetId="7">#REF!</definedName>
    <definedName name="__TB1" localSheetId="32">#REF!</definedName>
    <definedName name="__TB1" localSheetId="26">#REF!</definedName>
    <definedName name="__TB1">#REF!</definedName>
    <definedName name="__tu14" localSheetId="7">#REF!</definedName>
    <definedName name="__tu14" localSheetId="32">#REF!</definedName>
    <definedName name="__tu14" localSheetId="26">#REF!</definedName>
    <definedName name="__tu14">#REF!</definedName>
    <definedName name="__tur14" localSheetId="7">#REF!</definedName>
    <definedName name="__tur14" localSheetId="32">#REF!</definedName>
    <definedName name="__tur14" localSheetId="26">#REF!</definedName>
    <definedName name="__tur14">#REF!</definedName>
    <definedName name="__UE3000" localSheetId="7">#REF!</definedName>
    <definedName name="__UE3000" localSheetId="32">#REF!</definedName>
    <definedName name="__UE3000">#REF!</definedName>
    <definedName name="__UE9000" localSheetId="7">#REF!</definedName>
    <definedName name="__UE9000" localSheetId="32">#REF!</definedName>
    <definedName name="__UE9000">#REF!</definedName>
    <definedName name="__vc1" localSheetId="7">#REF!</definedName>
    <definedName name="__vc1" localSheetId="32">#REF!</definedName>
    <definedName name="__vc1">#REF!</definedName>
    <definedName name="_1">#N/A</definedName>
    <definedName name="_1ANNEX_C_1" localSheetId="7">#REF!</definedName>
    <definedName name="_1ANNEX_C_1" localSheetId="32">#REF!</definedName>
    <definedName name="_1ANNEX_C_1">#REF!</definedName>
    <definedName name="_1MED_EQUIP_02_03" localSheetId="7">#REF!</definedName>
    <definedName name="_1MED_EQUIP_02_03" localSheetId="32">#REF!</definedName>
    <definedName name="_1MED_EQUIP_02_03">#REF!</definedName>
    <definedName name="_2">#N/A</definedName>
    <definedName name="_2MED_EQUIP_02_03" localSheetId="7">#REF!</definedName>
    <definedName name="_2MED_EQUIP_02_03" localSheetId="32">#REF!</definedName>
    <definedName name="_2MED_EQUIP_02_03">#REF!</definedName>
    <definedName name="_AM100000" localSheetId="7">#REF!</definedName>
    <definedName name="_AM100000" localSheetId="32">#REF!</definedName>
    <definedName name="_AM100000">#REF!</definedName>
    <definedName name="_amc2" localSheetId="7">#REF!</definedName>
    <definedName name="_amc2" localSheetId="32">#REF!</definedName>
    <definedName name="_amc2">#REF!</definedName>
    <definedName name="_AXE10" localSheetId="7">#REF!</definedName>
    <definedName name="_AXE10" localSheetId="32">#REF!</definedName>
    <definedName name="_AXE10">#REF!</definedName>
    <definedName name="_bb1" localSheetId="7">#REF!</definedName>
    <definedName name="_bb1" localSheetId="32">#REF!</definedName>
    <definedName name="_bb1">#REF!</definedName>
    <definedName name="_bfs1" localSheetId="7">#REF!</definedName>
    <definedName name="_bfs1" localSheetId="32">#REF!</definedName>
    <definedName name="_bfs1">#REF!</definedName>
    <definedName name="_bfs10" localSheetId="7">#REF!</definedName>
    <definedName name="_bfs10" localSheetId="32">#REF!</definedName>
    <definedName name="_bfs10">#REF!</definedName>
    <definedName name="_bfs11" localSheetId="7">#REF!</definedName>
    <definedName name="_bfs11" localSheetId="32">#REF!</definedName>
    <definedName name="_bfs11">#REF!</definedName>
    <definedName name="_bfs12" localSheetId="7">#REF!</definedName>
    <definedName name="_bfs12" localSheetId="32">#REF!</definedName>
    <definedName name="_bfs12">#REF!</definedName>
    <definedName name="_bfs13" localSheetId="7">#REF!</definedName>
    <definedName name="_bfs13" localSheetId="32">#REF!</definedName>
    <definedName name="_bfs13">#REF!</definedName>
    <definedName name="_bfs14" localSheetId="7">#REF!</definedName>
    <definedName name="_bfs14" localSheetId="32">#REF!</definedName>
    <definedName name="_bfs14">#REF!</definedName>
    <definedName name="_bfs2" localSheetId="7">#REF!</definedName>
    <definedName name="_bfs2" localSheetId="32">#REF!</definedName>
    <definedName name="_bfs2">#REF!</definedName>
    <definedName name="_bfs3" localSheetId="7">#REF!</definedName>
    <definedName name="_bfs3" localSheetId="32">#REF!</definedName>
    <definedName name="_bfs3">#REF!</definedName>
    <definedName name="_bfs4" localSheetId="7">#REF!</definedName>
    <definedName name="_bfs4" localSheetId="32">#REF!</definedName>
    <definedName name="_bfs4">#REF!</definedName>
    <definedName name="_bfs5" localSheetId="7">#REF!</definedName>
    <definedName name="_bfs5" localSheetId="32">#REF!</definedName>
    <definedName name="_bfs5">#REF!</definedName>
    <definedName name="_bfs6" localSheetId="7">#REF!</definedName>
    <definedName name="_bfs6" localSheetId="32">#REF!</definedName>
    <definedName name="_bfs6">#REF!</definedName>
    <definedName name="_bfs7" localSheetId="7">#REF!</definedName>
    <definedName name="_bfs7" localSheetId="32">#REF!</definedName>
    <definedName name="_bfs7">#REF!</definedName>
    <definedName name="_bfs8" localSheetId="7">#REF!</definedName>
    <definedName name="_bfs8" localSheetId="32">#REF!</definedName>
    <definedName name="_bfs8">#REF!</definedName>
    <definedName name="_bfs9" localSheetId="7">#REF!</definedName>
    <definedName name="_bfs9" localSheetId="32">#REF!</definedName>
    <definedName name="_bfs9">#REF!</definedName>
    <definedName name="_bs1" hidden="1">{#N/A,#N/A,FALSE,"Staffnos &amp; cost"}</definedName>
    <definedName name="_bs2" hidden="1">{#N/A,#N/A,TRUE,"Staffnos &amp; cost"}</definedName>
    <definedName name="_C" localSheetId="7">#REF!</definedName>
    <definedName name="_C" localSheetId="32">#REF!</definedName>
    <definedName name="_C">#REF!</definedName>
    <definedName name="_cap1" localSheetId="7">#REF!</definedName>
    <definedName name="_cap1" localSheetId="32">#REF!</definedName>
    <definedName name="_cap1">#REF!</definedName>
    <definedName name="_col1" localSheetId="7">#REF!</definedName>
    <definedName name="_col1" localSheetId="32">#REF!</definedName>
    <definedName name="_col1">#REF!</definedName>
    <definedName name="_col10" localSheetId="7">#REF!</definedName>
    <definedName name="_col10" localSheetId="32">#REF!</definedName>
    <definedName name="_col10">#REF!</definedName>
    <definedName name="_col11" localSheetId="7">#REF!</definedName>
    <definedName name="_col11" localSheetId="32">#REF!</definedName>
    <definedName name="_col11">#REF!</definedName>
    <definedName name="_col12" localSheetId="7">#REF!</definedName>
    <definedName name="_col12" localSheetId="32">#REF!</definedName>
    <definedName name="_col12">#REF!</definedName>
    <definedName name="_col13" localSheetId="7">#REF!</definedName>
    <definedName name="_col13" localSheetId="32">#REF!</definedName>
    <definedName name="_col13">#REF!</definedName>
    <definedName name="_col2" localSheetId="7">#REF!</definedName>
    <definedName name="_col2" localSheetId="32">#REF!</definedName>
    <definedName name="_col2">#REF!</definedName>
    <definedName name="_col3" localSheetId="7">#REF!</definedName>
    <definedName name="_col3" localSheetId="32">#REF!</definedName>
    <definedName name="_col3">#REF!</definedName>
    <definedName name="_col4" localSheetId="7">#REF!</definedName>
    <definedName name="_col4" localSheetId="32">#REF!</definedName>
    <definedName name="_col4">#REF!</definedName>
    <definedName name="_col5" localSheetId="7">#REF!</definedName>
    <definedName name="_col5" localSheetId="32">#REF!</definedName>
    <definedName name="_col5">#REF!</definedName>
    <definedName name="_col6" localSheetId="7">#REF!</definedName>
    <definedName name="_col6" localSheetId="32">#REF!</definedName>
    <definedName name="_col6">#REF!</definedName>
    <definedName name="_col7" localSheetId="7">#REF!</definedName>
    <definedName name="_col7" localSheetId="32">#REF!</definedName>
    <definedName name="_col7">#REF!</definedName>
    <definedName name="_col8" localSheetId="7">#REF!</definedName>
    <definedName name="_col8" localSheetId="32">#REF!</definedName>
    <definedName name="_col8">#REF!</definedName>
    <definedName name="_col9" localSheetId="7">#REF!</definedName>
    <definedName name="_col9" localSheetId="32">#REF!</definedName>
    <definedName name="_col9">#REF!</definedName>
    <definedName name="_DAT3" localSheetId="7">#REF!</definedName>
    <definedName name="_DAT3" localSheetId="32">#REF!</definedName>
    <definedName name="_DAT3">#REF!</definedName>
    <definedName name="_DAT4" localSheetId="7">#REF!</definedName>
    <definedName name="_DAT4" localSheetId="32">#REF!</definedName>
    <definedName name="_DAT4">#REF!</definedName>
    <definedName name="_Dist_Bin" localSheetId="7" hidden="1">#REF!</definedName>
    <definedName name="_Dist_Bin" localSheetId="32" hidden="1">#REF!</definedName>
    <definedName name="_Dist_Bin" localSheetId="26" hidden="1">#REF!</definedName>
    <definedName name="_Dist_Bin" hidden="1">#REF!</definedName>
    <definedName name="_Dist_Values" localSheetId="7" hidden="1">#REF!</definedName>
    <definedName name="_Dist_Values" localSheetId="32" hidden="1">#REF!</definedName>
    <definedName name="_Dist_Values" localSheetId="26" hidden="1">#REF!</definedName>
    <definedName name="_Dist_Values" hidden="1">#REF!</definedName>
    <definedName name="_erl1" localSheetId="7">#REF!</definedName>
    <definedName name="_erl1" localSheetId="32">#REF!</definedName>
    <definedName name="_erl1">#REF!</definedName>
    <definedName name="_erl2" localSheetId="7">#REF!</definedName>
    <definedName name="_erl2" localSheetId="32">#REF!</definedName>
    <definedName name="_erl2">#REF!</definedName>
    <definedName name="_erp15">'[14]TB ERP 15'!$B$3:$U$1024</definedName>
    <definedName name="_F554314" localSheetId="7">#REF!</definedName>
    <definedName name="_F554314" localSheetId="32">#REF!</definedName>
    <definedName name="_F554314">#REF!</definedName>
    <definedName name="_FEb1" localSheetId="7">'[5]PL PBC'!#REF!</definedName>
    <definedName name="_FEb1" localSheetId="32">'[5]PL PBC'!#REF!</definedName>
    <definedName name="_FEb1" localSheetId="26">'[5]PL PBC'!#REF!</definedName>
    <definedName name="_FEb1">'[5]PL PBC'!#REF!</definedName>
    <definedName name="_Fill" localSheetId="7" hidden="1">#REF!</definedName>
    <definedName name="_Fill" localSheetId="32" hidden="1">#REF!</definedName>
    <definedName name="_Fill" localSheetId="26" hidden="1">#REF!</definedName>
    <definedName name="_Fill" hidden="1">#REF!</definedName>
    <definedName name="_Fill1" localSheetId="7" hidden="1">[15]BHANDUP!#REF!</definedName>
    <definedName name="_Fill1" localSheetId="32" hidden="1">[15]BHANDUP!#REF!</definedName>
    <definedName name="_Fill1" hidden="1">[15]BHANDUP!#REF!</definedName>
    <definedName name="_xlnm._FilterDatabase" localSheetId="7" hidden="1">'Accounting Policies(2)'!$B$80:$I$217</definedName>
    <definedName name="_xlnm._FilterDatabase" localSheetId="17" hidden="1">'BS Grouping'!$A$5:$X$219</definedName>
    <definedName name="_xlnm._FilterDatabase" localSheetId="4" hidden="1">Notes!$A$6:$S$534</definedName>
    <definedName name="_xlnm._FilterDatabase" localSheetId="19" hidden="1">'PL Grouping'!$A$5:$Y$362</definedName>
    <definedName name="_xlnm._FilterDatabase" localSheetId="20" hidden="1">'TB CY'!$A$10:$K$193</definedName>
    <definedName name="_xlnm._FilterDatabase" localSheetId="18" hidden="1">'TB Other'!$A$2:$O$54</definedName>
    <definedName name="_xlnm._FilterDatabase" localSheetId="21" hidden="1">'TB PY'!$A$7:$G$188</definedName>
    <definedName name="_H95454" localSheetId="7">#REF!</definedName>
    <definedName name="_H95454" localSheetId="32">#REF!</definedName>
    <definedName name="_H95454" localSheetId="26">#REF!</definedName>
    <definedName name="_H95454">#REF!</definedName>
    <definedName name="_hhk9798" localSheetId="7">#REF!</definedName>
    <definedName name="_hhk9798" localSheetId="32">#REF!</definedName>
    <definedName name="_hhk9798">#REF!</definedName>
    <definedName name="_ist1" localSheetId="7">'[5]PL PBC'!#REF!</definedName>
    <definedName name="_ist1" localSheetId="32">'[5]PL PBC'!#REF!</definedName>
    <definedName name="_ist1" localSheetId="26">'[5]PL PBC'!#REF!</definedName>
    <definedName name="_ist1">'[5]PL PBC'!#REF!</definedName>
    <definedName name="_ji22" localSheetId="7">#REF!</definedName>
    <definedName name="_ji22" localSheetId="32">#REF!</definedName>
    <definedName name="_ji22">#REF!</definedName>
    <definedName name="_Key1" localSheetId="7" hidden="1">#REF!</definedName>
    <definedName name="_Key1" localSheetId="32" hidden="1">#REF!</definedName>
    <definedName name="_Key1" localSheetId="26" hidden="1">#REF!</definedName>
    <definedName name="_Key1" hidden="1">#REF!</definedName>
    <definedName name="_Key2" localSheetId="7" hidden="1">#REF!</definedName>
    <definedName name="_Key2" localSheetId="32" hidden="1">#REF!</definedName>
    <definedName name="_Key2" localSheetId="26" hidden="1">#REF!</definedName>
    <definedName name="_Key2" hidden="1">#REF!</definedName>
    <definedName name="_LI136" localSheetId="7">#REF!</definedName>
    <definedName name="_LI136" localSheetId="32">#REF!</definedName>
    <definedName name="_LI136">#REF!</definedName>
    <definedName name="_lia1" localSheetId="7">#REF!</definedName>
    <definedName name="_lia1" localSheetId="32">#REF!</definedName>
    <definedName name="_lia1">#REF!</definedName>
    <definedName name="_LOB1">[16]Summary!$C$89:$C$103</definedName>
    <definedName name="_lup1" localSheetId="7">#REF!</definedName>
    <definedName name="_lup1" localSheetId="32">#REF!</definedName>
    <definedName name="_lup1">#REF!</definedName>
    <definedName name="_lup2" localSheetId="7">#REF!</definedName>
    <definedName name="_lup2" localSheetId="32">#REF!</definedName>
    <definedName name="_lup2">#REF!</definedName>
    <definedName name="_MAR9091" localSheetId="7">'[11]TRIAL BALANCE'!#REF!</definedName>
    <definedName name="_MAR9091" localSheetId="32">'[11]TRIAL BALANCE'!#REF!</definedName>
    <definedName name="_MAR9091">'[11]TRIAL BALANCE'!#REF!</definedName>
    <definedName name="_mhk9798" localSheetId="7">#REF!</definedName>
    <definedName name="_mhk9798" localSheetId="32">#REF!</definedName>
    <definedName name="_mhk9798">#REF!</definedName>
    <definedName name="_mhk9899" localSheetId="7">#REF!</definedName>
    <definedName name="_mhk9899" localSheetId="32">#REF!</definedName>
    <definedName name="_mhk9899">#REF!</definedName>
    <definedName name="_MI136" localSheetId="7">#REF!</definedName>
    <definedName name="_MI136" localSheetId="32">#REF!</definedName>
    <definedName name="_MI136">#REF!</definedName>
    <definedName name="_OC12" localSheetId="7">#REF!</definedName>
    <definedName name="_OC12" localSheetId="32">#REF!</definedName>
    <definedName name="_OC12">#REF!</definedName>
    <definedName name="_OC3" localSheetId="7">#REF!</definedName>
    <definedName name="_OC3" localSheetId="32">#REF!</definedName>
    <definedName name="_OC3">#REF!</definedName>
    <definedName name="_Order1" hidden="1">255</definedName>
    <definedName name="_Order2" hidden="1">255</definedName>
    <definedName name="_Parse_In" localSheetId="7" hidden="1">#REF!</definedName>
    <definedName name="_Parse_In" localSheetId="32" hidden="1">#REF!</definedName>
    <definedName name="_Parse_In" localSheetId="26" hidden="1">#REF!</definedName>
    <definedName name="_Parse_In" hidden="1">#REF!</definedName>
    <definedName name="_Parse_Out" localSheetId="7" hidden="1">#REF!</definedName>
    <definedName name="_Parse_Out" localSheetId="32" hidden="1">#REF!</definedName>
    <definedName name="_Parse_Out" localSheetId="26" hidden="1">#REF!</definedName>
    <definedName name="_Parse_Out" hidden="1">#REF!</definedName>
    <definedName name="_PG1" localSheetId="7">#REF!</definedName>
    <definedName name="_PG1" localSheetId="32">#REF!</definedName>
    <definedName name="_PG1">#REF!</definedName>
    <definedName name="_qih1" localSheetId="7">#REF!</definedName>
    <definedName name="_qih1" localSheetId="32">#REF!</definedName>
    <definedName name="_qih1" localSheetId="26">#REF!</definedName>
    <definedName name="_qih1">#REF!</definedName>
    <definedName name="_QT1" localSheetId="7">#REF!</definedName>
    <definedName name="_QT1" localSheetId="32">#REF!</definedName>
    <definedName name="_QT1">#REF!</definedName>
    <definedName name="_QT2" localSheetId="7">#REF!</definedName>
    <definedName name="_QT2" localSheetId="32">#REF!</definedName>
    <definedName name="_QT2">#REF!</definedName>
    <definedName name="_QT3" localSheetId="7">#REF!</definedName>
    <definedName name="_QT3" localSheetId="32">#REF!</definedName>
    <definedName name="_QT3">#REF!</definedName>
    <definedName name="_QT4" localSheetId="7">#REF!</definedName>
    <definedName name="_QT4" localSheetId="32">#REF!</definedName>
    <definedName name="_QT4">#REF!</definedName>
    <definedName name="_rdd1" localSheetId="7">#REF!</definedName>
    <definedName name="_rdd1" localSheetId="32">#REF!</definedName>
    <definedName name="_rdd1">#REF!</definedName>
    <definedName name="_Ref472675261" localSheetId="13">'Note 38 FRM1_credit &amp; liquidity'!$B$1</definedName>
    <definedName name="_Regression_Int" hidden="1">1</definedName>
    <definedName name="_Regression_Y" localSheetId="7" hidden="1">#REF!</definedName>
    <definedName name="_Regression_Y" localSheetId="32" hidden="1">#REF!</definedName>
    <definedName name="_Regression_Y" hidden="1">#REF!</definedName>
    <definedName name="_RSU1" localSheetId="7">#REF!</definedName>
    <definedName name="_RSU1" localSheetId="32">#REF!</definedName>
    <definedName name="_RSU1">#REF!</definedName>
    <definedName name="_RSU11" localSheetId="7">#REF!</definedName>
    <definedName name="_RSU11" localSheetId="32">#REF!</definedName>
    <definedName name="_RSU11">#REF!</definedName>
    <definedName name="_RSU2" localSheetId="7">#REF!</definedName>
    <definedName name="_RSU2" localSheetId="32">#REF!</definedName>
    <definedName name="_RSU2">#REF!</definedName>
    <definedName name="_RSU22" localSheetId="7">#REF!</definedName>
    <definedName name="_RSU22" localSheetId="32">#REF!</definedName>
    <definedName name="_RSU22">#REF!</definedName>
    <definedName name="_RSU3" localSheetId="7">#REF!</definedName>
    <definedName name="_RSU3" localSheetId="32">#REF!</definedName>
    <definedName name="_RSU3">#REF!</definedName>
    <definedName name="_RSU33" localSheetId="7">#REF!</definedName>
    <definedName name="_RSU33" localSheetId="32">#REF!</definedName>
    <definedName name="_RSU33">#REF!</definedName>
    <definedName name="_RSU4" localSheetId="7">#REF!</definedName>
    <definedName name="_RSU4" localSheetId="32">#REF!</definedName>
    <definedName name="_RSU4">#REF!</definedName>
    <definedName name="_RSU44" localSheetId="7">#REF!</definedName>
    <definedName name="_RSU44" localSheetId="32">#REF!</definedName>
    <definedName name="_RSU44">#REF!</definedName>
    <definedName name="_RSU5" localSheetId="7">#REF!</definedName>
    <definedName name="_RSU5" localSheetId="32">#REF!</definedName>
    <definedName name="_RSU5">#REF!</definedName>
    <definedName name="_RSU55" localSheetId="7">#REF!</definedName>
    <definedName name="_RSU55" localSheetId="32">#REF!</definedName>
    <definedName name="_RSU55">#REF!</definedName>
    <definedName name="_RSU6" localSheetId="7">#REF!</definedName>
    <definedName name="_RSU6" localSheetId="32">#REF!</definedName>
    <definedName name="_RSU6">#REF!</definedName>
    <definedName name="_RSU66" localSheetId="7">#REF!</definedName>
    <definedName name="_RSU66" localSheetId="32">#REF!</definedName>
    <definedName name="_RSU66">#REF!</definedName>
    <definedName name="_SCH11" localSheetId="7">#REF!</definedName>
    <definedName name="_SCH11" localSheetId="32">#REF!</definedName>
    <definedName name="_SCH11">#REF!</definedName>
    <definedName name="_SCH4" localSheetId="7">#REF!</definedName>
    <definedName name="_SCH4" localSheetId="32">#REF!</definedName>
    <definedName name="_SCH4">#REF!</definedName>
    <definedName name="_sch5" localSheetId="7">#REF!</definedName>
    <definedName name="_sch5" localSheetId="32">#REF!</definedName>
    <definedName name="_sch5">#REF!</definedName>
    <definedName name="_SCH6" localSheetId="7">#REF!</definedName>
    <definedName name="_SCH6" localSheetId="32">#REF!</definedName>
    <definedName name="_SCH6">#REF!</definedName>
    <definedName name="_SCH8" localSheetId="7">#REF!</definedName>
    <definedName name="_SCH8" localSheetId="32">#REF!</definedName>
    <definedName name="_SCH8">#REF!</definedName>
    <definedName name="_Sort" localSheetId="7" hidden="1">#REF!</definedName>
    <definedName name="_Sort" localSheetId="32" hidden="1">#REF!</definedName>
    <definedName name="_Sort" localSheetId="26" hidden="1">#REF!</definedName>
    <definedName name="_Sort" hidden="1">#REF!</definedName>
    <definedName name="_SSP103" localSheetId="7">#REF!</definedName>
    <definedName name="_SSP103" localSheetId="32">#REF!</definedName>
    <definedName name="_SSP103">#REF!</definedName>
    <definedName name="_SSP112" localSheetId="7">#REF!</definedName>
    <definedName name="_SSP112" localSheetId="32">#REF!</definedName>
    <definedName name="_SSP112">#REF!</definedName>
    <definedName name="_SSP113" localSheetId="7">#REF!</definedName>
    <definedName name="_SSP113" localSheetId="32">#REF!</definedName>
    <definedName name="_SSP113">#REF!</definedName>
    <definedName name="_STI1" hidden="1">[12]B!$B$70:$D$72</definedName>
    <definedName name="_Table1_In1" localSheetId="7" hidden="1">#REF!</definedName>
    <definedName name="_Table1_In1" localSheetId="32" hidden="1">#REF!</definedName>
    <definedName name="_Table1_In1" localSheetId="26" hidden="1">#REF!</definedName>
    <definedName name="_Table1_In1" hidden="1">#REF!</definedName>
    <definedName name="_Table2_In1" localSheetId="7" hidden="1">#REF!</definedName>
    <definedName name="_Table2_In1" localSheetId="32" hidden="1">#REF!</definedName>
    <definedName name="_Table2_In1" hidden="1">#REF!</definedName>
    <definedName name="_Table2_In2" localSheetId="7" hidden="1">#REF!</definedName>
    <definedName name="_Table2_In2" localSheetId="32" hidden="1">#REF!</definedName>
    <definedName name="_Table2_In2" localSheetId="26" hidden="1">#REF!</definedName>
    <definedName name="_Table2_In2" hidden="1">#REF!</definedName>
    <definedName name="_TB0313" localSheetId="7">#REF!</definedName>
    <definedName name="_TB0313" localSheetId="32">#REF!</definedName>
    <definedName name="_TB0313" localSheetId="26">#REF!</definedName>
    <definedName name="_TB0313">#REF!</definedName>
    <definedName name="_TB1" localSheetId="7">#REF!</definedName>
    <definedName name="_TB1" localSheetId="32">#REF!</definedName>
    <definedName name="_TB1" localSheetId="26">#REF!</definedName>
    <definedName name="_TB1">#REF!</definedName>
    <definedName name="_TB1013" localSheetId="7">#REF!</definedName>
    <definedName name="_TB1013" localSheetId="32">#REF!</definedName>
    <definedName name="_TB1013" localSheetId="26">#REF!</definedName>
    <definedName name="_TB1013">#REF!</definedName>
    <definedName name="_tu14" localSheetId="7">#REF!</definedName>
    <definedName name="_tu14" localSheetId="32">#REF!</definedName>
    <definedName name="_tu14" localSheetId="26">#REF!</definedName>
    <definedName name="_tu14">#REF!</definedName>
    <definedName name="_tur14" localSheetId="7">#REF!</definedName>
    <definedName name="_tur14" localSheetId="32">#REF!</definedName>
    <definedName name="_tur14" localSheetId="26">#REF!</definedName>
    <definedName name="_tur14">#REF!</definedName>
    <definedName name="_UE3000" localSheetId="7">#REF!</definedName>
    <definedName name="_UE3000" localSheetId="32">#REF!</definedName>
    <definedName name="_UE3000">#REF!</definedName>
    <definedName name="_UE9000" localSheetId="7">#REF!</definedName>
    <definedName name="_UE9000" localSheetId="32">#REF!</definedName>
    <definedName name="_UE9000">#REF!</definedName>
    <definedName name="_vc1" localSheetId="7">#REF!</definedName>
    <definedName name="_vc1" localSheetId="32">#REF!</definedName>
    <definedName name="_vc1">#REF!</definedName>
    <definedName name="_WN7" localSheetId="7" hidden="1">{#N/A,#N/A,FALSE,"MODULE3"}</definedName>
    <definedName name="_WN7" hidden="1">{#N/A,#N/A,FALSE,"MODULE3"}</definedName>
    <definedName name="\" localSheetId="7" hidden="1">{#N/A,#N/A,FALSE,"MODULE3"}</definedName>
    <definedName name="\" hidden="1">{#N/A,#N/A,FALSE,"MODULE3"}</definedName>
    <definedName name="\0" localSheetId="7">[1]TOTAL!#REF!</definedName>
    <definedName name="\0" localSheetId="32">[1]TOTAL!#REF!</definedName>
    <definedName name="\0">[1]TOTAL!#REF!</definedName>
    <definedName name="\A" localSheetId="7">#REF!</definedName>
    <definedName name="\A" localSheetId="32">#REF!</definedName>
    <definedName name="\A" localSheetId="26">#REF!</definedName>
    <definedName name="\A">#REF!</definedName>
    <definedName name="\B" localSheetId="7">#REF!</definedName>
    <definedName name="\B" localSheetId="32">#REF!</definedName>
    <definedName name="\B" localSheetId="26">#REF!</definedName>
    <definedName name="\B">#REF!</definedName>
    <definedName name="\C" localSheetId="7">#REF!</definedName>
    <definedName name="\C" localSheetId="32">#REF!</definedName>
    <definedName name="\C" localSheetId="26">#REF!</definedName>
    <definedName name="\C">#REF!</definedName>
    <definedName name="\f" localSheetId="7">#REF!</definedName>
    <definedName name="\f" localSheetId="32">#REF!</definedName>
    <definedName name="\f">#REF!</definedName>
    <definedName name="\g" localSheetId="7">#REF!</definedName>
    <definedName name="\g" localSheetId="32">#REF!</definedName>
    <definedName name="\g">#REF!</definedName>
    <definedName name="\H" localSheetId="7">#REF!</definedName>
    <definedName name="\H" localSheetId="32">#REF!</definedName>
    <definedName name="\H" localSheetId="26">#REF!</definedName>
    <definedName name="\H">#REF!</definedName>
    <definedName name="\M" localSheetId="7">#REF!</definedName>
    <definedName name="\M" localSheetId="32">#REF!</definedName>
    <definedName name="\M" localSheetId="26">#REF!</definedName>
    <definedName name="\M">#REF!</definedName>
    <definedName name="\p" localSheetId="7">'[2]CMA DATA'!#REF!</definedName>
    <definedName name="\p" localSheetId="32">'[2]CMA DATA'!#REF!</definedName>
    <definedName name="\p" localSheetId="26">'[2]CMA DATA'!#REF!</definedName>
    <definedName name="\p">'[2]CMA DATA'!#REF!</definedName>
    <definedName name="\q" localSheetId="7">'[2]CMA DATA'!#REF!</definedName>
    <definedName name="\q" localSheetId="32">'[2]CMA DATA'!#REF!</definedName>
    <definedName name="\q" localSheetId="26">'[2]CMA DATA'!#REF!</definedName>
    <definedName name="\q">'[2]CMA DATA'!#REF!</definedName>
    <definedName name="\r" localSheetId="7">#REF!</definedName>
    <definedName name="\r" localSheetId="32">#REF!</definedName>
    <definedName name="\r">#REF!</definedName>
    <definedName name="\s" localSheetId="7">'[2]CMA DATA'!#REF!</definedName>
    <definedName name="\s" localSheetId="32">'[2]CMA DATA'!#REF!</definedName>
    <definedName name="\s" localSheetId="26">'[2]CMA DATA'!#REF!</definedName>
    <definedName name="\s">'[2]CMA DATA'!#REF!</definedName>
    <definedName name="\t" localSheetId="7">#REF!</definedName>
    <definedName name="\t" localSheetId="32">#REF!</definedName>
    <definedName name="\t">#REF!</definedName>
    <definedName name="\v" localSheetId="7">[3]PBCLIST!#REF!</definedName>
    <definedName name="\v" localSheetId="32">[3]PBCLIST!#REF!</definedName>
    <definedName name="\v">[3]PBCLIST!#REF!</definedName>
    <definedName name="\x" localSheetId="7">'[2]CMA DATA'!#REF!</definedName>
    <definedName name="\x" localSheetId="32">'[2]CMA DATA'!#REF!</definedName>
    <definedName name="\x" localSheetId="26">'[2]CMA DATA'!#REF!</definedName>
    <definedName name="\x">'[2]CMA DATA'!#REF!</definedName>
    <definedName name="\y" localSheetId="7">'[2]CMA DATA'!#REF!</definedName>
    <definedName name="\y" localSheetId="32">'[2]CMA DATA'!#REF!</definedName>
    <definedName name="\y" localSheetId="26">'[2]CMA DATA'!#REF!</definedName>
    <definedName name="\y">'[2]CMA DATA'!#REF!</definedName>
    <definedName name="\Z" localSheetId="7">#REF!</definedName>
    <definedName name="\Z" localSheetId="32">#REF!</definedName>
    <definedName name="\Z" localSheetId="26">#REF!</definedName>
    <definedName name="\Z">#REF!</definedName>
    <definedName name="a" localSheetId="7" hidden="1">{"PLANNING",#N/A,FALSE,"A"}</definedName>
    <definedName name="a" hidden="1">{"PLANNING",#N/A,FALSE,"A"}</definedName>
    <definedName name="A_impresión_IM">[17]C!$A$1:$E$24</definedName>
    <definedName name="aa" localSheetId="7">#REF!</definedName>
    <definedName name="aa" localSheetId="32">#REF!</definedName>
    <definedName name="aa">#REF!</definedName>
    <definedName name="AA_BS" localSheetId="7">#REF!</definedName>
    <definedName name="AA_BS" localSheetId="32">#REF!</definedName>
    <definedName name="AA_BS">#REF!</definedName>
    <definedName name="AA_CF" localSheetId="7">#REF!</definedName>
    <definedName name="AA_CF" localSheetId="32">#REF!</definedName>
    <definedName name="AA_CF">#REF!</definedName>
    <definedName name="AA_PL" localSheetId="7">#REF!</definedName>
    <definedName name="AA_PL" localSheetId="32">#REF!</definedName>
    <definedName name="AA_PL">#REF!</definedName>
    <definedName name="AA_Sch_12_13" localSheetId="7">#REF!</definedName>
    <definedName name="AA_Sch_12_13" localSheetId="32">#REF!</definedName>
    <definedName name="AA_Sch_12_13">#REF!</definedName>
    <definedName name="AA_Sch_14_15_16" localSheetId="7">#REF!</definedName>
    <definedName name="AA_Sch_14_15_16" localSheetId="32">#REF!</definedName>
    <definedName name="AA_Sch_14_15_16">#REF!</definedName>
    <definedName name="AA_Sch_17_18_19" localSheetId="7">#REF!</definedName>
    <definedName name="AA_Sch_17_18_19" localSheetId="32">#REF!</definedName>
    <definedName name="AA_Sch_17_18_19">#REF!</definedName>
    <definedName name="AA_Sch_3_4" localSheetId="7">#REF!</definedName>
    <definedName name="AA_Sch_3_4" localSheetId="32">#REF!</definedName>
    <definedName name="AA_Sch_3_4">#REF!</definedName>
    <definedName name="AA_Sch_5_6" localSheetId="7">#REF!</definedName>
    <definedName name="AA_Sch_5_6" localSheetId="32">#REF!</definedName>
    <definedName name="AA_Sch_5_6">#REF!</definedName>
    <definedName name="AA_Sch_7" localSheetId="7">#REF!</definedName>
    <definedName name="AA_Sch_7" localSheetId="32">#REF!</definedName>
    <definedName name="AA_Sch_7">#REF!</definedName>
    <definedName name="AA_Sch_8" localSheetId="7">#REF!</definedName>
    <definedName name="AA_Sch_8" localSheetId="32">#REF!</definedName>
    <definedName name="AA_Sch_8">#REF!</definedName>
    <definedName name="AA_Sch_9_10_11" localSheetId="7">#REF!</definedName>
    <definedName name="AA_Sch_9_10_11" localSheetId="32">#REF!</definedName>
    <definedName name="AA_Sch_9_10_11">#REF!</definedName>
    <definedName name="AAA" localSheetId="7" hidden="1">{"PLANT BREAKUP",#N/A,FALSE,"E"}</definedName>
    <definedName name="AAA" hidden="1">{"PLANT BREAKUP",#N/A,FALSE,"E"}</definedName>
    <definedName name="AAA_DOCTOPS" hidden="1">"AAA_SET"</definedName>
    <definedName name="AAA_duser" hidden="1">"OFF"</definedName>
    <definedName name="aaaa" hidden="1">{#N/A,#N/A,TRUE,"Staffnos &amp; cost"}</definedName>
    <definedName name="AAAAA" localSheetId="7" hidden="1">{"PLANT BREAKUP",#N/A,FALSE,"E"}</definedName>
    <definedName name="AAAAA" hidden="1">{"PLANT BREAKUP",#N/A,FALSE,"E"}</definedName>
    <definedName name="AAB_Addin5" hidden="1">"AAB_Description for addin 5,Description for addin 5,Description for addin 5,Description for addin 5,Description for addin 5,Description for addin 5"</definedName>
    <definedName name="AAFormula" localSheetId="7">#REF!</definedName>
    <definedName name="AAFormula" localSheetId="32">#REF!</definedName>
    <definedName name="AAFormula">#REF!</definedName>
    <definedName name="aass" localSheetId="7" hidden="1">#REF!</definedName>
    <definedName name="aass" localSheetId="32" hidden="1">#REF!</definedName>
    <definedName name="aass" localSheetId="26" hidden="1">#REF!</definedName>
    <definedName name="aass" hidden="1">#REF!</definedName>
    <definedName name="AASSD" localSheetId="7" hidden="1">[18]GRPGS!#REF!</definedName>
    <definedName name="AASSD" localSheetId="32" hidden="1">[18]GRPGS!#REF!</definedName>
    <definedName name="AASSD" hidden="1">[18]GRPGS!#REF!</definedName>
    <definedName name="ab" localSheetId="7">#REF!</definedName>
    <definedName name="ab" localSheetId="32">#REF!</definedName>
    <definedName name="ab" localSheetId="26">#REF!</definedName>
    <definedName name="ab">#REF!</definedName>
    <definedName name="abc" localSheetId="7" hidden="1">{"FTS",#N/A,FALSE,"E"}</definedName>
    <definedName name="abc" hidden="1">{"FTS",#N/A,FALSE,"E"}</definedName>
    <definedName name="ABFormula" localSheetId="7">#REF!</definedName>
    <definedName name="ABFormula" localSheetId="32">#REF!</definedName>
    <definedName name="ABFormula">#REF!</definedName>
    <definedName name="abg" localSheetId="7">#REF!</definedName>
    <definedName name="abg" localSheetId="32">#REF!</definedName>
    <definedName name="abg">#REF!</definedName>
    <definedName name="AC" localSheetId="7">#REF!</definedName>
    <definedName name="AC" localSheetId="32">#REF!</definedName>
    <definedName name="AC">#REF!</definedName>
    <definedName name="AC_Gold_Mark_Dn">[19]AC_Cost_KU!$B$14</definedName>
    <definedName name="AC_OR_IR_Ratio">[19]AC_Cost_KU!$B$12</definedName>
    <definedName name="AC_Plat_Mark_Dn">[19]AC_Cost_KU!$B$13</definedName>
    <definedName name="AccessDatabase" hidden="1">"D:\Compensation\comp data 2001.xls"</definedName>
    <definedName name="ACP" localSheetId="7">#REF!</definedName>
    <definedName name="ACP" localSheetId="32">#REF!</definedName>
    <definedName name="ACP">#REF!</definedName>
    <definedName name="ACPower" localSheetId="7">#REF!</definedName>
    <definedName name="ACPower" localSheetId="32">#REF!</definedName>
    <definedName name="ACPower">#REF!</definedName>
    <definedName name="act" localSheetId="7">#REF!</definedName>
    <definedName name="act" localSheetId="32">#REF!</definedName>
    <definedName name="act">#REF!</definedName>
    <definedName name="actcol" localSheetId="7">OFFSET('[20]Actual 2010-11'!$E$7,-2,MATCH(CurrMonth,'[20]Actual 2010-11'!$E$7:$P$7,0)-1,1,1)</definedName>
    <definedName name="actcol" localSheetId="23">OFFSET('[20]Actual 2010-11'!$E$7,-2,MATCH(CurrMonth,'[20]Actual 2010-11'!$E$7:$P$7,0)-1,1,1)</definedName>
    <definedName name="actcol" localSheetId="24">OFFSET('[20]Actual 2010-11'!$E$7,-2,MATCH(CurrMonth,'[20]Actual 2010-11'!$E$7:$P$7,0)-1,1,1)</definedName>
    <definedName name="actcol" localSheetId="32">OFFSET('[20]Actual 2010-11'!$E$7,-2,MATCH(CurrMonth,'[20]Actual 2010-11'!$E$7:$P$7,0)-1,1,1)</definedName>
    <definedName name="actcol" localSheetId="30">OFFSET('[20]Actual 2010-11'!$E$7,-2,MATCH(CurrMonth,'[20]Actual 2010-11'!$E$7:$P$7,0)-1,1,1)</definedName>
    <definedName name="actcol" localSheetId="29">OFFSET('[20]Actual 2010-11'!$E$7,-2,MATCH(CurrMonth,'[20]Actual 2010-11'!$E$7:$P$7,0)-1,1,1)</definedName>
    <definedName name="actcol" localSheetId="19">OFFSET('[20]Actual 2010-11'!$E$7,-2,MATCH(CurrMonth,'[20]Actual 2010-11'!$E$7:$P$7,0)-1,1,1)</definedName>
    <definedName name="actcol" localSheetId="26">OFFSET('[20]Actual 2010-11'!$E$7,-2,MATCH(CurrMonth,'[20]Actual 2010-11'!$E$7:$P$7,0)-1,1,1)</definedName>
    <definedName name="actcol" localSheetId="21">OFFSET('[20]Actual 2010-11'!$E$7,-2,MATCH(CurrMonth,'[20]Actual 2010-11'!$E$7:$P$7,0)-1,1,1)</definedName>
    <definedName name="actcol">OFFSET('[20]Actual 2010-11'!$E$7,-2,MATCH(CurrMonth,'[20]Actual 2010-11'!$E$7:$P$7,0)-1,1,1)</definedName>
    <definedName name="ACTIVO">[21]REPOMO!$A$72:$Q$86</definedName>
    <definedName name="ACTL_AEC" localSheetId="7">#REF!</definedName>
    <definedName name="ACTL_AEC" localSheetId="32">#REF!</definedName>
    <definedName name="ACTL_AEC">#REF!</definedName>
    <definedName name="ACTL_AEC_DEV" localSheetId="7">#REF!</definedName>
    <definedName name="ACTL_AEC_DEV" localSheetId="32">#REF!</definedName>
    <definedName name="ACTL_AEC_DEV">#REF!</definedName>
    <definedName name="ACTL_AMD" localSheetId="7">#REF!</definedName>
    <definedName name="ACTL_AMD" localSheetId="32">#REF!</definedName>
    <definedName name="ACTL_AMD">#REF!</definedName>
    <definedName name="ACTL_CCD_CNEXT" localSheetId="7">#REF!</definedName>
    <definedName name="ACTL_CCD_CNEXT" localSheetId="32">#REF!</definedName>
    <definedName name="ACTL_CCD_CNEXT">#REF!</definedName>
    <definedName name="ACTL_DSA" localSheetId="7">#REF!</definedName>
    <definedName name="ACTL_DSA" localSheetId="32">#REF!</definedName>
    <definedName name="ACTL_DSA">#REF!</definedName>
    <definedName name="ACTL_ELIM" localSheetId="7">#REF!</definedName>
    <definedName name="ACTL_ELIM" localSheetId="32">#REF!</definedName>
    <definedName name="ACTL_ELIM">#REF!</definedName>
    <definedName name="ACTL_GA_MIS" localSheetId="7">#REF!</definedName>
    <definedName name="ACTL_GA_MIS" localSheetId="32">#REF!</definedName>
    <definedName name="ACTL_GA_MIS">#REF!</definedName>
    <definedName name="ACTL_GRF">'[22]IS Mo'!$AH$10:$AS$62</definedName>
    <definedName name="ACTL_INN">'[22]IS Mo'!$BL$10:$BW$62</definedName>
    <definedName name="ACTL_LAT_AM" localSheetId="7">#REF!</definedName>
    <definedName name="ACTL_LAT_AM" localSheetId="32">#REF!</definedName>
    <definedName name="ACTL_LAT_AM">#REF!</definedName>
    <definedName name="ACTL_MKT_COMM" localSheetId="7">#REF!</definedName>
    <definedName name="ACTL_MKT_COMM" localSheetId="32">#REF!</definedName>
    <definedName name="ACTL_MKT_COMM">#REF!</definedName>
    <definedName name="ACTL_NAS_AEC" localSheetId="7">#REF!</definedName>
    <definedName name="ACTL_NAS_AEC" localSheetId="32">#REF!</definedName>
    <definedName name="ACTL_NAS_AEC">#REF!</definedName>
    <definedName name="ACTL_NAS_MECH" localSheetId="7">#REF!</definedName>
    <definedName name="ACTL_NAS_MECH" localSheetId="32">#REF!</definedName>
    <definedName name="ACTL_NAS_MECH">#REF!</definedName>
    <definedName name="ACTL_NEWCO" localSheetId="7">#REF!</definedName>
    <definedName name="ACTL_NEWCO" localSheetId="32">#REF!</definedName>
    <definedName name="ACTL_NEWCO">#REF!</definedName>
    <definedName name="ACTL_NEWCO_MO" localSheetId="7">#REF!</definedName>
    <definedName name="ACTL_NEWCO_MO" localSheetId="32">#REF!</definedName>
    <definedName name="ACTL_NEWCO_MO">#REF!</definedName>
    <definedName name="ACTL_PSD" localSheetId="7">#REF!</definedName>
    <definedName name="ACTL_PSD" localSheetId="32">#REF!</definedName>
    <definedName name="ACTL_PSD">#REF!</definedName>
    <definedName name="ACTL_PUB">'[22]IS Mo'!$AW$10:$BH$62</definedName>
    <definedName name="ACTL_VPM" localSheetId="7">#REF!</definedName>
    <definedName name="ACTL_VPM" localSheetId="32">#REF!</definedName>
    <definedName name="ACTL_VPM">#REF!</definedName>
    <definedName name="actpycol" localSheetId="7">OFFSET('[20]Actual 2009-10'!$E$7,-2,MATCH(CurrMonth,'[20]Actual 2009-10'!$E$7:$P$7,0)-1,1,1)</definedName>
    <definedName name="actpycol" localSheetId="23">OFFSET('[20]Actual 2009-10'!$E$7,-2,MATCH(CurrMonth,'[20]Actual 2009-10'!$E$7:$P$7,0)-1,1,1)</definedName>
    <definedName name="actpycol" localSheetId="24">OFFSET('[20]Actual 2009-10'!$E$7,-2,MATCH(CurrMonth,'[20]Actual 2009-10'!$E$7:$P$7,0)-1,1,1)</definedName>
    <definedName name="actpycol" localSheetId="32">OFFSET('[20]Actual 2009-10'!$E$7,-2,MATCH(CurrMonth,'[20]Actual 2009-10'!$E$7:$P$7,0)-1,1,1)</definedName>
    <definedName name="actpycol" localSheetId="30">OFFSET('[20]Actual 2009-10'!$E$7,-2,MATCH(CurrMonth,'[20]Actual 2009-10'!$E$7:$P$7,0)-1,1,1)</definedName>
    <definedName name="actpycol" localSheetId="29">OFFSET('[20]Actual 2009-10'!$E$7,-2,MATCH(CurrMonth,'[20]Actual 2009-10'!$E$7:$P$7,0)-1,1,1)</definedName>
    <definedName name="actpycol" localSheetId="19">OFFSET('[20]Actual 2009-10'!$E$7,-2,MATCH(CurrMonth,'[20]Actual 2009-10'!$E$7:$P$7,0)-1,1,1)</definedName>
    <definedName name="actpycol" localSheetId="26">OFFSET('[20]Actual 2009-10'!$E$7,-2,MATCH(CurrMonth,'[20]Actual 2009-10'!$E$7:$P$7,0)-1,1,1)</definedName>
    <definedName name="actpycol" localSheetId="21">OFFSET('[20]Actual 2009-10'!$E$7,-2,MATCH(CurrMonth,'[20]Actual 2009-10'!$E$7:$P$7,0)-1,1,1)</definedName>
    <definedName name="actpycol">OFFSET('[20]Actual 2009-10'!$E$7,-2,MATCH(CurrMonth,'[20]Actual 2009-10'!$E$7:$P$7,0)-1,1,1)</definedName>
    <definedName name="Actual_Forecast" localSheetId="7">#REF!</definedName>
    <definedName name="Actual_Forecast" localSheetId="32">#REF!</definedName>
    <definedName name="Actual_Forecast">#REF!</definedName>
    <definedName name="Actual_vs_Fcst" localSheetId="7">#REF!</definedName>
    <definedName name="Actual_vs_Fcst" localSheetId="32">#REF!</definedName>
    <definedName name="Actual_vs_Fcst">#REF!</definedName>
    <definedName name="AdditionalItems" localSheetId="7">#REF!</definedName>
    <definedName name="AdditionalItems" localSheetId="32">#REF!</definedName>
    <definedName name="AdditionalItems">#REF!</definedName>
    <definedName name="Additions" localSheetId="7">#REF!</definedName>
    <definedName name="Additions" localSheetId="32">#REF!</definedName>
    <definedName name="Additions">#REF!</definedName>
    <definedName name="Address1">[23]Info!$B$2</definedName>
    <definedName name="ADFormula" localSheetId="7">#REF!</definedName>
    <definedName name="ADFormula" localSheetId="32">#REF!</definedName>
    <definedName name="ADFormula">#REF!</definedName>
    <definedName name="adj_hw" localSheetId="7">#REF!</definedName>
    <definedName name="adj_hw" localSheetId="32">#REF!</definedName>
    <definedName name="adj_hw">#REF!</definedName>
    <definedName name="adj_hw_sld16" localSheetId="7">#REF!</definedName>
    <definedName name="adj_hw_sld16" localSheetId="32">#REF!</definedName>
    <definedName name="adj_hw_sld16">#REF!</definedName>
    <definedName name="adj_hw_sld16_booster" localSheetId="7">#REF!</definedName>
    <definedName name="adj_hw_sld16_booster" localSheetId="32">#REF!</definedName>
    <definedName name="adj_hw_sld16_booster">#REF!</definedName>
    <definedName name="adj_hw_sld16_preamp" localSheetId="7">#REF!</definedName>
    <definedName name="adj_hw_sld16_preamp" localSheetId="32">#REF!</definedName>
    <definedName name="adj_hw_sld16_preamp">#REF!</definedName>
    <definedName name="adj_hw_slr16" localSheetId="7">#REF!</definedName>
    <definedName name="adj_hw_slr16" localSheetId="32">#REF!</definedName>
    <definedName name="adj_hw_slr16">#REF!</definedName>
    <definedName name="adj_hw_sma1k" localSheetId="7">#REF!</definedName>
    <definedName name="adj_hw_sma1k" localSheetId="32">#REF!</definedName>
    <definedName name="adj_hw_sma1k">#REF!</definedName>
    <definedName name="adj_hw_sma1kcp" localSheetId="7">#REF!</definedName>
    <definedName name="adj_hw_sma1kcp" localSheetId="32">#REF!</definedName>
    <definedName name="adj_hw_sma1kcp">#REF!</definedName>
    <definedName name="adj_hw_sma4c" localSheetId="7">#REF!</definedName>
    <definedName name="adj_hw_sma4c" localSheetId="32">#REF!</definedName>
    <definedName name="adj_hw_sma4c">#REF!</definedName>
    <definedName name="adj_hw_stm1e" localSheetId="7">#REF!</definedName>
    <definedName name="adj_hw_stm1e" localSheetId="32">#REF!</definedName>
    <definedName name="adj_hw_stm1e">#REF!</definedName>
    <definedName name="adj_sw" localSheetId="7">#REF!</definedName>
    <definedName name="adj_sw" localSheetId="32">#REF!</definedName>
    <definedName name="adj_sw">#REF!</definedName>
    <definedName name="adj_sw_sld16" localSheetId="7">#REF!</definedName>
    <definedName name="adj_sw_sld16" localSheetId="32">#REF!</definedName>
    <definedName name="adj_sw_sld16">#REF!</definedName>
    <definedName name="adj_sw_sld16_booster" localSheetId="7">#REF!</definedName>
    <definedName name="adj_sw_sld16_booster" localSheetId="32">#REF!</definedName>
    <definedName name="adj_sw_sld16_booster">#REF!</definedName>
    <definedName name="adj_sw_sld16_preamp" localSheetId="7">#REF!</definedName>
    <definedName name="adj_sw_sld16_preamp" localSheetId="32">#REF!</definedName>
    <definedName name="adj_sw_sld16_preamp">#REF!</definedName>
    <definedName name="adj_sw_slr16" localSheetId="7">#REF!</definedName>
    <definedName name="adj_sw_slr16" localSheetId="32">#REF!</definedName>
    <definedName name="adj_sw_slr16">#REF!</definedName>
    <definedName name="adj_sw_sma1k" localSheetId="7">#REF!</definedName>
    <definedName name="adj_sw_sma1k" localSheetId="32">#REF!</definedName>
    <definedName name="adj_sw_sma1k">#REF!</definedName>
    <definedName name="adj_sw_sma1kcp" localSheetId="7">#REF!</definedName>
    <definedName name="adj_sw_sma1kcp" localSheetId="32">#REF!</definedName>
    <definedName name="adj_sw_sma1kcp">#REF!</definedName>
    <definedName name="adj_sw_sma4c" localSheetId="7">#REF!</definedName>
    <definedName name="adj_sw_sma4c" localSheetId="32">#REF!</definedName>
    <definedName name="adj_sw_sma4c">#REF!</definedName>
    <definedName name="adj_sw_stm1e" localSheetId="7">#REF!</definedName>
    <definedName name="adj_sw_stm1e" localSheetId="32">#REF!</definedName>
    <definedName name="adj_sw_stm1e">#REF!</definedName>
    <definedName name="ADP" localSheetId="7">#REF!</definedName>
    <definedName name="ADP" localSheetId="32">#REF!</definedName>
    <definedName name="ADP">#REF!</definedName>
    <definedName name="ADSL_NIC" localSheetId="7">#REF!</definedName>
    <definedName name="ADSL_NIC" localSheetId="32">#REF!</definedName>
    <definedName name="ADSL_NIC">#REF!</definedName>
    <definedName name="AdvancedOptics" localSheetId="7">#REF!</definedName>
    <definedName name="AdvancedOptics" localSheetId="32">#REF!</definedName>
    <definedName name="AdvancedOptics">#REF!</definedName>
    <definedName name="advances" localSheetId="7">#REF!</definedName>
    <definedName name="advances" localSheetId="32">#REF!</definedName>
    <definedName name="advances">#REF!</definedName>
    <definedName name="AEFormula" localSheetId="7">#REF!</definedName>
    <definedName name="AEFormula" localSheetId="32">#REF!</definedName>
    <definedName name="AEFormula">#REF!</definedName>
    <definedName name="ageing" localSheetId="7">#REF!</definedName>
    <definedName name="ageing" localSheetId="32">#REF!</definedName>
    <definedName name="ageing" localSheetId="26">#REF!</definedName>
    <definedName name="ageing">#REF!</definedName>
    <definedName name="AGFormula" localSheetId="7">#REF!</definedName>
    <definedName name="AGFormula" localSheetId="32">#REF!</definedName>
    <definedName name="AGFormula">#REF!</definedName>
    <definedName name="AGGREGATE">'[24]#REF'!$B$30</definedName>
    <definedName name="AGGREGATE_CRUSHING_PLANT">'[24]#REF'!$B$45</definedName>
    <definedName name="AGING" localSheetId="7">#REF!</definedName>
    <definedName name="AGING" localSheetId="32">#REF!</definedName>
    <definedName name="AGING" localSheetId="26">#REF!</definedName>
    <definedName name="AGING">#REF!</definedName>
    <definedName name="AHFormula" localSheetId="7">#REF!</definedName>
    <definedName name="AHFormula" localSheetId="32">#REF!</definedName>
    <definedName name="AHFormula">#REF!</definedName>
    <definedName name="AI" localSheetId="7">#REF!</definedName>
    <definedName name="AI" localSheetId="32">#REF!</definedName>
    <definedName name="AI">#REF!</definedName>
    <definedName name="aisdn" localSheetId="7">#REF!</definedName>
    <definedName name="aisdn" localSheetId="32">#REF!</definedName>
    <definedName name="aisdn">#REF!</definedName>
    <definedName name="aisdn2" localSheetId="7">#REF!</definedName>
    <definedName name="aisdn2" localSheetId="32">#REF!</definedName>
    <definedName name="aisdn2">#REF!</definedName>
    <definedName name="aisdn3" localSheetId="7">#REF!</definedName>
    <definedName name="aisdn3" localSheetId="32">#REF!</definedName>
    <definedName name="aisdn3">#REF!</definedName>
    <definedName name="Alcatel_E10" localSheetId="7">#REF!</definedName>
    <definedName name="Alcatel_E10" localSheetId="32">#REF!</definedName>
    <definedName name="Alcatel_E10">#REF!</definedName>
    <definedName name="AllTables" localSheetId="7">{7}</definedName>
    <definedName name="AllTables">{7}</definedName>
    <definedName name="amb_std" localSheetId="7">#REF!</definedName>
    <definedName name="amb_std" localSheetId="32">#REF!</definedName>
    <definedName name="amb_std">#REF!</definedName>
    <definedName name="amc" localSheetId="7">#REF!</definedName>
    <definedName name="amc" localSheetId="32">#REF!</definedName>
    <definedName name="amc">#REF!</definedName>
    <definedName name="ANNEXA" localSheetId="7">#REF!</definedName>
    <definedName name="ANNEXA" localSheetId="32">#REF!</definedName>
    <definedName name="ANNEXA">#REF!</definedName>
    <definedName name="anscount" hidden="1">1</definedName>
    <definedName name="ANURA" localSheetId="7">#REF!</definedName>
    <definedName name="ANURA" localSheetId="32">#REF!</definedName>
    <definedName name="ANURA">#REF!</definedName>
    <definedName name="aorg" localSheetId="7">#REF!</definedName>
    <definedName name="aorg" localSheetId="32">#REF!</definedName>
    <definedName name="aorg">#REF!</definedName>
    <definedName name="APORT.FUT.AUM." localSheetId="7">#REF!</definedName>
    <definedName name="APORT.FUT.AUM." localSheetId="32">#REF!</definedName>
    <definedName name="APORT.FUT.AUM.">#REF!</definedName>
    <definedName name="appendix4" localSheetId="7" hidden="1">{#N/A,#N/A,TRUE,"Cover sheet";#N/A,#N/A,TRUE,"Summary";#N/A,#N/A,TRUE,"Key Assumptions";#N/A,#N/A,TRUE,"Profit &amp; Loss";#N/A,#N/A,TRUE,"Balance Sheet";#N/A,#N/A,TRUE,"Cashflow";#N/A,#N/A,TRUE,"IRR";#N/A,#N/A,TRUE,"Ratios";#N/A,#N/A,TRUE,"Debt analysis"}</definedName>
    <definedName name="appendix4" hidden="1">{#N/A,#N/A,TRUE,"Cover sheet";#N/A,#N/A,TRUE,"Summary";#N/A,#N/A,TRUE,"Key Assumptions";#N/A,#N/A,TRUE,"Profit &amp; Loss";#N/A,#N/A,TRUE,"Balance Sheet";#N/A,#N/A,TRUE,"Cashflow";#N/A,#N/A,TRUE,"IRR";#N/A,#N/A,TRUE,"Ratios";#N/A,#N/A,TRUE,"Debt analysis"}</definedName>
    <definedName name="Area_Above_EL" localSheetId="7">#REF!</definedName>
    <definedName name="Area_Above_EL" localSheetId="32">#REF!</definedName>
    <definedName name="Area_Above_EL">#REF!</definedName>
    <definedName name="Area_Below_EL" localSheetId="7">#REF!</definedName>
    <definedName name="Area_Below_EL" localSheetId="32">#REF!</definedName>
    <definedName name="Area_Below_EL">#REF!</definedName>
    <definedName name="Area_Conversions" localSheetId="7">#REF!</definedName>
    <definedName name="Area_Conversions" localSheetId="32">#REF!</definedName>
    <definedName name="Area_Conversions">#REF!</definedName>
    <definedName name="Area_Left_EL" localSheetId="7">#REF!</definedName>
    <definedName name="Area_Left_EL" localSheetId="32">#REF!</definedName>
    <definedName name="Area_Left_EL">#REF!</definedName>
    <definedName name="ARReclass" localSheetId="7">#REF!</definedName>
    <definedName name="ARReclass" localSheetId="32">#REF!</definedName>
    <definedName name="ARReclass">#REF!</definedName>
    <definedName name="as" localSheetId="7">#REF!</definedName>
    <definedName name="as" localSheetId="32">#REF!</definedName>
    <definedName name="as" localSheetId="26">#REF!</definedName>
    <definedName name="as">#REF!</definedName>
    <definedName name="AS2DocOpenMode" hidden="1">"AS2DocumentEdit"</definedName>
    <definedName name="asf" localSheetId="7">#REF!</definedName>
    <definedName name="asf" localSheetId="32">#REF!</definedName>
    <definedName name="asf">#REF!</definedName>
    <definedName name="ash" hidden="1">{#N/A,#N/A,TRUE,"Staffnos &amp; cost"}</definedName>
    <definedName name="ASIA_PLASTIC_in_KUSD" localSheetId="7">#REF!</definedName>
    <definedName name="ASIA_PLASTIC_in_KUSD" localSheetId="32">#REF!</definedName>
    <definedName name="ASIA_PLASTIC_in_KUSD">#REF!</definedName>
    <definedName name="ass" localSheetId="7">#REF!</definedName>
    <definedName name="ass" localSheetId="32">#REF!</definedName>
    <definedName name="ass" localSheetId="26">#REF!</definedName>
    <definedName name="ass">#REF!</definedName>
    <definedName name="asset" localSheetId="7">#REF!</definedName>
    <definedName name="asset" localSheetId="32">#REF!</definedName>
    <definedName name="asset">#REF!</definedName>
    <definedName name="asset1" localSheetId="7">#REF!</definedName>
    <definedName name="asset1" localSheetId="32">#REF!</definedName>
    <definedName name="asset1">#REF!</definedName>
    <definedName name="ASSETS" localSheetId="7">#REF!</definedName>
    <definedName name="ASSETS" localSheetId="32">#REF!</definedName>
    <definedName name="ASSETS" localSheetId="26">#REF!</definedName>
    <definedName name="ASSETS">#REF!</definedName>
    <definedName name="ASSETTYPE">'[25]Useful Lives'!$D$4:$D$105</definedName>
    <definedName name="assss" localSheetId="7">#REF!</definedName>
    <definedName name="assss" localSheetId="32">#REF!</definedName>
    <definedName name="assss" localSheetId="26">#REF!</definedName>
    <definedName name="assss">#REF!</definedName>
    <definedName name="AsstYr">[26]Masters!$C$34</definedName>
    <definedName name="asum" localSheetId="7">#REF!</definedName>
    <definedName name="asum" localSheetId="32">#REF!</definedName>
    <definedName name="asum">#REF!</definedName>
    <definedName name="ASUMPTION" localSheetId="7">#REF!</definedName>
    <definedName name="ASUMPTION" localSheetId="32">#REF!</definedName>
    <definedName name="ASUMPTION">#REF!</definedName>
    <definedName name="AsyncTelemetry" localSheetId="7">#REF!</definedName>
    <definedName name="AsyncTelemetry" localSheetId="32">#REF!</definedName>
    <definedName name="AsyncTelemetry">#REF!</definedName>
    <definedName name="ATE" localSheetId="7">#REF!</definedName>
    <definedName name="ATE" localSheetId="32">#REF!</definedName>
    <definedName name="ATE">#REF!</definedName>
    <definedName name="aterm" localSheetId="7">#REF!</definedName>
    <definedName name="aterm" localSheetId="32">#REF!</definedName>
    <definedName name="aterm">#REF!</definedName>
    <definedName name="atm_e1" localSheetId="7">#REF!</definedName>
    <definedName name="atm_e1" localSheetId="32">#REF!</definedName>
    <definedName name="atm_e1">#REF!</definedName>
    <definedName name="atm_s" localSheetId="7">#REF!</definedName>
    <definedName name="atm_s" localSheetId="32">#REF!</definedName>
    <definedName name="atm_s">#REF!</definedName>
    <definedName name="ATM1I" localSheetId="7">#REF!</definedName>
    <definedName name="ATM1I" localSheetId="32">#REF!</definedName>
    <definedName name="ATM1I">#REF!</definedName>
    <definedName name="ATM1P" localSheetId="7">#REF!</definedName>
    <definedName name="ATM1P" localSheetId="32">#REF!</definedName>
    <definedName name="ATM1P">#REF!</definedName>
    <definedName name="ATM2I" localSheetId="7">#REF!</definedName>
    <definedName name="ATM2I" localSheetId="32">#REF!</definedName>
    <definedName name="ATM2I">#REF!</definedName>
    <definedName name="ATM2P" localSheetId="7">#REF!</definedName>
    <definedName name="ATM2P" localSheetId="32">#REF!</definedName>
    <definedName name="ATM2P">#REF!</definedName>
    <definedName name="atrunk" localSheetId="7">#REF!</definedName>
    <definedName name="atrunk" localSheetId="32">#REF!</definedName>
    <definedName name="atrunk">#REF!</definedName>
    <definedName name="attach1" localSheetId="7">#REF!</definedName>
    <definedName name="attach1" localSheetId="32">#REF!</definedName>
    <definedName name="attach1">#REF!</definedName>
    <definedName name="attach10" localSheetId="7">#REF!</definedName>
    <definedName name="attach10" localSheetId="32">#REF!</definedName>
    <definedName name="attach10">#REF!</definedName>
    <definedName name="attach11" localSheetId="7">#REF!</definedName>
    <definedName name="attach11" localSheetId="32">#REF!</definedName>
    <definedName name="attach11">#REF!</definedName>
    <definedName name="attach12" localSheetId="7">#REF!</definedName>
    <definedName name="attach12" localSheetId="32">#REF!</definedName>
    <definedName name="attach12">#REF!</definedName>
    <definedName name="attach13" localSheetId="7">#REF!</definedName>
    <definedName name="attach13" localSheetId="32">#REF!</definedName>
    <definedName name="attach13">#REF!</definedName>
    <definedName name="attach14" localSheetId="7">#REF!</definedName>
    <definedName name="attach14" localSheetId="32">#REF!</definedName>
    <definedName name="attach14">#REF!</definedName>
    <definedName name="attach15" localSheetId="7">#REF!</definedName>
    <definedName name="attach15" localSheetId="32">#REF!</definedName>
    <definedName name="attach15">#REF!</definedName>
    <definedName name="attach16" localSheetId="7">#REF!</definedName>
    <definedName name="attach16" localSheetId="32">#REF!</definedName>
    <definedName name="attach16">#REF!</definedName>
    <definedName name="attach18" localSheetId="7">#REF!</definedName>
    <definedName name="attach18" localSheetId="32">#REF!</definedName>
    <definedName name="attach18">#REF!</definedName>
    <definedName name="attach1a" localSheetId="7">#REF!</definedName>
    <definedName name="attach1a" localSheetId="32">#REF!</definedName>
    <definedName name="attach1a">#REF!</definedName>
    <definedName name="attach2" localSheetId="7">#REF!</definedName>
    <definedName name="attach2" localSheetId="32">#REF!</definedName>
    <definedName name="attach2">#REF!</definedName>
    <definedName name="attach3a" localSheetId="7">#REF!</definedName>
    <definedName name="attach3a" localSheetId="32">#REF!</definedName>
    <definedName name="attach3a">#REF!</definedName>
    <definedName name="attach5" localSheetId="7">#REF!</definedName>
    <definedName name="attach5" localSheetId="32">#REF!</definedName>
    <definedName name="attach5">#REF!</definedName>
    <definedName name="attach6" localSheetId="7">#REF!</definedName>
    <definedName name="attach6" localSheetId="32">#REF!</definedName>
    <definedName name="attach6">#REF!</definedName>
    <definedName name="attach7a" localSheetId="7">#REF!</definedName>
    <definedName name="attach7a" localSheetId="32">#REF!</definedName>
    <definedName name="attach7a">#REF!</definedName>
    <definedName name="attach8" localSheetId="7">#REF!</definedName>
    <definedName name="attach8" localSheetId="32">#REF!</definedName>
    <definedName name="attach8">#REF!</definedName>
    <definedName name="attach9" localSheetId="7">#REF!</definedName>
    <definedName name="attach9" localSheetId="32">#REF!</definedName>
    <definedName name="attach9">#REF!</definedName>
    <definedName name="atttach4" localSheetId="7">#REF!</definedName>
    <definedName name="atttach4" localSheetId="32">#REF!</definedName>
    <definedName name="atttach4">#REF!</definedName>
    <definedName name="audname" localSheetId="7">#REF!</definedName>
    <definedName name="audname" localSheetId="32">#REF!</definedName>
    <definedName name="audname">#REF!</definedName>
    <definedName name="audsign" localSheetId="7">#REF!</definedName>
    <definedName name="audsign" localSheetId="32">#REF!</definedName>
    <definedName name="audsign">#REF!</definedName>
    <definedName name="audsignms" localSheetId="7">#REF!</definedName>
    <definedName name="audsignms" localSheetId="32">#REF!</definedName>
    <definedName name="audsignms">#REF!</definedName>
    <definedName name="Average_Beg_End" localSheetId="7">#REF!</definedName>
    <definedName name="Average_Beg_End" localSheetId="32">#REF!</definedName>
    <definedName name="Average_Beg_End">#REF!</definedName>
    <definedName name="AvgNADs" localSheetId="7">#REF!</definedName>
    <definedName name="AvgNADs" localSheetId="32">#REF!</definedName>
    <definedName name="AvgNADs">#REF!</definedName>
    <definedName name="AXE" localSheetId="7">#REF!</definedName>
    <definedName name="AXE" localSheetId="32">#REF!</definedName>
    <definedName name="AXE">#REF!</definedName>
    <definedName name="axedoc" localSheetId="7">#REF!</definedName>
    <definedName name="axedoc" localSheetId="32">#REF!</definedName>
    <definedName name="axedoc">#REF!</definedName>
    <definedName name="B" localSheetId="7">#REF!</definedName>
    <definedName name="B" localSheetId="32">#REF!</definedName>
    <definedName name="B" localSheetId="26">#REF!</definedName>
    <definedName name="B">#REF!</definedName>
    <definedName name="B_SW" localSheetId="7">#REF!</definedName>
    <definedName name="B_SW" localSheetId="32">#REF!</definedName>
    <definedName name="B_SW">#REF!</definedName>
    <definedName name="back" localSheetId="7">#REF!</definedName>
    <definedName name="back" localSheetId="32">#REF!</definedName>
    <definedName name="back">#REF!</definedName>
    <definedName name="bal" localSheetId="7">#REF!</definedName>
    <definedName name="bal" localSheetId="32">#REF!</definedName>
    <definedName name="bal" localSheetId="26">#REF!</definedName>
    <definedName name="bal">#REF!</definedName>
    <definedName name="BalanceSheet" localSheetId="7">#REF!</definedName>
    <definedName name="balancesheet" hidden="1">{#N/A,#N/A,FALSE,"Staffnos &amp; cost"}</definedName>
    <definedName name="balsheet" localSheetId="7">#REF!</definedName>
    <definedName name="balsheet" localSheetId="32">#REF!</definedName>
    <definedName name="balsheet" localSheetId="26">#REF!</definedName>
    <definedName name="balsheet">#REF!</definedName>
    <definedName name="BAR_BENDERS" localSheetId="7">'[24]#REF'!#REF!</definedName>
    <definedName name="BAR_BENDERS" localSheetId="32">'[24]#REF'!#REF!</definedName>
    <definedName name="BAR_BENDERS">'[24]#REF'!#REF!</definedName>
    <definedName name="basic_traf_mgmt" localSheetId="7">#REF!</definedName>
    <definedName name="basic_traf_mgmt" localSheetId="32">#REF!</definedName>
    <definedName name="basic_traf_mgmt">#REF!</definedName>
    <definedName name="BATCHING_PLANT">'[24]#REF'!$B$46:$B$54</definedName>
    <definedName name="BAY_89AA" localSheetId="7">#REF!</definedName>
    <definedName name="BAY_89AA" localSheetId="32">#REF!</definedName>
    <definedName name="BAY_89AA">#REF!</definedName>
    <definedName name="BAY_89AB" localSheetId="7">#REF!</definedName>
    <definedName name="BAY_89AB" localSheetId="32">#REF!</definedName>
    <definedName name="BAY_89AB">#REF!</definedName>
    <definedName name="BAY_89AC" localSheetId="7">#REF!</definedName>
    <definedName name="BAY_89AC" localSheetId="32">#REF!</definedName>
    <definedName name="BAY_89AC">#REF!</definedName>
    <definedName name="BB" localSheetId="7">#REF!</definedName>
    <definedName name="BB" localSheetId="32">#REF!</definedName>
    <definedName name="BB" localSheetId="26">#REF!</definedName>
    <definedName name="BB">#REF!</definedName>
    <definedName name="bbb" localSheetId="7">#REF!</definedName>
    <definedName name="bbb" localSheetId="32">#REF!</definedName>
    <definedName name="bbb">#REF!</definedName>
    <definedName name="bbbb" localSheetId="7">#REF!</definedName>
    <definedName name="bbbb" localSheetId="32">#REF!</definedName>
    <definedName name="bbbb">#REF!</definedName>
    <definedName name="bdately" localSheetId="7">#REF!</definedName>
    <definedName name="bdately" localSheetId="32">#REF!</definedName>
    <definedName name="bdately">#REF!</definedName>
    <definedName name="Begining" localSheetId="7">#REF!</definedName>
    <definedName name="Begining" localSheetId="32">#REF!</definedName>
    <definedName name="Begining">#REF!</definedName>
    <definedName name="BELDAR">'[24]#REF'!$B$9</definedName>
    <definedName name="BENDERS" localSheetId="7">'[24]BASIC RATES'!#REF!</definedName>
    <definedName name="BENDERS" localSheetId="32">'[24]BASIC RATES'!#REF!</definedName>
    <definedName name="BENDERS">'[24]BASIC RATES'!#REF!</definedName>
    <definedName name="bform_col" localSheetId="7">#REF!</definedName>
    <definedName name="bform_col" localSheetId="32">#REF!</definedName>
    <definedName name="bform_col">#REF!</definedName>
    <definedName name="BForm_Print_Area" localSheetId="7">#REF!</definedName>
    <definedName name="BForm_Print_Area" localSheetId="32">#REF!</definedName>
    <definedName name="BForm_Print_Area">#REF!</definedName>
    <definedName name="BGH" localSheetId="7" hidden="1">{#N/A,#N/A,FALSE,"MODULE3"}</definedName>
    <definedName name="BGH" hidden="1">{#N/A,#N/A,FALSE,"MODULE3"}</definedName>
    <definedName name="BGT_GRF">'[22]IS Mo'!$AH$134:$AS$186</definedName>
    <definedName name="BGT_INN">'[22]IS Mo'!$BL$134:$BW$186</definedName>
    <definedName name="BGT_PUB">'[22]IS Mo'!$AW$134:$BH$186</definedName>
    <definedName name="BITUMEN__70_80" localSheetId="7">'[24]#REF'!#REF!</definedName>
    <definedName name="BITUMEN__70_80" localSheetId="32">'[24]#REF'!#REF!</definedName>
    <definedName name="BITUMEN__70_80">'[24]#REF'!#REF!</definedName>
    <definedName name="BITUMEN__SUSPENSION" localSheetId="7">'[24]#REF'!#REF!</definedName>
    <definedName name="BITUMEN__SUSPENSION" localSheetId="32">'[24]#REF'!#REF!</definedName>
    <definedName name="BITUMEN__SUSPENSION">'[24]#REF'!#REF!</definedName>
    <definedName name="BITUMEN_SPRAYER">'[24]#REF'!$B$47</definedName>
    <definedName name="BLACK_SMITH" localSheetId="7">'[24]#REF'!#REF!</definedName>
    <definedName name="BLACK_SMITH" localSheetId="32">'[24]#REF'!#REF!</definedName>
    <definedName name="BLACK_SMITH">'[24]#REF'!#REF!</definedName>
    <definedName name="BLPH1" localSheetId="7" hidden="1">#REF!</definedName>
    <definedName name="BLPH1" localSheetId="32" hidden="1">#REF!</definedName>
    <definedName name="BLPH1" hidden="1">#REF!</definedName>
    <definedName name="BLPH2" localSheetId="7" hidden="1">#REF!</definedName>
    <definedName name="BLPH2" localSheetId="32" hidden="1">#REF!</definedName>
    <definedName name="BLPH2" hidden="1">#REF!</definedName>
    <definedName name="BLPH3" localSheetId="7" hidden="1">#REF!</definedName>
    <definedName name="BLPH3" localSheetId="32" hidden="1">#REF!</definedName>
    <definedName name="BLPH3" hidden="1">#REF!</definedName>
    <definedName name="BLPH4" localSheetId="7" hidden="1">#REF!</definedName>
    <definedName name="BLPH4" localSheetId="32" hidden="1">#REF!</definedName>
    <definedName name="BLPH4" hidden="1">#REF!</definedName>
    <definedName name="BLPH5" localSheetId="7" hidden="1">#REF!</definedName>
    <definedName name="BLPH5" localSheetId="32" hidden="1">#REF!</definedName>
    <definedName name="BLPH5" hidden="1">#REF!</definedName>
    <definedName name="bmonth" localSheetId="7">#REF!</definedName>
    <definedName name="bmonth" localSheetId="32">#REF!</definedName>
    <definedName name="bmonth">#REF!</definedName>
    <definedName name="bnm" localSheetId="7">#REF!</definedName>
    <definedName name="bnm" localSheetId="32">#REF!</definedName>
    <definedName name="bnm">#REF!</definedName>
    <definedName name="Bonus" localSheetId="7">#REF!</definedName>
    <definedName name="Bonus" localSheetId="32">#REF!</definedName>
    <definedName name="Bonus">#REF!</definedName>
    <definedName name="bookprofitcalmar98" localSheetId="7">#REF!</definedName>
    <definedName name="bookprofitcalmar98" localSheetId="32">#REF!</definedName>
    <definedName name="bookprofitcalmar98">#REF!</definedName>
    <definedName name="boq" localSheetId="7">#REF!</definedName>
    <definedName name="boq" localSheetId="32">#REF!</definedName>
    <definedName name="boq" localSheetId="26">#REF!</definedName>
    <definedName name="boq">#REF!</definedName>
    <definedName name="BOULDERS" localSheetId="7">'[24]#REF'!#REF!</definedName>
    <definedName name="BOULDERS" localSheetId="32">'[24]#REF'!#REF!</definedName>
    <definedName name="BOULDERS">'[24]#REF'!#REF!</definedName>
    <definedName name="BPCASH" localSheetId="7">#REF!</definedName>
    <definedName name="BPCASH" localSheetId="32">#REF!</definedName>
    <definedName name="BPCASH" localSheetId="26">#REF!</definedName>
    <definedName name="BPCASH">#REF!</definedName>
    <definedName name="BPCASH1" localSheetId="7">#REF!</definedName>
    <definedName name="BPCASH1" localSheetId="32">#REF!</definedName>
    <definedName name="BPCASH1" localSheetId="26">#REF!</definedName>
    <definedName name="BPCASH1">#REF!</definedName>
    <definedName name="BPCASH111" localSheetId="7">#REF!</definedName>
    <definedName name="BPCASH111" localSheetId="32">#REF!</definedName>
    <definedName name="BPCASH111" localSheetId="26">#REF!</definedName>
    <definedName name="BPCASH111">#REF!</definedName>
    <definedName name="BRICKS" localSheetId="7">'[24]#REF'!#REF!</definedName>
    <definedName name="BRICKS" localSheetId="32">'[24]#REF'!#REF!</definedName>
    <definedName name="BRICKS">'[24]#REF'!#REF!</definedName>
    <definedName name="BRIDGES">'[27]BOQ Distribution'!$A$35:$G$47</definedName>
    <definedName name="brs" localSheetId="7">#REF!</definedName>
    <definedName name="brs" localSheetId="32">#REF!</definedName>
    <definedName name="brs" localSheetId="26">#REF!</definedName>
    <definedName name="brs">#REF!</definedName>
    <definedName name="BS" localSheetId="7">#REF!</definedName>
    <definedName name="BS" localSheetId="32">#REF!</definedName>
    <definedName name="BS">#REF!</definedName>
    <definedName name="BS_3" localSheetId="7">#REF!</definedName>
    <definedName name="BS_3" localSheetId="32">#REF!</definedName>
    <definedName name="BS_3">#REF!</definedName>
    <definedName name="BSDateSF">[26]Masters!$C$28</definedName>
    <definedName name="bsheet">'[28]BS before PMO'!$Z$1:$BC$49,'[28]BS before PMO'!$U$1:$X$35,'[28]BS before PMO'!$I$1:$N$49,'[28]BS before PMO'!$C$1:$G$52,'[28]BS before PMO'!$C$57:$G$99,'[28]BS before PMO'!$C$102:$G$158,'[28]BS before PMO'!$C$160:$G$204</definedName>
    <definedName name="bsp" localSheetId="7">#REF!</definedName>
    <definedName name="bsp" localSheetId="32">#REF!</definedName>
    <definedName name="bsp">#REF!</definedName>
    <definedName name="bspd" localSheetId="7">#REF!</definedName>
    <definedName name="bspd" localSheetId="32">#REF!</definedName>
    <definedName name="bspd">#REF!</definedName>
    <definedName name="BSR_Version" localSheetId="7">#REF!</definedName>
    <definedName name="BSR_Version" localSheetId="32">#REF!</definedName>
    <definedName name="BSR_Version">#REF!</definedName>
    <definedName name="bss" hidden="1">{#N/A,#N/A,FALSE,"Staffnos &amp; cost"}</definedName>
    <definedName name="Budcol" localSheetId="7">OFFSET('[20]Budget 2010-11'!$E$7,-2,MATCH(CurrMonth,'[20]Budget 2010-11'!$E$7:$P$7,0)-1,1,1)</definedName>
    <definedName name="Budcol" localSheetId="23">OFFSET('[20]Budget 2010-11'!$E$7,-2,MATCH(CurrMonth,'[20]Budget 2010-11'!$E$7:$P$7,0)-1,1,1)</definedName>
    <definedName name="Budcol" localSheetId="24">OFFSET('[20]Budget 2010-11'!$E$7,-2,MATCH(CurrMonth,'[20]Budget 2010-11'!$E$7:$P$7,0)-1,1,1)</definedName>
    <definedName name="Budcol" localSheetId="32">OFFSET('[20]Budget 2010-11'!$E$7,-2,MATCH(CurrMonth,'[20]Budget 2010-11'!$E$7:$P$7,0)-1,1,1)</definedName>
    <definedName name="Budcol" localSheetId="30">OFFSET('[20]Budget 2010-11'!$E$7,-2,MATCH(CurrMonth,'[20]Budget 2010-11'!$E$7:$P$7,0)-1,1,1)</definedName>
    <definedName name="Budcol" localSheetId="29">OFFSET('[20]Budget 2010-11'!$E$7,-2,MATCH(CurrMonth,'[20]Budget 2010-11'!$E$7:$P$7,0)-1,1,1)</definedName>
    <definedName name="Budcol" localSheetId="19">OFFSET('[20]Budget 2010-11'!$E$7,-2,MATCH(CurrMonth,'[20]Budget 2010-11'!$E$7:$P$7,0)-1,1,1)</definedName>
    <definedName name="Budcol" localSheetId="26">OFFSET('[20]Budget 2010-11'!$E$7,-2,MATCH(CurrMonth,'[20]Budget 2010-11'!$E$7:$P$7,0)-1,1,1)</definedName>
    <definedName name="Budcol" localSheetId="21">OFFSET('[20]Budget 2010-11'!$E$7,-2,MATCH(CurrMonth,'[20]Budget 2010-11'!$E$7:$P$7,0)-1,1,1)</definedName>
    <definedName name="Budcol">OFFSET('[20]Budget 2010-11'!$E$7,-2,MATCH(CurrMonth,'[20]Budget 2010-11'!$E$7:$P$7,0)-1,1,1)</definedName>
    <definedName name="BuiltIn_Print_Area" localSheetId="7">#REF!</definedName>
    <definedName name="BuiltIn_Print_Area" localSheetId="32">#REF!</definedName>
    <definedName name="BuiltIn_Print_Area" localSheetId="26">#REF!</definedName>
    <definedName name="BuiltIn_Print_Area">#REF!</definedName>
    <definedName name="BuiltIn_Print_Area___0" localSheetId="7">#REF!</definedName>
    <definedName name="BuiltIn_Print_Area___0" localSheetId="32">#REF!</definedName>
    <definedName name="BuiltIn_Print_Area___0" localSheetId="26">#REF!</definedName>
    <definedName name="BuiltIn_Print_Area___0">#REF!</definedName>
    <definedName name="BuiltIn_Print_Area___0___0" localSheetId="7">#REF!</definedName>
    <definedName name="BuiltIn_Print_Area___0___0" localSheetId="32">#REF!</definedName>
    <definedName name="BuiltIn_Print_Area___0___0">#REF!</definedName>
    <definedName name="BuiltIn_Print_Area___0___0___0" localSheetId="7">#REF!</definedName>
    <definedName name="BuiltIn_Print_Area___0___0___0" localSheetId="32">#REF!</definedName>
    <definedName name="BuiltIn_Print_Area___0___0___0">#REF!</definedName>
    <definedName name="BuiltIn_Print_Area___0___0___0___0" localSheetId="7">#REF!</definedName>
    <definedName name="BuiltIn_Print_Area___0___0___0___0" localSheetId="32">#REF!</definedName>
    <definedName name="BuiltIn_Print_Area___0___0___0___0">#REF!</definedName>
    <definedName name="BuiltIn_Print_Area___0___0___0___0___0" localSheetId="7">#REF!</definedName>
    <definedName name="BuiltIn_Print_Area___0___0___0___0___0" localSheetId="32">#REF!</definedName>
    <definedName name="BuiltIn_Print_Area___0___0___0___0___0">#REF!</definedName>
    <definedName name="BuiltIn_Print_Area___2" localSheetId="7">#REF!</definedName>
    <definedName name="BuiltIn_Print_Area___2" localSheetId="32">#REF!</definedName>
    <definedName name="BuiltIn_Print_Area___2">#REF!</definedName>
    <definedName name="BuiltIn_Print_Area___3" localSheetId="7">#REF!</definedName>
    <definedName name="BuiltIn_Print_Area___3" localSheetId="32">#REF!</definedName>
    <definedName name="BuiltIn_Print_Area___3">#REF!</definedName>
    <definedName name="BuiltIn_Print_Area___4" localSheetId="7">#REF!</definedName>
    <definedName name="BuiltIn_Print_Area___4" localSheetId="32">#REF!</definedName>
    <definedName name="BuiltIn_Print_Area___4">#REF!</definedName>
    <definedName name="BuiltIn_Print_Area___5" localSheetId="7">#REF!</definedName>
    <definedName name="BuiltIn_Print_Area___5" localSheetId="32">#REF!</definedName>
    <definedName name="BuiltIn_Print_Area___5">#REF!</definedName>
    <definedName name="BuiltIn_Print_Area___6" localSheetId="7">#REF!</definedName>
    <definedName name="BuiltIn_Print_Area___6" localSheetId="32">#REF!</definedName>
    <definedName name="BuiltIn_Print_Area___6">#REF!</definedName>
    <definedName name="BuiltIn_Print_Area___7" localSheetId="7">#REF!</definedName>
    <definedName name="BuiltIn_Print_Area___7" localSheetId="32">#REF!</definedName>
    <definedName name="BuiltIn_Print_Area___7">#REF!</definedName>
    <definedName name="BuiltIn_Print_Titles" localSheetId="7">#REF!</definedName>
    <definedName name="BuiltIn_Print_Titles" localSheetId="32">#REF!</definedName>
    <definedName name="BuiltIn_Print_Titles" localSheetId="26">#REF!</definedName>
    <definedName name="BuiltIn_Print_Titles">#REF!</definedName>
    <definedName name="Bundle" localSheetId="7">#REF!</definedName>
    <definedName name="Bundle" localSheetId="32">#REF!</definedName>
    <definedName name="Bundle">#REF!</definedName>
    <definedName name="byear" localSheetId="7">#REF!</definedName>
    <definedName name="byear" localSheetId="32">#REF!</definedName>
    <definedName name="byear">#REF!</definedName>
    <definedName name="byearly" localSheetId="7">#REF!</definedName>
    <definedName name="byearly" localSheetId="32">#REF!</definedName>
    <definedName name="byearly">#REF!</definedName>
    <definedName name="C_">#N/A</definedName>
    <definedName name="c_cables" localSheetId="7">#REF!</definedName>
    <definedName name="c_cables" localSheetId="32">#REF!</definedName>
    <definedName name="c_cables">#REF!</definedName>
    <definedName name="c_sw" localSheetId="7">#REF!</definedName>
    <definedName name="c_sw" localSheetId="32">#REF!</definedName>
    <definedName name="c_sw">#REF!</definedName>
    <definedName name="cab" localSheetId="7">#REF!</definedName>
    <definedName name="cab" localSheetId="32">#REF!</definedName>
    <definedName name="cab">#REF!</definedName>
    <definedName name="CADAM_Roys" localSheetId="7">#REF!</definedName>
    <definedName name="CADAM_Roys" localSheetId="32">#REF!</definedName>
    <definedName name="CADAM_Roys">#REF!</definedName>
    <definedName name="cap" localSheetId="7">#REF!</definedName>
    <definedName name="cap" localSheetId="32">#REF!</definedName>
    <definedName name="cap">#REF!</definedName>
    <definedName name="CAP.SOCIAL" localSheetId="7">#REF!</definedName>
    <definedName name="CAP.SOCIAL" localSheetId="32">#REF!</definedName>
    <definedName name="CAP.SOCIAL">#REF!</definedName>
    <definedName name="cap\loan" localSheetId="7">#REF!</definedName>
    <definedName name="cap\loan" localSheetId="32">#REF!</definedName>
    <definedName name="cap\loan">#REF!</definedName>
    <definedName name="CAPAPR" localSheetId="7">#REF!</definedName>
    <definedName name="CAPAPR" localSheetId="32">#REF!</definedName>
    <definedName name="CAPAPR">#REF!</definedName>
    <definedName name="CAPAUG" localSheetId="7">#REF!</definedName>
    <definedName name="CAPAUG" localSheetId="32">#REF!</definedName>
    <definedName name="CAPAUG">#REF!</definedName>
    <definedName name="CAPDEC" localSheetId="7">#REF!</definedName>
    <definedName name="CAPDEC" localSheetId="32">#REF!</definedName>
    <definedName name="CAPDEC">#REF!</definedName>
    <definedName name="CAPEX" localSheetId="7">#REF!</definedName>
    <definedName name="CAPEX" localSheetId="32">#REF!</definedName>
    <definedName name="CAPEX">#REF!</definedName>
    <definedName name="CAPFEB" localSheetId="7">#REF!</definedName>
    <definedName name="CAPFEB" localSheetId="32">#REF!</definedName>
    <definedName name="CAPFEB">#REF!</definedName>
    <definedName name="CAPITALCY">'[29]Sch 1-6'!$D$15</definedName>
    <definedName name="CAPITALPY">'[29]Sch 1-6'!$E$15</definedName>
    <definedName name="CAPJAN" localSheetId="7">#REF!</definedName>
    <definedName name="CAPJAN" localSheetId="32">#REF!</definedName>
    <definedName name="CAPJAN">#REF!</definedName>
    <definedName name="CAPJUL" localSheetId="7">#REF!</definedName>
    <definedName name="CAPJUL" localSheetId="32">#REF!</definedName>
    <definedName name="CAPJUL">#REF!</definedName>
    <definedName name="CAPJUN" localSheetId="7">#REF!</definedName>
    <definedName name="CAPJUN" localSheetId="32">#REF!</definedName>
    <definedName name="CAPJUN">#REF!</definedName>
    <definedName name="CAPMAR" localSheetId="7">#REF!</definedName>
    <definedName name="CAPMAR" localSheetId="32">#REF!</definedName>
    <definedName name="CAPMAR">#REF!</definedName>
    <definedName name="CAPMAY" localSheetId="7">#REF!</definedName>
    <definedName name="CAPMAY" localSheetId="32">#REF!</definedName>
    <definedName name="CAPMAY">#REF!</definedName>
    <definedName name="CAPNOV" localSheetId="7">#REF!</definedName>
    <definedName name="CAPNOV" localSheetId="32">#REF!</definedName>
    <definedName name="CAPNOV">#REF!</definedName>
    <definedName name="CAPOCT" localSheetId="7">#REF!</definedName>
    <definedName name="CAPOCT" localSheetId="32">#REF!</definedName>
    <definedName name="CAPOCT">#REF!</definedName>
    <definedName name="CAPSEP" localSheetId="7">#REF!</definedName>
    <definedName name="CAPSEP" localSheetId="32">#REF!</definedName>
    <definedName name="CAPSEP">#REF!</definedName>
    <definedName name="cascrente" localSheetId="7">#REF!</definedName>
    <definedName name="cascrente" localSheetId="32">#REF!</definedName>
    <definedName name="cascrente">#REF!</definedName>
    <definedName name="cash" localSheetId="7" hidden="1">{"CASH FLOW",#N/A,FALSE,"A"}</definedName>
    <definedName name="cash" hidden="1">{"CASH FLOW",#N/A,FALSE,"A"}</definedName>
    <definedName name="cashflow" localSheetId="7">#REF!</definedName>
    <definedName name="cashflow" localSheetId="32">#REF!</definedName>
    <definedName name="cashflow" localSheetId="26">#REF!</definedName>
    <definedName name="cashflow">#REF!</definedName>
    <definedName name="CATIA_Roys" localSheetId="7">#REF!</definedName>
    <definedName name="CATIA_Roys" localSheetId="32">#REF!</definedName>
    <definedName name="CATIA_Roys">#REF!</definedName>
    <definedName name="cavmajor" localSheetId="7">#REF!</definedName>
    <definedName name="cavmajor" localSheetId="32">#REF!</definedName>
    <definedName name="cavmajor" localSheetId="26">#REF!</definedName>
    <definedName name="cavmajor">#REF!</definedName>
    <definedName name="cavnorth" localSheetId="7">#REF!</definedName>
    <definedName name="cavnorth" localSheetId="32">#REF!</definedName>
    <definedName name="cavnorth" localSheetId="26">#REF!</definedName>
    <definedName name="cavnorth">#REF!</definedName>
    <definedName name="cavsouth" localSheetId="7">#REF!</definedName>
    <definedName name="cavsouth" localSheetId="32">#REF!</definedName>
    <definedName name="cavsouth" localSheetId="26">#REF!</definedName>
    <definedName name="cavsouth">#REF!</definedName>
    <definedName name="cavsum" localSheetId="7">#REF!</definedName>
    <definedName name="cavsum" localSheetId="32">#REF!</definedName>
    <definedName name="cavsum" localSheetId="26">#REF!</definedName>
    <definedName name="cavsum">#REF!</definedName>
    <definedName name="cavthcm" localSheetId="7">#REF!</definedName>
    <definedName name="cavthcm" localSheetId="32">#REF!</definedName>
    <definedName name="cavthcm" localSheetId="26">#REF!</definedName>
    <definedName name="cavthcm">#REF!</definedName>
    <definedName name="cavwater" localSheetId="7">#REF!</definedName>
    <definedName name="cavwater" localSheetId="32">#REF!</definedName>
    <definedName name="cavwater" localSheetId="26">#REF!</definedName>
    <definedName name="cavwater">#REF!</definedName>
    <definedName name="CB" localSheetId="7">#REF!</definedName>
    <definedName name="CB" localSheetId="32">#REF!</definedName>
    <definedName name="CB">#REF!</definedName>
    <definedName name="cc" localSheetId="7" hidden="1">{"PLANNING",#N/A,FALSE,"A"}</definedName>
    <definedName name="cc" hidden="1">{"PLANNING",#N/A,FALSE,"A"}</definedName>
    <definedName name="ccbper" localSheetId="7">#REF!</definedName>
    <definedName name="ccbper" localSheetId="32">#REF!</definedName>
    <definedName name="ccbper">#REF!</definedName>
    <definedName name="ccbsub" localSheetId="7">#REF!</definedName>
    <definedName name="ccbsub" localSheetId="32">#REF!</definedName>
    <definedName name="ccbsub">#REF!</definedName>
    <definedName name="ccbsubs" localSheetId="7">#REF!</definedName>
    <definedName name="ccbsubs" localSheetId="32">#REF!</definedName>
    <definedName name="ccbsubs">#REF!</definedName>
    <definedName name="ccbsubs1" localSheetId="7">#REF!</definedName>
    <definedName name="ccbsubs1" localSheetId="32">#REF!</definedName>
    <definedName name="ccbsubs1">#REF!</definedName>
    <definedName name="ccc" localSheetId="7" hidden="1">{"PLANT BREAKUP",#N/A,FALSE,"E"}</definedName>
    <definedName name="ccc" hidden="1">{"PLANT BREAKUP",#N/A,FALSE,"E"}</definedName>
    <definedName name="ccnp" localSheetId="7">#REF!</definedName>
    <definedName name="ccnp" localSheetId="32">#REF!</definedName>
    <definedName name="ccnp">#REF!</definedName>
    <definedName name="cd" localSheetId="7">'[14]TB PCDN-16'!#REF!</definedName>
    <definedName name="cd" localSheetId="32">'[14]TB PCDN-16'!#REF!</definedName>
    <definedName name="cd" localSheetId="26">'[14]TB PCDN-16'!#REF!</definedName>
    <definedName name="cd">'[14]TB PCDN-16'!#REF!</definedName>
    <definedName name="cdds" localSheetId="7">#REF!</definedName>
    <definedName name="cdds" localSheetId="32">#REF!</definedName>
    <definedName name="cdds">#REF!</definedName>
    <definedName name="CDPG1" localSheetId="7">#REF!</definedName>
    <definedName name="CDPG1" localSheetId="32">#REF!</definedName>
    <definedName name="CDPG1">#REF!</definedName>
    <definedName name="CDPG5" localSheetId="7">#REF!</definedName>
    <definedName name="CDPG5" localSheetId="32">#REF!</definedName>
    <definedName name="CDPG5">#REF!</definedName>
    <definedName name="CDR_Traffic_Excellence" localSheetId="7">#REF!</definedName>
    <definedName name="CDR_Traffic_Excellence" localSheetId="32">#REF!</definedName>
    <definedName name="CDR_Traffic_Excellence">#REF!</definedName>
    <definedName name="CDR_upsell" localSheetId="7">#REF!</definedName>
    <definedName name="CDR_upsell" localSheetId="32">#REF!</definedName>
    <definedName name="CDR_upsell">#REF!</definedName>
    <definedName name="CDR_upsellY3" localSheetId="7">#REF!</definedName>
    <definedName name="CDR_upsellY3" localSheetId="32">#REF!</definedName>
    <definedName name="CDR_upsellY3">#REF!</definedName>
    <definedName name="CE" localSheetId="7">#REF!</definedName>
    <definedName name="CE" localSheetId="32">#REF!</definedName>
    <definedName name="CE">#REF!</definedName>
    <definedName name="CEMENT" localSheetId="7">'[24]#REF'!#REF!</definedName>
    <definedName name="CEMENT" localSheetId="32">'[24]#REF'!#REF!</definedName>
    <definedName name="CEMENT">'[24]#REF'!#REF!</definedName>
    <definedName name="CF" localSheetId="7">#REF!</definedName>
    <definedName name="CF" localSheetId="32">#REF!</definedName>
    <definedName name="CF">#REF!</definedName>
    <definedName name="CFD" localSheetId="7">#REF!</definedName>
    <definedName name="CFD" localSheetId="32">#REF!</definedName>
    <definedName name="CFD">#REF!</definedName>
    <definedName name="cflo" localSheetId="7" hidden="1">{"CASH FLOW",#N/A,FALSE,"A"}</definedName>
    <definedName name="cflo" hidden="1">{"CASH FLOW",#N/A,FALSE,"A"}</definedName>
    <definedName name="cflow" localSheetId="7" hidden="1">{"CASH FLOW",#N/A,FALSE,"A"}</definedName>
    <definedName name="cflow" hidden="1">{"CASH FLOW",#N/A,FALSE,"A"}</definedName>
    <definedName name="cfodgn" localSheetId="7">#REF!</definedName>
    <definedName name="cfodgn" localSheetId="32">#REF!</definedName>
    <definedName name="cfodgn">#REF!</definedName>
    <definedName name="cfoname" localSheetId="7">#REF!</definedName>
    <definedName name="cfoname" localSheetId="32">#REF!</definedName>
    <definedName name="cfoname">#REF!</definedName>
    <definedName name="CFormula" localSheetId="7">#REF!</definedName>
    <definedName name="CFormula" localSheetId="32">#REF!</definedName>
    <definedName name="CFormula">#REF!</definedName>
    <definedName name="CFUS" localSheetId="7">#REF!</definedName>
    <definedName name="CFUS" localSheetId="32">#REF!</definedName>
    <definedName name="CFUS">#REF!</definedName>
    <definedName name="check" localSheetId="7">#REF!</definedName>
    <definedName name="check" localSheetId="32">#REF!</definedName>
    <definedName name="check" localSheetId="26">#REF!</definedName>
    <definedName name="check">#REF!</definedName>
    <definedName name="CHINA_PLASTIC_in_KUSD" localSheetId="7">#REF!</definedName>
    <definedName name="CHINA_PLASTIC_in_KUSD" localSheetId="32">#REF!</definedName>
    <definedName name="CHINA_PLASTIC_in_KUSD">#REF!</definedName>
    <definedName name="chk" localSheetId="7">#REF!</definedName>
    <definedName name="chk" localSheetId="32">#REF!</definedName>
    <definedName name="chk" localSheetId="26">#REF!</definedName>
    <definedName name="chk">#REF!</definedName>
    <definedName name="Churn" localSheetId="7">#REF!</definedName>
    <definedName name="Churn" localSheetId="32">#REF!</definedName>
    <definedName name="Churn">#REF!</definedName>
    <definedName name="ChurnP" localSheetId="7">#REF!</definedName>
    <definedName name="ChurnP" localSheetId="32">#REF!</definedName>
    <definedName name="ChurnP">#REF!</definedName>
    <definedName name="CIF" localSheetId="7">#REF!</definedName>
    <definedName name="CIF" localSheetId="32">#REF!</definedName>
    <definedName name="CIF">#REF!</definedName>
    <definedName name="cl" localSheetId="7">#REF!</definedName>
    <definedName name="cl" localSheetId="32">#REF!</definedName>
    <definedName name="cl">#REF!</definedName>
    <definedName name="Cl_Stock" localSheetId="7">#REF!</definedName>
    <definedName name="Cl_Stock" localSheetId="32">#REF!</definedName>
    <definedName name="Cl_Stock">#REF!</definedName>
    <definedName name="claim" localSheetId="7">#REF!</definedName>
    <definedName name="claim" localSheetId="32">#REF!</definedName>
    <definedName name="claim" localSheetId="26">#REF!</definedName>
    <definedName name="claim">#REF!</definedName>
    <definedName name="claims" localSheetId="7">#REF!</definedName>
    <definedName name="claims" localSheetId="32">#REF!</definedName>
    <definedName name="claims" localSheetId="26">#REF!</definedName>
    <definedName name="claims">#REF!</definedName>
    <definedName name="Claims04" localSheetId="7">#REF!</definedName>
    <definedName name="Claims04" localSheetId="32">#REF!</definedName>
    <definedName name="Claims04" localSheetId="26">#REF!</definedName>
    <definedName name="Claims04">#REF!</definedName>
    <definedName name="claims1">'[30]appendix 2.5 final accounts'!$A$1:$N$27</definedName>
    <definedName name="CLIENT_NAME" localSheetId="7">#REF!</definedName>
    <definedName name="CLIENT_NAME" localSheetId="32">#REF!</definedName>
    <definedName name="CLIENT_NAME">#REF!</definedName>
    <definedName name="Clipboard_Area" localSheetId="7">#REF!</definedName>
    <definedName name="Clipboard_Area" localSheetId="32">#REF!</definedName>
    <definedName name="Clipboard_Area">#REF!</definedName>
    <definedName name="CM" localSheetId="7">#REF!</definedName>
    <definedName name="CM" localSheetId="32">#REF!</definedName>
    <definedName name="CM">#REF!</definedName>
    <definedName name="CMCx" localSheetId="7">#REF!</definedName>
    <definedName name="CMCx" localSheetId="32">#REF!</definedName>
    <definedName name="CMCx">#REF!</definedName>
    <definedName name="CMCxChassis" localSheetId="7">#REF!</definedName>
    <definedName name="CMCxChassis" localSheetId="32">#REF!</definedName>
    <definedName name="CMCxChassis">#REF!</definedName>
    <definedName name="CMU" localSheetId="7">#REF!</definedName>
    <definedName name="CMU" localSheetId="32">#REF!</definedName>
    <definedName name="CMU">#REF!</definedName>
    <definedName name="CN_200" localSheetId="7">#REF!</definedName>
    <definedName name="CN_200" localSheetId="32">#REF!</definedName>
    <definedName name="CN_200">#REF!</definedName>
    <definedName name="CNI" localSheetId="7">#REF!</definedName>
    <definedName name="CNI" localSheetId="32">#REF!</definedName>
    <definedName name="CNI">#REF!</definedName>
    <definedName name="Co">[31]S1BOQ!$A$1</definedName>
    <definedName name="COA" localSheetId="7">#REF!</definedName>
    <definedName name="COA" localSheetId="32">#REF!</definedName>
    <definedName name="COA">#REF!</definedName>
    <definedName name="CoAdd">[26]Masters!$C$4</definedName>
    <definedName name="code" localSheetId="7">#REF!</definedName>
    <definedName name="code" localSheetId="32">#REF!</definedName>
    <definedName name="code" localSheetId="26">#REF!</definedName>
    <definedName name="code">#REF!</definedName>
    <definedName name="ColumnAttributes1" localSheetId="7">#REF!</definedName>
    <definedName name="ColumnAttributes1" localSheetId="32">#REF!</definedName>
    <definedName name="ColumnAttributes1">#REF!</definedName>
    <definedName name="ColumnHeadings1" localSheetId="7">#REF!</definedName>
    <definedName name="ColumnHeadings1" localSheetId="32">#REF!</definedName>
    <definedName name="ColumnHeadings1">#REF!</definedName>
    <definedName name="Commission" localSheetId="7">#REF!</definedName>
    <definedName name="Commission" localSheetId="32">#REF!</definedName>
    <definedName name="Commission">#REF!</definedName>
    <definedName name="Common_Equip" localSheetId="7">#REF!</definedName>
    <definedName name="Common_Equip" localSheetId="32">#REF!</definedName>
    <definedName name="Common_Equip">#REF!</definedName>
    <definedName name="ComP" localSheetId="7">#REF!</definedName>
    <definedName name="ComP" localSheetId="32">#REF!</definedName>
    <definedName name="ComP">#REF!</definedName>
    <definedName name="Compaision" localSheetId="7">#REF!</definedName>
    <definedName name="Compaision" localSheetId="32">#REF!</definedName>
    <definedName name="Compaision" localSheetId="26">#REF!</definedName>
    <definedName name="Compaision">#REF!</definedName>
    <definedName name="COMPARE" localSheetId="7">#REF!</definedName>
    <definedName name="COMPARE" localSheetId="32">#REF!</definedName>
    <definedName name="COMPARE">#REF!</definedName>
    <definedName name="COMPRAS" localSheetId="7">#REF!,#REF!,#REF!,#REF!,#REF!,#REF!</definedName>
    <definedName name="COMPRAS" localSheetId="32">#REF!,#REF!,#REF!,#REF!,#REF!,#REF!</definedName>
    <definedName name="COMPRAS">#REF!,#REF!,#REF!,#REF!,#REF!,#REF!</definedName>
    <definedName name="COMPRESSOR____450_CFM">'[24]#REF'!$B$49</definedName>
    <definedName name="con" localSheetId="7">#REF!</definedName>
    <definedName name="con" localSheetId="32">#REF!</definedName>
    <definedName name="con">#REF!</definedName>
    <definedName name="CoName">[26]Masters!$C$3</definedName>
    <definedName name="Concentration" localSheetId="7">#REF!</definedName>
    <definedName name="Concentration" localSheetId="32">#REF!</definedName>
    <definedName name="Concentration">#REF!</definedName>
    <definedName name="Consolidated" localSheetId="7" hidden="1">#REF!</definedName>
    <definedName name="Consolidated" localSheetId="32" hidden="1">#REF!</definedName>
    <definedName name="Consolidated" hidden="1">#REF!</definedName>
    <definedName name="cont" localSheetId="7">#REF!</definedName>
    <definedName name="cont" localSheetId="32">#REF!</definedName>
    <definedName name="cont">#REF!</definedName>
    <definedName name="CONTABLE" localSheetId="7">#REF!</definedName>
    <definedName name="CONTABLE" localSheetId="32">#REF!</definedName>
    <definedName name="CONTABLE">#REF!</definedName>
    <definedName name="Contents" localSheetId="7">#REF!</definedName>
    <definedName name="Contents" localSheetId="32">#REF!</definedName>
    <definedName name="Contents">#REF!</definedName>
    <definedName name="ControlFillers" localSheetId="7">#REF!</definedName>
    <definedName name="ControlFillers" localSheetId="32">#REF!</definedName>
    <definedName name="ControlFillers">#REF!</definedName>
    <definedName name="copper_cost" localSheetId="7">#REF!</definedName>
    <definedName name="copper_cost" localSheetId="32">#REF!</definedName>
    <definedName name="copper_cost">#REF!</definedName>
    <definedName name="cost" localSheetId="7">#REF!</definedName>
    <definedName name="cost" localSheetId="32">#REF!</definedName>
    <definedName name="cost">#REF!</definedName>
    <definedName name="cost_calcn" localSheetId="7">#REF!</definedName>
    <definedName name="cost_calcn" localSheetId="32">#REF!</definedName>
    <definedName name="cost_calcn">#REF!</definedName>
    <definedName name="Cost_Center" localSheetId="7">#REF!</definedName>
    <definedName name="Cost_Center" localSheetId="32">#REF!</definedName>
    <definedName name="Cost_Center">#REF!</definedName>
    <definedName name="Cost_List_Area_Right_EL" localSheetId="7">#REF!</definedName>
    <definedName name="Cost_List_Area_Right_EL" localSheetId="32">#REF!</definedName>
    <definedName name="Cost_List_Area_Right_EL">#REF!</definedName>
    <definedName name="cost2" localSheetId="7" hidden="1">{"CASH FLOW",#N/A,FALSE,"A"}</definedName>
    <definedName name="cost2" hidden="1">{"CASH FLOW",#N/A,FALSE,"A"}</definedName>
    <definedName name="CoStatus">[26]Masters!$C$7</definedName>
    <definedName name="COUNTRY" localSheetId="7">#REF!</definedName>
    <definedName name="COUNTRY" localSheetId="32">#REF!</definedName>
    <definedName name="COUNTRY">#REF!</definedName>
    <definedName name="cover" hidden="1">{#N/A,#N/A,FALSE,"Staffnos &amp; cost"}</definedName>
    <definedName name="cr_may04_trial_con5_1_1" localSheetId="7">#REF!</definedName>
    <definedName name="cr_may04_trial_con5_1_1" localSheetId="32">#REF!</definedName>
    <definedName name="cr_may04_trial_con5_1_1" localSheetId="26">#REF!</definedName>
    <definedName name="cr_may04_trial_con5_1_1">#REF!</definedName>
    <definedName name="cr_monthly_interim_application_no__01_revised__payment_certificate" localSheetId="7">#REF!</definedName>
    <definedName name="cr_monthly_interim_application_no__01_revised__payment_certificate" localSheetId="32">#REF!</definedName>
    <definedName name="cr_monthly_interim_application_no__01_revised__payment_certificate">#REF!</definedName>
    <definedName name="CRESAL">[32]Enero!$T$12:$V$23</definedName>
    <definedName name="_xlnm.Criteria" localSheetId="7">#REF!</definedName>
    <definedName name="_xlnm.Criteria" localSheetId="32">#REF!</definedName>
    <definedName name="_xlnm.Criteria">#REF!</definedName>
    <definedName name="csDesignMode">1</definedName>
    <definedName name="csdgn" localSheetId="7">#REF!</definedName>
    <definedName name="csdgn" localSheetId="32">#REF!</definedName>
    <definedName name="csdgn">#REF!</definedName>
    <definedName name="csname" localSheetId="7">#REF!</definedName>
    <definedName name="csname" localSheetId="32">#REF!</definedName>
    <definedName name="csname">#REF!</definedName>
    <definedName name="CT">[33]cust_mas!$A$1:$D$65536</definedName>
    <definedName name="CULVERTS">'[27]BOQ Distribution'!$A$27:$G$32</definedName>
    <definedName name="Cum_1995" localSheetId="7">#REF!</definedName>
    <definedName name="Cum_1995" localSheetId="32">#REF!</definedName>
    <definedName name="Cum_1995">#REF!</definedName>
    <definedName name="Cum_Actl" localSheetId="7">#REF!</definedName>
    <definedName name="Cum_Actl" localSheetId="32">#REF!</definedName>
    <definedName name="Cum_Actl">#REF!</definedName>
    <definedName name="Cum_Plan" localSheetId="7">#REF!</definedName>
    <definedName name="Cum_Plan" localSheetId="32">#REF!</definedName>
    <definedName name="Cum_Plan">#REF!</definedName>
    <definedName name="current" localSheetId="7">#REF!</definedName>
    <definedName name="current" localSheetId="32">#REF!</definedName>
    <definedName name="current">#REF!</definedName>
    <definedName name="CURRENT_MONTH" localSheetId="7">#REF!</definedName>
    <definedName name="CURRENT_MONTH" localSheetId="32">#REF!</definedName>
    <definedName name="CURRENT_MONTH" localSheetId="26">#REF!</definedName>
    <definedName name="CURRENT_MONTH">#REF!</definedName>
    <definedName name="Current_YTD" localSheetId="7">[34]Staffing!#REF!</definedName>
    <definedName name="Current_YTD" localSheetId="32">[34]Staffing!#REF!</definedName>
    <definedName name="Current_YTD">[34]Staffing!#REF!</definedName>
    <definedName name="Customer_Copy_Area" localSheetId="7">#REF!</definedName>
    <definedName name="Customer_Copy_Area" localSheetId="32">#REF!</definedName>
    <definedName name="Customer_Copy_Area">#REF!</definedName>
    <definedName name="Customer_Name" localSheetId="7">#REF!</definedName>
    <definedName name="Customer_Name" localSheetId="32">#REF!</definedName>
    <definedName name="Customer_Name">#REF!</definedName>
    <definedName name="Customer_Print_Area" localSheetId="7">#REF!</definedName>
    <definedName name="Customer_Print_Area" localSheetId="32">#REF!</definedName>
    <definedName name="Customer_Print_Area">#REF!</definedName>
    <definedName name="Customer_Satisfaction" localSheetId="7">#REF!</definedName>
    <definedName name="Customer_Satisfaction" localSheetId="32">#REF!</definedName>
    <definedName name="Customer_Satisfaction">#REF!</definedName>
    <definedName name="Custs" localSheetId="7">#REF!</definedName>
    <definedName name="Custs" localSheetId="32">#REF!</definedName>
    <definedName name="Custs">#REF!</definedName>
    <definedName name="cvbhnjm" localSheetId="7">#REF!</definedName>
    <definedName name="cvbhnjm" localSheetId="32">#REF!</definedName>
    <definedName name="cvbhnjm">#REF!</definedName>
    <definedName name="cvbn" localSheetId="7">#REF!</definedName>
    <definedName name="cvbn" localSheetId="32">#REF!</definedName>
    <definedName name="cvbn">#REF!</definedName>
    <definedName name="CY_Variance" localSheetId="7">#REF!</definedName>
    <definedName name="CY_Variance" localSheetId="32">#REF!</definedName>
    <definedName name="CY_Variance">#REF!</definedName>
    <definedName name="D" localSheetId="7">#REF!</definedName>
    <definedName name="D" localSheetId="32">#REF!</definedName>
    <definedName name="D" localSheetId="26">#REF!</definedName>
    <definedName name="D">#REF!</definedName>
    <definedName name="da" localSheetId="7" hidden="1">{"CASH FLOW",#N/A,FALSE,"A"}</definedName>
    <definedName name="da" hidden="1">{"CASH FLOW",#N/A,FALSE,"A"}</definedName>
    <definedName name="dadsa" localSheetId="7" hidden="1">[35]S1BOQ!#REF!</definedName>
    <definedName name="dadsa" localSheetId="32" hidden="1">[35]S1BOQ!#REF!</definedName>
    <definedName name="dadsa" hidden="1">[35]S1BOQ!#REF!</definedName>
    <definedName name="dam" localSheetId="7">#REF!</definedName>
    <definedName name="dam" localSheetId="32">#REF!</definedName>
    <definedName name="dam" localSheetId="26">#REF!</definedName>
    <definedName name="dam">#REF!</definedName>
    <definedName name="damanprofit80iamar98" localSheetId="7">#REF!</definedName>
    <definedName name="damanprofit80iamar98" localSheetId="32">#REF!</definedName>
    <definedName name="damanprofit80iamar98">#REF!</definedName>
    <definedName name="DAMANPROFITS" localSheetId="7">#REF!</definedName>
    <definedName name="DAMANPROFITS" localSheetId="32">#REF!</definedName>
    <definedName name="DAMANPROFITS">#REF!</definedName>
    <definedName name="damanwvl" localSheetId="7">#REF!</definedName>
    <definedName name="damanwvl" localSheetId="32">#REF!</definedName>
    <definedName name="damanwvl">#REF!</definedName>
    <definedName name="das" localSheetId="7">#REF!</definedName>
    <definedName name="das" localSheetId="32">#REF!</definedName>
    <definedName name="das">#REF!</definedName>
    <definedName name="DATA" localSheetId="7">#REF!</definedName>
    <definedName name="Data" localSheetId="32">#REF!</definedName>
    <definedName name="Data">#REF!</definedName>
    <definedName name="data1" localSheetId="7" hidden="1">#REF!</definedName>
    <definedName name="data1" localSheetId="32" hidden="1">#REF!</definedName>
    <definedName name="data1" localSheetId="26" hidden="1">#REF!</definedName>
    <definedName name="data1" hidden="1">#REF!</definedName>
    <definedName name="data2" localSheetId="7" hidden="1">#REF!</definedName>
    <definedName name="data2" localSheetId="32" hidden="1">#REF!</definedName>
    <definedName name="data2" localSheetId="26" hidden="1">#REF!</definedName>
    <definedName name="data2" hidden="1">#REF!</definedName>
    <definedName name="data3" localSheetId="7" hidden="1">#REF!</definedName>
    <definedName name="data3" localSheetId="32" hidden="1">#REF!</definedName>
    <definedName name="data3" localSheetId="26" hidden="1">#REF!</definedName>
    <definedName name="data3" hidden="1">#REF!</definedName>
    <definedName name="_xlnm.Database" localSheetId="7">#REF!</definedName>
    <definedName name="_xlnm.Database" localSheetId="32">#REF!</definedName>
    <definedName name="_xlnm.Database" localSheetId="26">#REF!</definedName>
    <definedName name="_xlnm.Database">#REF!</definedName>
    <definedName name="DataThere1" localSheetId="7">#REF!</definedName>
    <definedName name="DataThere1" localSheetId="32">#REF!</definedName>
    <definedName name="DataThere1">#REF!</definedName>
    <definedName name="DataThere2" localSheetId="7">#REF!</definedName>
    <definedName name="DataThere2" localSheetId="32">#REF!</definedName>
    <definedName name="DataThere2">#REF!</definedName>
    <definedName name="DataThere3" localSheetId="7">#REF!</definedName>
    <definedName name="DataThere3" localSheetId="32">#REF!</definedName>
    <definedName name="DataThere3">#REF!</definedName>
    <definedName name="DataThere4" localSheetId="7">#REF!</definedName>
    <definedName name="DataThere4" localSheetId="32">#REF!</definedName>
    <definedName name="DataThere4">#REF!</definedName>
    <definedName name="DataThere5" localSheetId="7">#REF!</definedName>
    <definedName name="DataThere5" localSheetId="32">#REF!</definedName>
    <definedName name="DataThere5">#REF!</definedName>
    <definedName name="date" localSheetId="7">#REF!</definedName>
    <definedName name="date" localSheetId="32">#REF!</definedName>
    <definedName name="date">#REF!</definedName>
    <definedName name="days1" localSheetId="7">#REF!</definedName>
    <definedName name="days1" localSheetId="32">#REF!</definedName>
    <definedName name="days1">#REF!</definedName>
    <definedName name="days2" localSheetId="7">#REF!</definedName>
    <definedName name="days2" localSheetId="32">#REF!</definedName>
    <definedName name="days2">#REF!</definedName>
    <definedName name="db_loss" localSheetId="7">#REF!</definedName>
    <definedName name="db_loss" localSheetId="32">#REF!</definedName>
    <definedName name="db_loss">#REF!</definedName>
    <definedName name="DC">[36]Sheet1!$B$1:$C$65536</definedName>
    <definedName name="DCN" localSheetId="7">#REF!</definedName>
    <definedName name="DCN" localSheetId="32">#REF!</definedName>
    <definedName name="DCN">#REF!</definedName>
    <definedName name="DD" localSheetId="7" hidden="1">{#N/A,#N/A,FALSE,"MODULE3"}</definedName>
    <definedName name="dd" localSheetId="32">#REF!</definedName>
    <definedName name="dd">#REF!</definedName>
    <definedName name="DD_Curr">[37]Currency!$C$3</definedName>
    <definedName name="ddd" localSheetId="7">#REF!</definedName>
    <definedName name="ddd" localSheetId="32">#REF!</definedName>
    <definedName name="ddd" localSheetId="26">#REF!</definedName>
    <definedName name="ddd">#REF!</definedName>
    <definedName name="DDDDD" localSheetId="7" hidden="1">{#N/A,#N/A,FALSE,"MODULE3"}</definedName>
    <definedName name="DDDDD" hidden="1">{#N/A,#N/A,FALSE,"MODULE3"}</definedName>
    <definedName name="DDP" localSheetId="7">#REF!</definedName>
    <definedName name="DDP" localSheetId="32">#REF!</definedName>
    <definedName name="DDP">#REF!</definedName>
    <definedName name="DDPNN" localSheetId="7">#REF!</definedName>
    <definedName name="DDPNN" localSheetId="32">#REF!</definedName>
    <definedName name="DDPNN">#REF!</definedName>
    <definedName name="DDPSER" localSheetId="7">#REF!</definedName>
    <definedName name="DDPSER" localSheetId="32">#REF!</definedName>
    <definedName name="DDPSER">#REF!</definedName>
    <definedName name="DDPSW" localSheetId="7">#REF!</definedName>
    <definedName name="DDPSW" localSheetId="32">#REF!</definedName>
    <definedName name="DDPSW">#REF!</definedName>
    <definedName name="Debit" localSheetId="7">#REF!</definedName>
    <definedName name="Debit" localSheetId="32">#REF!</definedName>
    <definedName name="Debit">#REF!</definedName>
    <definedName name="DEBIT_SCRAP_List" localSheetId="7">#REF!</definedName>
    <definedName name="DEBIT_SCRAP_List" localSheetId="32">#REF!</definedName>
    <definedName name="DEBIT_SCRAP_List">#REF!</definedName>
    <definedName name="debt" localSheetId="7">#REF!</definedName>
    <definedName name="debt" localSheetId="32">#REF!</definedName>
    <definedName name="debt">#REF!</definedName>
    <definedName name="ded80hhcdec97" localSheetId="7">#REF!</definedName>
    <definedName name="ded80hhcdec97" localSheetId="32">#REF!</definedName>
    <definedName name="ded80hhcdec97">#REF!</definedName>
    <definedName name="DED80HHCFULLFIG" localSheetId="7">#REF!</definedName>
    <definedName name="DED80HHCFULLFIG" localSheetId="32">#REF!</definedName>
    <definedName name="DED80HHCFULLFIG">#REF!</definedName>
    <definedName name="ded80hhcmar98esti" localSheetId="7">#REF!</definedName>
    <definedName name="ded80hhcmar98esti" localSheetId="32">#REF!</definedName>
    <definedName name="ded80hhcmar98esti">#REF!</definedName>
    <definedName name="DED80HHIIA" localSheetId="7">#REF!</definedName>
    <definedName name="DED80HHIIA" localSheetId="32">#REF!</definedName>
    <definedName name="DED80HHIIA">#REF!</definedName>
    <definedName name="def" localSheetId="7" hidden="1">{#N/A,#N/A,TRUE,"Cover sheet";#N/A,#N/A,TRUE,"Summary";#N/A,#N/A,TRUE,"Key Assumptions";#N/A,#N/A,TRUE,"Profit &amp; Loss";#N/A,#N/A,TRUE,"Balance Sheet";#N/A,#N/A,TRUE,"Cashflow";#N/A,#N/A,TRUE,"IRR";#N/A,#N/A,TRUE,"Ratios";#N/A,#N/A,TRUE,"Debt analysis"}</definedName>
    <definedName name="def" hidden="1">{#N/A,#N/A,TRUE,"Cover sheet";#N/A,#N/A,TRUE,"Summary";#N/A,#N/A,TRUE,"Key Assumptions";#N/A,#N/A,TRUE,"Profit &amp; Loss";#N/A,#N/A,TRUE,"Balance Sheet";#N/A,#N/A,TRUE,"Cashflow";#N/A,#N/A,TRUE,"IRR";#N/A,#N/A,TRUE,"Ratios";#N/A,#N/A,TRUE,"Debt analysis"}</definedName>
    <definedName name="defn" localSheetId="7">#REF!</definedName>
    <definedName name="defn" localSheetId="32">#REF!</definedName>
    <definedName name="defn">#REF!</definedName>
    <definedName name="Delhi_Graphs" localSheetId="7">#REF!</definedName>
    <definedName name="Delhi_Graphs" localSheetId="32">#REF!</definedName>
    <definedName name="Delhi_Graphs">#REF!</definedName>
    <definedName name="DEMAND_LOANS" localSheetId="7">#REF!</definedName>
    <definedName name="DEMAND_LOANS" localSheetId="32">#REF!</definedName>
    <definedName name="DEMAND_LOANS">#REF!</definedName>
    <definedName name="Demux" localSheetId="7">#REF!</definedName>
    <definedName name="Demux" localSheetId="32">#REF!</definedName>
    <definedName name="Demux">#REF!</definedName>
    <definedName name="depn" localSheetId="7">#REF!</definedName>
    <definedName name="depn" localSheetId="32">#REF!</definedName>
    <definedName name="depn">#REF!</definedName>
    <definedName name="Depr_Method" localSheetId="7">#REF!</definedName>
    <definedName name="Depr_Method" localSheetId="32">#REF!</definedName>
    <definedName name="Depr_Method">#REF!</definedName>
    <definedName name="depreciation" localSheetId="7">[38]DCF_inputs!$Q$15</definedName>
    <definedName name="depreciation">[38]DCF_inputs!$Q$15</definedName>
    <definedName name="DeptMatrix">[39]Dept!$A$2:$C$14</definedName>
    <definedName name="desc_col" localSheetId="7">#REF!</definedName>
    <definedName name="desc_col" localSheetId="32">#REF!</definedName>
    <definedName name="desc_col">#REF!</definedName>
    <definedName name="Description" localSheetId="7">#REF!</definedName>
    <definedName name="Description" localSheetId="32">#REF!</definedName>
    <definedName name="Description">#REF!</definedName>
    <definedName name="Detail">[31]S1BOQ!$A$3</definedName>
    <definedName name="DetailedPandLbyProduct" localSheetId="7">#REF!</definedName>
    <definedName name="DetailedPandLbyProduct" localSheetId="32">#REF!</definedName>
    <definedName name="DetailedPandLbyProduct">#REF!</definedName>
    <definedName name="DEV" localSheetId="7">#REF!</definedName>
    <definedName name="DEV" localSheetId="32">#REF!</definedName>
    <definedName name="DEV">#REF!</definedName>
    <definedName name="devel_toolkit" localSheetId="7">#REF!</definedName>
    <definedName name="devel_toolkit" localSheetId="32">#REF!</definedName>
    <definedName name="devel_toolkit">#REF!</definedName>
    <definedName name="dflo" localSheetId="7" hidden="1">{"CASH FLOW",#N/A,FALSE,"A"}</definedName>
    <definedName name="dflo" hidden="1">{"CASH FLOW",#N/A,FALSE,"A"}</definedName>
    <definedName name="DFormula" localSheetId="7">#REF!</definedName>
    <definedName name="DFormula" localSheetId="32">#REF!</definedName>
    <definedName name="DFormula">#REF!</definedName>
    <definedName name="Diag_Vol" localSheetId="7">#REF!</definedName>
    <definedName name="Diag_Vol" localSheetId="32">#REF!</definedName>
    <definedName name="Diag_Vol">#REF!</definedName>
    <definedName name="DIC" localSheetId="7">#REF!</definedName>
    <definedName name="DIC" localSheetId="32">#REF!</definedName>
    <definedName name="DIC">#REF!</definedName>
    <definedName name="din" localSheetId="7" hidden="1">{"CASH FLOW",#N/A,FALSE,"A"}</definedName>
    <definedName name="din" hidden="1">{"CASH FLOW",#N/A,FALSE,"A"}</definedName>
    <definedName name="DINESH" localSheetId="7">#REF!</definedName>
    <definedName name="DINESH" localSheetId="32">#REF!</definedName>
    <definedName name="DINESH" localSheetId="26">#REF!</definedName>
    <definedName name="DINESH">#REF!</definedName>
    <definedName name="DIS" localSheetId="7">#REF!</definedName>
    <definedName name="DIS" localSheetId="32">#REF!</definedName>
    <definedName name="DIS">#REF!</definedName>
    <definedName name="dis_140" localSheetId="7">#REF!</definedName>
    <definedName name="dis_140" localSheetId="32">#REF!</definedName>
    <definedName name="dis_140">#REF!</definedName>
    <definedName name="Dis_agg_hw" localSheetId="7">#REF!</definedName>
    <definedName name="Dis_agg_hw" localSheetId="32">#REF!</definedName>
    <definedName name="Dis_agg_hw">#REF!</definedName>
    <definedName name="dis_agg_sw" localSheetId="7">#REF!</definedName>
    <definedName name="dis_agg_sw" localSheetId="32">#REF!</definedName>
    <definedName name="dis_agg_sw">#REF!</definedName>
    <definedName name="disc_36140" localSheetId="7">#REF!</definedName>
    <definedName name="disc_36140" localSheetId="32">#REF!</definedName>
    <definedName name="disc_36140">#REF!</definedName>
    <definedName name="disc_crx" localSheetId="7">#REF!</definedName>
    <definedName name="disc_crx" localSheetId="32">#REF!</definedName>
    <definedName name="disc_crx">#REF!</definedName>
    <definedName name="disc_opt" localSheetId="7">#REF!</definedName>
    <definedName name="disc_opt" localSheetId="32">#REF!</definedName>
    <definedName name="disc_opt">#REF!</definedName>
    <definedName name="DISC1">0</definedName>
    <definedName name="disco_36060" localSheetId="7">#REF!</definedName>
    <definedName name="disco_36060" localSheetId="32">#REF!</definedName>
    <definedName name="disco_36060">#REF!</definedName>
    <definedName name="Discount" localSheetId="7" hidden="1">#REF!</definedName>
    <definedName name="Discount" localSheetId="32" hidden="1">#REF!</definedName>
    <definedName name="Discount" localSheetId="26" hidden="1">#REF!</definedName>
    <definedName name="Discount" hidden="1">#REF!</definedName>
    <definedName name="dispintra" localSheetId="7">#REF!</definedName>
    <definedName name="dispintra" localSheetId="32">#REF!</definedName>
    <definedName name="dispintra">#REF!</definedName>
    <definedName name="dispintra1" localSheetId="7">#REF!</definedName>
    <definedName name="dispintra1" localSheetId="32">#REF!</definedName>
    <definedName name="dispintra1">#REF!</definedName>
    <definedName name="display_area_2" localSheetId="7" hidden="1">#REF!</definedName>
    <definedName name="display_area_2" localSheetId="32" hidden="1">#REF!</definedName>
    <definedName name="display_area_2" localSheetId="26" hidden="1">#REF!</definedName>
    <definedName name="display_area_2" hidden="1">#REF!</definedName>
    <definedName name="dispout" localSheetId="7">#REF!</definedName>
    <definedName name="dispout" localSheetId="32">#REF!</definedName>
    <definedName name="dispout">#REF!</definedName>
    <definedName name="dispout1" localSheetId="7">#REF!</definedName>
    <definedName name="dispout1" localSheetId="32">#REF!</definedName>
    <definedName name="dispout1">#REF!</definedName>
    <definedName name="disppredial" localSheetId="7">#REF!</definedName>
    <definedName name="disppredial" localSheetId="32">#REF!</definedName>
    <definedName name="disppredial">#REF!</definedName>
    <definedName name="disppredial1" localSheetId="7">#REF!</definedName>
    <definedName name="disppredial1" localSheetId="32">#REF!</definedName>
    <definedName name="disppredial1">#REF!</definedName>
    <definedName name="dispservice" localSheetId="7">#REF!</definedName>
    <definedName name="dispservice" localSheetId="32">#REF!</definedName>
    <definedName name="dispservice">#REF!</definedName>
    <definedName name="dispservice1" localSheetId="7">#REF!</definedName>
    <definedName name="dispservice1" localSheetId="32">#REF!</definedName>
    <definedName name="dispservice1">#REF!</definedName>
    <definedName name="dispstd" localSheetId="7">#REF!</definedName>
    <definedName name="dispstd" localSheetId="32">#REF!</definedName>
    <definedName name="dispstd">#REF!</definedName>
    <definedName name="dispstd1" localSheetId="7">#REF!</definedName>
    <definedName name="dispstd1" localSheetId="32">#REF!</definedName>
    <definedName name="dispstd1">#REF!</definedName>
    <definedName name="dlu" localSheetId="7">#REF!</definedName>
    <definedName name="dlu" localSheetId="32">#REF!</definedName>
    <definedName name="dlu">#REF!</definedName>
    <definedName name="DLUABBBL" localSheetId="7">#REF!</definedName>
    <definedName name="DLUABBBL" localSheetId="32">#REF!</definedName>
    <definedName name="DLUABBBL">#REF!</definedName>
    <definedName name="DLUABBBR" localSheetId="7">#REF!</definedName>
    <definedName name="DLUABBBR" localSheetId="32">#REF!</definedName>
    <definedName name="DLUABBBR">#REF!</definedName>
    <definedName name="DLUABL" localSheetId="7">#REF!</definedName>
    <definedName name="DLUABL" localSheetId="32">#REF!</definedName>
    <definedName name="DLUABL">#REF!</definedName>
    <definedName name="DLUABR" localSheetId="7">#REF!</definedName>
    <definedName name="DLUABR" localSheetId="32">#REF!</definedName>
    <definedName name="DLUABR">#REF!</definedName>
    <definedName name="dmd" localSheetId="7">#REF!</definedName>
    <definedName name="dmd" localSheetId="32">#REF!</definedName>
    <definedName name="dmd">#REF!</definedName>
    <definedName name="dmddgn" localSheetId="7">#REF!</definedName>
    <definedName name="dmddgn" localSheetId="32">#REF!</definedName>
    <definedName name="dmddgn">#REF!</definedName>
    <definedName name="dmdname" localSheetId="7">#REF!</definedName>
    <definedName name="dmdname" localSheetId="32">#REF!</definedName>
    <definedName name="dmdname">#REF!</definedName>
    <definedName name="DMS" localSheetId="7">#REF!</definedName>
    <definedName name="DMS" localSheetId="32">#REF!</definedName>
    <definedName name="DMS">#REF!</definedName>
    <definedName name="DOC" localSheetId="7">#REF!</definedName>
    <definedName name="doc" localSheetId="32">#REF!</definedName>
    <definedName name="doc">#REF!</definedName>
    <definedName name="DOM" localSheetId="7">#REF!</definedName>
    <definedName name="DOM" localSheetId="32">#REF!</definedName>
    <definedName name="DOM">#REF!</definedName>
    <definedName name="Door_x" localSheetId="7">#REF!</definedName>
    <definedName name="Door_x" localSheetId="32">#REF!</definedName>
    <definedName name="Door_x">#REF!</definedName>
    <definedName name="DRBA3O" localSheetId="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RBA3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S" localSheetId="7">#REF!</definedName>
    <definedName name="DS" localSheetId="32">#REF!</definedName>
    <definedName name="DS">#REF!</definedName>
    <definedName name="dsl_o_nad" localSheetId="7">#REF!</definedName>
    <definedName name="dsl_o_nad" localSheetId="32">#REF!</definedName>
    <definedName name="dsl_o_nad">#REF!</definedName>
    <definedName name="DSLAM" localSheetId="7">#REF!</definedName>
    <definedName name="DSLAM" localSheetId="32">#REF!</definedName>
    <definedName name="DSLAM">#REF!</definedName>
    <definedName name="dslp" localSheetId="7">#REF!</definedName>
    <definedName name="dslp" localSheetId="32">#REF!</definedName>
    <definedName name="dslp">#REF!</definedName>
    <definedName name="dslp_h" localSheetId="7">#REF!</definedName>
    <definedName name="dslp_h" localSheetId="32">#REF!</definedName>
    <definedName name="dslp_h">#REF!</definedName>
    <definedName name="dslp_l" localSheetId="7">#REF!</definedName>
    <definedName name="dslp_l" localSheetId="32">#REF!</definedName>
    <definedName name="dslp_l">#REF!</definedName>
    <definedName name="dslp_m" localSheetId="7">#REF!</definedName>
    <definedName name="dslp_m" localSheetId="32">#REF!</definedName>
    <definedName name="dslp_m">#REF!</definedName>
    <definedName name="DTY" localSheetId="7">#REF!</definedName>
    <definedName name="DTY" localSheetId="32">#REF!</definedName>
    <definedName name="DTY">#REF!</definedName>
    <definedName name="Dur" localSheetId="7">#REF!</definedName>
    <definedName name="Dur" localSheetId="32">#REF!</definedName>
    <definedName name="Dur">#REF!</definedName>
    <definedName name="Dur_FTD" localSheetId="7">#REF!</definedName>
    <definedName name="Dur_FTD" localSheetId="32">#REF!</definedName>
    <definedName name="Dur_FTD">#REF!</definedName>
    <definedName name="Dur_MTD" localSheetId="7">#REF!</definedName>
    <definedName name="Dur_MTD" localSheetId="32">#REF!</definedName>
    <definedName name="Dur_MTD">#REF!</definedName>
    <definedName name="dvv" localSheetId="7">#REF!</definedName>
    <definedName name="dvv" localSheetId="32">#REF!</definedName>
    <definedName name="dvv">#REF!</definedName>
    <definedName name="dxcvbnm" localSheetId="7">#REF!</definedName>
    <definedName name="dxcvbnm" localSheetId="32">#REF!</definedName>
    <definedName name="dxcvbnm">#REF!</definedName>
    <definedName name="e" localSheetId="7">#REF!</definedName>
    <definedName name="e" localSheetId="32">#REF!</definedName>
    <definedName name="e" localSheetId="26">#REF!</definedName>
    <definedName name="e">#REF!</definedName>
    <definedName name="EARTH">'[24]#REF'!$B$34</definedName>
    <definedName name="ebitactper">OFFSET('[20]Bar Chart - FHL (M)'!$A$29,0,2,MATCH('[20]Bar Chart - FHL (M)'!$F$1,'[20]Bar Chart - FHL (M)'!$A$29:$A$40,0),1)</definedName>
    <definedName name="ebitactual">OFFSET('[20]Bar Chart - FHL (M)'!$A$29,0,5,MATCH('[20]Bar Chart - FHL (M)'!$F$1,'[20]Bar Chart - FHL (M)'!$A$29:$A$40,0),1)</definedName>
    <definedName name="ebitbudget">OFFSET('[20]Bar Chart - FHL (M)'!$A$29,0,4,MATCH('[20]Bar Chart - FHL (M)'!$F$1,'[20]Bar Chart - FHL (M)'!$A$29:$A$40,0),1)</definedName>
    <definedName name="ebitbudper">OFFSET('[20]Bar Chart - FHL (M)'!$A$29,0,1,MATCH('[20]Bar Chart - FHL (M)'!$F$1,'[20]Bar Chart - FHL (M)'!$A$29:$A$40,0),1)</definedName>
    <definedName name="ECV" localSheetId="7">#REF!</definedName>
    <definedName name="ECV" localSheetId="32">#REF!</definedName>
    <definedName name="ECV">#REF!</definedName>
    <definedName name="EDFedf" hidden="1">{#N/A,#N/A,FALSE,"Staffnos &amp; cost"}</definedName>
    <definedName name="EDIT__HOME__R_1" localSheetId="7">'[40]P&amp;L'!#REF!</definedName>
    <definedName name="EDIT__HOME__R_1" localSheetId="32">'[40]P&amp;L'!#REF!</definedName>
    <definedName name="EDIT__HOME__R_1">'[40]P&amp;L'!#REF!</definedName>
    <definedName name="Edit_Last_Row" localSheetId="7">#REF!</definedName>
    <definedName name="Edit_Last_Row" localSheetId="32">#REF!</definedName>
    <definedName name="Edit_Last_Row">#REF!</definedName>
    <definedName name="EDO" localSheetId="7">#REF!</definedName>
    <definedName name="EDO" localSheetId="32">#REF!</definedName>
    <definedName name="EDO">#REF!</definedName>
    <definedName name="EFECTO" localSheetId="7">#REF!</definedName>
    <definedName name="EFECTO" localSheetId="32">#REF!</definedName>
    <definedName name="EFECTO">#REF!</definedName>
    <definedName name="EFormula" localSheetId="7">#REF!</definedName>
    <definedName name="EFormula" localSheetId="32">#REF!</definedName>
    <definedName name="EFormula">#REF!</definedName>
    <definedName name="end" localSheetId="7">#REF!</definedName>
    <definedName name="end" localSheetId="32">#REF!</definedName>
    <definedName name="end">#REF!</definedName>
    <definedName name="End_O_Item" localSheetId="7">#REF!</definedName>
    <definedName name="End_O_Item" localSheetId="32">#REF!</definedName>
    <definedName name="End_O_Item">#REF!</definedName>
    <definedName name="ende" localSheetId="7">#REF!</definedName>
    <definedName name="ende" localSheetId="32">#REF!</definedName>
    <definedName name="ende">#REF!</definedName>
    <definedName name="ENDMKT" localSheetId="7">#REF!</definedName>
    <definedName name="ENDMKT" localSheetId="32">#REF!</definedName>
    <definedName name="ENDMKT">#REF!</definedName>
    <definedName name="ENDNERTU" localSheetId="7">#REF!</definedName>
    <definedName name="ENDNERTU" localSheetId="32">#REF!</definedName>
    <definedName name="ENDNERTU">#REF!</definedName>
    <definedName name="ENDUSER" localSheetId="7">#REF!</definedName>
    <definedName name="ENDUSER" localSheetId="32">#REF!</definedName>
    <definedName name="ENDUSER">#REF!</definedName>
    <definedName name="EOD" localSheetId="7">[41]Depreciation!#REF!</definedName>
    <definedName name="EOD" localSheetId="32">[41]Depreciation!#REF!</definedName>
    <definedName name="EOD">[41]Depreciation!#REF!</definedName>
    <definedName name="EOF" localSheetId="7">#REF!</definedName>
    <definedName name="EOF" localSheetId="32">#REF!</definedName>
    <definedName name="EOF">#REF!</definedName>
    <definedName name="EPG_Graphs" localSheetId="7">#REF!</definedName>
    <definedName name="EPG_Graphs" localSheetId="32">#REF!</definedName>
    <definedName name="EPG_Graphs">#REF!</definedName>
    <definedName name="EPO.COMPUTO" localSheetId="7">#REF!</definedName>
    <definedName name="EPO.COMPUTO" localSheetId="32">#REF!</definedName>
    <definedName name="EPO.COMPUTO">#REF!</definedName>
    <definedName name="EPO.TRANSPORTE" localSheetId="7">#REF!</definedName>
    <definedName name="EPO.TRANSPORTE" localSheetId="32">#REF!</definedName>
    <definedName name="EPO.TRANSPORTE">#REF!</definedName>
    <definedName name="Eq_Level" localSheetId="7">#REF!</definedName>
    <definedName name="Eq_Level" localSheetId="32">#REF!</definedName>
    <definedName name="Eq_Level">#REF!</definedName>
    <definedName name="ertyhjmk" localSheetId="7">#REF!</definedName>
    <definedName name="ertyhjmk" localSheetId="32">#REF!</definedName>
    <definedName name="ertyhjmk">#REF!</definedName>
    <definedName name="ERX" localSheetId="7">#REF!</definedName>
    <definedName name="ERX" localSheetId="32">#REF!</definedName>
    <definedName name="ERX">#REF!</definedName>
    <definedName name="ERXcards" localSheetId="7">#REF!</definedName>
    <definedName name="ERXcards" localSheetId="32">#REF!</definedName>
    <definedName name="ERXcards">#REF!</definedName>
    <definedName name="ERXchassis" localSheetId="7">#REF!</definedName>
    <definedName name="ERXchassis" localSheetId="32">#REF!</definedName>
    <definedName name="ERXchassis">#REF!</definedName>
    <definedName name="ERXSRP" localSheetId="7">#REF!</definedName>
    <definedName name="ERXSRP" localSheetId="32">#REF!</definedName>
    <definedName name="ERXSRP">#REF!</definedName>
    <definedName name="ESR" localSheetId="7">#REF!</definedName>
    <definedName name="ESR" localSheetId="32">#REF!</definedName>
    <definedName name="ESR">#REF!</definedName>
    <definedName name="Euro" localSheetId="7">#REF!</definedName>
    <definedName name="Euro" localSheetId="32">#REF!</definedName>
    <definedName name="Euro" localSheetId="26">#REF!</definedName>
    <definedName name="Euro">#REF!</definedName>
    <definedName name="Evelin" localSheetId="7">#REF!</definedName>
    <definedName name="Evelin" localSheetId="32">#REF!</definedName>
    <definedName name="Evelin">#REF!</definedName>
    <definedName name="EWSD" localSheetId="7">#REF!</definedName>
    <definedName name="EWSD" localSheetId="32">#REF!</definedName>
    <definedName name="EWSD">#REF!</definedName>
    <definedName name="EX" localSheetId="7">#REF!</definedName>
    <definedName name="EX" localSheetId="32">#REF!</definedName>
    <definedName name="EX">#REF!</definedName>
    <definedName name="EX_SUMMARY" localSheetId="7">#REF!</definedName>
    <definedName name="EX_SUMMARY" localSheetId="32">#REF!</definedName>
    <definedName name="EX_SUMMARY">#REF!</definedName>
    <definedName name="EXCESO" localSheetId="7">#REF!</definedName>
    <definedName name="EXCESO" localSheetId="32">#REF!</definedName>
    <definedName name="EXCESO">#REF!</definedName>
    <definedName name="exchname" localSheetId="7">#REF!</definedName>
    <definedName name="exchname" localSheetId="32">#REF!</definedName>
    <definedName name="exchname">#REF!</definedName>
    <definedName name="exchname1" localSheetId="7">#REF!</definedName>
    <definedName name="exchname1" localSheetId="32">#REF!</definedName>
    <definedName name="exchname1">#REF!</definedName>
    <definedName name="exit" localSheetId="7" hidden="1">{#N/A,#N/A,FALSE,"MODULE3"}</definedName>
    <definedName name="exit" hidden="1">{#N/A,#N/A,FALSE,"MODULE3"}</definedName>
    <definedName name="exname" localSheetId="7">#REF!</definedName>
    <definedName name="exname" localSheetId="32">#REF!</definedName>
    <definedName name="exname">#REF!</definedName>
    <definedName name="exp" localSheetId="7">#REF!</definedName>
    <definedName name="EXP" localSheetId="32">#REF!</definedName>
    <definedName name="EXP">#REF!</definedName>
    <definedName name="expactual">OFFSET('[20]Bar Chart - FHL (M)'!$A$84,0,2,MATCH('[20]Bar Chart - FHL (M)'!$F$1,'[20]Bar Chart - FHL (M)'!$A$84:$A$95,0),1)</definedName>
    <definedName name="expbudget">OFFSET('[20]Bar Chart - FHL (M)'!$A$84,0,1,MATCH('[20]Bar Chart - FHL (M)'!$F$1,'[20]Bar Chart - FHL (M)'!$A$84:$A$95,0),1)</definedName>
    <definedName name="Ext._Price" localSheetId="7">#REF!</definedName>
    <definedName name="Ext._Price" localSheetId="32">#REF!</definedName>
    <definedName name="Ext._Price">#REF!</definedName>
    <definedName name="_xlnm.Extract" localSheetId="7">#REF!</definedName>
    <definedName name="_xlnm.Extract" localSheetId="32">#REF!</definedName>
    <definedName name="_xlnm.Extract">#REF!</definedName>
    <definedName name="FA" localSheetId="7">#REF!</definedName>
    <definedName name="FA" localSheetId="32">#REF!</definedName>
    <definedName name="FA">#REF!</definedName>
    <definedName name="fac" localSheetId="7">#REF!</definedName>
    <definedName name="fac" localSheetId="32">#REF!</definedName>
    <definedName name="fac">#REF!</definedName>
    <definedName name="fac_140" localSheetId="7">#REF!</definedName>
    <definedName name="fac_140" localSheetId="32">#REF!</definedName>
    <definedName name="fac_140">#REF!</definedName>
    <definedName name="fac_batpp" localSheetId="7">#REF!</definedName>
    <definedName name="fac_batpp" localSheetId="32">#REF!</definedName>
    <definedName name="fac_batpp">#REF!</definedName>
    <definedName name="FAC_CCNC" localSheetId="7">#REF!</definedName>
    <definedName name="FAC_CCNC" localSheetId="32">#REF!</definedName>
    <definedName name="FAC_CCNC">#REF!</definedName>
    <definedName name="fac_cns" localSheetId="7">#REF!</definedName>
    <definedName name="fac_cns" localSheetId="32">#REF!</definedName>
    <definedName name="fac_cns">#REF!</definedName>
    <definedName name="FAC_CP" localSheetId="7">#REF!</definedName>
    <definedName name="FAC_CP" localSheetId="32">#REF!</definedName>
    <definedName name="FAC_CP">#REF!</definedName>
    <definedName name="FAC_DLU" localSheetId="7">#REF!</definedName>
    <definedName name="FAC_DLU" localSheetId="32">#REF!</definedName>
    <definedName name="FAC_DLU">#REF!</definedName>
    <definedName name="fac_dlu_new" localSheetId="7">#REF!</definedName>
    <definedName name="fac_dlu_new" localSheetId="32">#REF!</definedName>
    <definedName name="fac_dlu_new">#REF!</definedName>
    <definedName name="fac_doc" localSheetId="7">#REF!</definedName>
    <definedName name="fac_doc" localSheetId="32">#REF!</definedName>
    <definedName name="fac_doc">#REF!</definedName>
    <definedName name="fac_dsl" localSheetId="7">#REF!</definedName>
    <definedName name="fac_dsl" localSheetId="32">#REF!</definedName>
    <definedName name="fac_dsl">#REF!</definedName>
    <definedName name="fac_hpov" localSheetId="7">#REF!</definedName>
    <definedName name="fac_hpov" localSheetId="32">#REF!</definedName>
    <definedName name="fac_hpov">#REF!</definedName>
    <definedName name="fac_loc" localSheetId="7">#REF!</definedName>
    <definedName name="fac_loc" localSheetId="32">#REF!</definedName>
    <definedName name="fac_loc">#REF!</definedName>
    <definedName name="FAC_LTG" localSheetId="7">#REF!</definedName>
    <definedName name="FAC_LTG" localSheetId="32">#REF!</definedName>
    <definedName name="FAC_LTG">#REF!</definedName>
    <definedName name="fac_ltg_new" localSheetId="7">#REF!</definedName>
    <definedName name="fac_ltg_new" localSheetId="32">#REF!</definedName>
    <definedName name="fac_ltg_new">#REF!</definedName>
    <definedName name="FAC_LTPC" localSheetId="7">#REF!</definedName>
    <definedName name="FAC_LTPC" localSheetId="32">#REF!</definedName>
    <definedName name="FAC_LTPC">#REF!</definedName>
    <definedName name="FAC_MB" localSheetId="7">#REF!</definedName>
    <definedName name="FAC_MB" localSheetId="32">#REF!</definedName>
    <definedName name="FAC_MB">#REF!</definedName>
    <definedName name="FAC_MDF" localSheetId="7">#REF!</definedName>
    <definedName name="FAC_MDF" localSheetId="32">#REF!</definedName>
    <definedName name="FAC_MDF">#REF!</definedName>
    <definedName name="FAC_MMT" localSheetId="7">#REF!</definedName>
    <definedName name="FAC_MMT" localSheetId="32">#REF!</definedName>
    <definedName name="FAC_MMT">#REF!</definedName>
    <definedName name="FAC_OMT" localSheetId="7">#REF!</definedName>
    <definedName name="FAC_OMT" localSheetId="32">#REF!</definedName>
    <definedName name="FAC_OMT">#REF!</definedName>
    <definedName name="FAC_PL" localSheetId="7">#REF!</definedName>
    <definedName name="FAC_PL" localSheetId="32">#REF!</definedName>
    <definedName name="FAC_PL">#REF!</definedName>
    <definedName name="fac_pp" localSheetId="7">#REF!</definedName>
    <definedName name="fac_pp" localSheetId="32">#REF!</definedName>
    <definedName name="fac_pp">#REF!</definedName>
    <definedName name="fac_ras" localSheetId="7">#REF!</definedName>
    <definedName name="fac_ras" localSheetId="32">#REF!</definedName>
    <definedName name="fac_ras">#REF!</definedName>
    <definedName name="fac_route" localSheetId="7">#REF!</definedName>
    <definedName name="fac_route" localSheetId="32">#REF!</definedName>
    <definedName name="fac_route">#REF!</definedName>
    <definedName name="fac_rsa" localSheetId="7">#REF!</definedName>
    <definedName name="fac_rsa" localSheetId="32">#REF!</definedName>
    <definedName name="fac_rsa">#REF!</definedName>
    <definedName name="FAC_SE" localSheetId="7">#REF!</definedName>
    <definedName name="FAC_SE" localSheetId="32">#REF!</definedName>
    <definedName name="FAC_SE">#REF!</definedName>
    <definedName name="fac_shelter" localSheetId="7">#REF!</definedName>
    <definedName name="fac_shelter" localSheetId="32">#REF!</definedName>
    <definedName name="fac_shelter">#REF!</definedName>
    <definedName name="FAC_SN" localSheetId="7">#REF!</definedName>
    <definedName name="FAC_SN" localSheetId="32">#REF!</definedName>
    <definedName name="FAC_SN">#REF!</definedName>
    <definedName name="fac_spr" localSheetId="7">#REF!</definedName>
    <definedName name="fac_spr" localSheetId="32">#REF!</definedName>
    <definedName name="fac_spr">#REF!</definedName>
    <definedName name="fac_stmi" localSheetId="7">#REF!</definedName>
    <definedName name="fac_stmi" localSheetId="32">#REF!</definedName>
    <definedName name="fac_stmi">#REF!</definedName>
    <definedName name="fac_sw" localSheetId="7">#REF!</definedName>
    <definedName name="fac_sw" localSheetId="32">#REF!</definedName>
    <definedName name="fac_sw">#REF!</definedName>
    <definedName name="fac_tt" localSheetId="7">#REF!</definedName>
    <definedName name="fac_tt" localSheetId="32">#REF!</definedName>
    <definedName name="fac_tt">#REF!</definedName>
    <definedName name="FAC_V5.2" localSheetId="7">#REF!</definedName>
    <definedName name="FAC_V5.2" localSheetId="32">#REF!</definedName>
    <definedName name="FAC_V5.2">#REF!</definedName>
    <definedName name="fachwaci" localSheetId="7">#REF!</definedName>
    <definedName name="fachwaci" localSheetId="32">#REF!</definedName>
    <definedName name="fachwaci">#REF!</definedName>
    <definedName name="fachwdsl" localSheetId="7">#REF!</definedName>
    <definedName name="fachwdsl" localSheetId="32">#REF!</definedName>
    <definedName name="fachwdsl">#REF!</definedName>
    <definedName name="fachwerx" localSheetId="7">#REF!</definedName>
    <definedName name="fachwerx" localSheetId="32">#REF!</definedName>
    <definedName name="fachwerx">#REF!</definedName>
    <definedName name="Facilities" localSheetId="7">#REF!</definedName>
    <definedName name="Facilities" localSheetId="32">#REF!</definedName>
    <definedName name="Facilities">#REF!</definedName>
    <definedName name="facssc" localSheetId="7">#REF!</definedName>
    <definedName name="facssc" localSheetId="32">#REF!</definedName>
    <definedName name="facssc">#REF!</definedName>
    <definedName name="facswaci" localSheetId="7">#REF!</definedName>
    <definedName name="facswaci" localSheetId="32">#REF!</definedName>
    <definedName name="facswaci">#REF!</definedName>
    <definedName name="facswdsl" localSheetId="7">#REF!</definedName>
    <definedName name="facswdsl" localSheetId="32">#REF!</definedName>
    <definedName name="facswdsl">#REF!</definedName>
    <definedName name="facswerx" localSheetId="7">#REF!</definedName>
    <definedName name="facswerx" localSheetId="32">#REF!</definedName>
    <definedName name="facswerx">#REF!</definedName>
    <definedName name="fact2" localSheetId="7">#REF!</definedName>
    <definedName name="fact2" localSheetId="32">#REF!</definedName>
    <definedName name="fact2">#REF!</definedName>
    <definedName name="factor" localSheetId="7">#REF!</definedName>
    <definedName name="factor" localSheetId="32">#REF!</definedName>
    <definedName name="factor">#REF!</definedName>
    <definedName name="factor\" localSheetId="7">#REF!</definedName>
    <definedName name="factor\" localSheetId="32">#REF!</definedName>
    <definedName name="factor\">#REF!</definedName>
    <definedName name="factor1" localSheetId="7">#REF!</definedName>
    <definedName name="factor1" localSheetId="32">#REF!</definedName>
    <definedName name="factor1">#REF!</definedName>
    <definedName name="factor2" localSheetId="7">#REF!</definedName>
    <definedName name="factor2" localSheetId="32">#REF!</definedName>
    <definedName name="factor2">#REF!</definedName>
    <definedName name="factor3" localSheetId="7">#REF!</definedName>
    <definedName name="factor3" localSheetId="32">#REF!</definedName>
    <definedName name="factor3">#REF!</definedName>
    <definedName name="facy" localSheetId="7">#REF!</definedName>
    <definedName name="facy" localSheetId="32">#REF!</definedName>
    <definedName name="facy">#REF!</definedName>
    <definedName name="fadf">[42]Stock!$B$4</definedName>
    <definedName name="Faktor" localSheetId="7">#REF!</definedName>
    <definedName name="Faktor" localSheetId="32">#REF!</definedName>
    <definedName name="Faktor">#REF!</definedName>
    <definedName name="fapd" localSheetId="7">#REF!</definedName>
    <definedName name="fapd" localSheetId="32">#REF!</definedName>
    <definedName name="fapd">#REF!</definedName>
    <definedName name="fapy" localSheetId="7">#REF!</definedName>
    <definedName name="fapy" localSheetId="32">#REF!</definedName>
    <definedName name="fapy">#REF!</definedName>
    <definedName name="fbd_std" localSheetId="7">#REF!</definedName>
    <definedName name="fbd_std" localSheetId="32">#REF!</definedName>
    <definedName name="fbd_std">#REF!</definedName>
    <definedName name="fcgvhbjn" localSheetId="7">#REF!</definedName>
    <definedName name="fcgvhbjn" localSheetId="32">#REF!</definedName>
    <definedName name="fcgvhbjn">#REF!</definedName>
    <definedName name="FCode" localSheetId="7" hidden="1">#REF!</definedName>
    <definedName name="FCode" localSheetId="32" hidden="1">#REF!</definedName>
    <definedName name="FCode" localSheetId="26" hidden="1">#REF!</definedName>
    <definedName name="FCode" hidden="1">#REF!</definedName>
    <definedName name="FCST_GRF">'[22]IS Mo'!$CP$10:$DA$62</definedName>
    <definedName name="FCST_INN">'[22]IS Mo'!$DT$10:$EE$62</definedName>
    <definedName name="Fcst_Pg_1" localSheetId="7">#REF!</definedName>
    <definedName name="Fcst_Pg_1" localSheetId="32">#REF!</definedName>
    <definedName name="Fcst_Pg_1">#REF!</definedName>
    <definedName name="Fcst_Pg_2" localSheetId="7">#REF!</definedName>
    <definedName name="Fcst_Pg_2" localSheetId="32">#REF!</definedName>
    <definedName name="Fcst_Pg_2">#REF!</definedName>
    <definedName name="Fcst_Pg_3" localSheetId="7">#REF!</definedName>
    <definedName name="Fcst_Pg_3" localSheetId="32">#REF!</definedName>
    <definedName name="Fcst_Pg_3">#REF!</definedName>
    <definedName name="FCST_PUB">'[22]IS Mo'!$DE$10:$DP$62</definedName>
    <definedName name="FD" localSheetId="7">#REF!</definedName>
    <definedName name="FD" localSheetId="32">#REF!</definedName>
    <definedName name="FD">#REF!</definedName>
    <definedName name="FE" localSheetId="7">#REF!</definedName>
    <definedName name="FE" localSheetId="32">#REF!</definedName>
    <definedName name="FE">#REF!</definedName>
    <definedName name="features_reminder" localSheetId="7">#REF!</definedName>
    <definedName name="features_reminder" localSheetId="32">#REF!</definedName>
    <definedName name="features_reminder">#REF!</definedName>
    <definedName name="FEB" localSheetId="7">'[5]PL PBC'!#REF!</definedName>
    <definedName name="FEB" localSheetId="32">'[5]PL PBC'!#REF!</definedName>
    <definedName name="FEB" localSheetId="26">'[5]PL PBC'!#REF!</definedName>
    <definedName name="FEB">'[5]PL PBC'!#REF!</definedName>
    <definedName name="feb_ea" localSheetId="7">#REF!</definedName>
    <definedName name="feb_ea" localSheetId="32">#REF!</definedName>
    <definedName name="feb_ea">#REF!</definedName>
    <definedName name="feb_ps" localSheetId="7">#REF!</definedName>
    <definedName name="feb_ps" localSheetId="32">#REF!</definedName>
    <definedName name="feb_ps">#REF!</definedName>
    <definedName name="feb_rm" localSheetId="7">#REF!</definedName>
    <definedName name="feb_rm" localSheetId="32">#REF!</definedName>
    <definedName name="feb_rm">#REF!</definedName>
    <definedName name="febe" localSheetId="7">[43]PL!$IO$16:$IO$52</definedName>
    <definedName name="febe">[43]PL!$IO$16:$IO$52</definedName>
    <definedName name="ff" localSheetId="7">#REF!</definedName>
    <definedName name="ff" localSheetId="32">#REF!</definedName>
    <definedName name="ff">#REF!</definedName>
    <definedName name="FFormula" localSheetId="7">#REF!</definedName>
    <definedName name="FFormula" localSheetId="32">#REF!</definedName>
    <definedName name="FFormula">#REF!</definedName>
    <definedName name="ffs" localSheetId="7">#REF!</definedName>
    <definedName name="ffs" localSheetId="32">#REF!</definedName>
    <definedName name="ffs">#REF!</definedName>
    <definedName name="fg" localSheetId="7">#REF!</definedName>
    <definedName name="fg" localSheetId="32">#REF!</definedName>
    <definedName name="fg">#REF!</definedName>
    <definedName name="FGFGF" localSheetId="7" hidden="1">{#N/A,#N/A,FALSE,"MODULE3"}</definedName>
    <definedName name="FGFGF" hidden="1">{#N/A,#N/A,FALSE,"MODULE3"}</definedName>
    <definedName name="fghj" localSheetId="7">#REF!</definedName>
    <definedName name="fghj" localSheetId="32">#REF!</definedName>
    <definedName name="fghj">#REF!</definedName>
    <definedName name="fghjkl" localSheetId="7">#REF!</definedName>
    <definedName name="fghjkl" localSheetId="32">#REF!</definedName>
    <definedName name="fghjkl">#REF!</definedName>
    <definedName name="fhhi" localSheetId="7">#REF!</definedName>
    <definedName name="fhhi" localSheetId="32">#REF!</definedName>
    <definedName name="fhhi">#REF!</definedName>
    <definedName name="Fifteen" localSheetId="7">'[44]Financials -Jan 03-Mar04'!#REF!</definedName>
    <definedName name="Fifteen" localSheetId="32">'[44]Financials -Jan 03-Mar04'!#REF!</definedName>
    <definedName name="Fifteen">'[44]Financials -Jan 03-Mar04'!#REF!</definedName>
    <definedName name="FifteenMonthsData" localSheetId="7">'[44]Financials -Jan 03-Mar04'!#REF!</definedName>
    <definedName name="FifteenMonthsData" localSheetId="32">'[44]Financials -Jan 03-Mar04'!#REF!</definedName>
    <definedName name="FifteenMonthsData">'[44]Financials -Jan 03-Mar04'!#REF!</definedName>
    <definedName name="fill" localSheetId="7" hidden="1">#REF!</definedName>
    <definedName name="fill" localSheetId="32" hidden="1">#REF!</definedName>
    <definedName name="fill" hidden="1">#REF!</definedName>
    <definedName name="filler_row" localSheetId="7">#REF!</definedName>
    <definedName name="filler_row" localSheetId="32">#REF!</definedName>
    <definedName name="filler_row">#REF!</definedName>
    <definedName name="Fillers" localSheetId="7">#REF!</definedName>
    <definedName name="Fillers" localSheetId="32">#REF!</definedName>
    <definedName name="Fillers">#REF!</definedName>
    <definedName name="fin" localSheetId="7">#REF!,#REF!,#REF!,#REF!,#REF!,#REF!,#REF!,#REF!,#REF!</definedName>
    <definedName name="fin" localSheetId="32">#REF!</definedName>
    <definedName name="fin">#REF!</definedName>
    <definedName name="FINAL" localSheetId="7">#REF!</definedName>
    <definedName name="FINAL" localSheetId="32">#REF!</definedName>
    <definedName name="FINAL" localSheetId="26">#REF!</definedName>
    <definedName name="FINAL">#REF!</definedName>
    <definedName name="FINSUM" localSheetId="7">#REF!</definedName>
    <definedName name="FINSUM" localSheetId="32">#REF!</definedName>
    <definedName name="FINSUM">#REF!</definedName>
    <definedName name="First">[45]Int.!$CI$37:$CI$39,[45]Int.!$CI$43,[45]Int.!$CI$45:$CI$47,[45]Int.!$CI$50:$CI$62</definedName>
    <definedName name="FIS" localSheetId="7">#REF!</definedName>
    <definedName name="FIS" localSheetId="32">#REF!</definedName>
    <definedName name="FIS">#REF!</definedName>
    <definedName name="FITTER">'[24]#REF'!$B$11</definedName>
    <definedName name="FLS" localSheetId="7">#REF!</definedName>
    <definedName name="FLS" localSheetId="32">#REF!</definedName>
    <definedName name="FLS">#REF!</definedName>
    <definedName name="FM" localSheetId="7">#REF!</definedName>
    <definedName name="FM" localSheetId="32">#REF!</definedName>
    <definedName name="FM">#REF!</definedName>
    <definedName name="FMSX" localSheetId="7">#REF!</definedName>
    <definedName name="FMSX" localSheetId="32">#REF!</definedName>
    <definedName name="FMSX">#REF!</definedName>
    <definedName name="FOB" localSheetId="7">#REF!</definedName>
    <definedName name="FOB" localSheetId="32">#REF!</definedName>
    <definedName name="FOB">#REF!</definedName>
    <definedName name="FOBNN" localSheetId="7">#REF!</definedName>
    <definedName name="FOBNN" localSheetId="32">#REF!</definedName>
    <definedName name="FOBNN">#REF!</definedName>
    <definedName name="FOBSER" localSheetId="7">#REF!</definedName>
    <definedName name="FOBSER" localSheetId="32">#REF!</definedName>
    <definedName name="FOBSER">#REF!</definedName>
    <definedName name="FOBSW" localSheetId="7">#REF!</definedName>
    <definedName name="FOBSW" localSheetId="32">#REF!</definedName>
    <definedName name="FOBSW">#REF!</definedName>
    <definedName name="ForecastDetail" localSheetId="7">#REF!</definedName>
    <definedName name="ForecastDetail" localSheetId="32">#REF!</definedName>
    <definedName name="ForecastDetail">#REF!</definedName>
    <definedName name="FOREMAN">'[24]#REF'!$B$10</definedName>
    <definedName name="FORM" localSheetId="7">'[5]PL PBC'!#REF!</definedName>
    <definedName name="FORM" localSheetId="32">'[5]PL PBC'!#REF!</definedName>
    <definedName name="FORM" localSheetId="26">'[5]PL PBC'!#REF!</definedName>
    <definedName name="FORM">'[5]PL PBC'!#REF!</definedName>
    <definedName name="forme" localSheetId="7">[43]PL!$C$56:$IO$109</definedName>
    <definedName name="forme">[43]PL!$C$56:$IO$109</definedName>
    <definedName name="FormulaAA" localSheetId="7">#REF!</definedName>
    <definedName name="FormulaAA" localSheetId="32">#REF!</definedName>
    <definedName name="FormulaAA">#REF!</definedName>
    <definedName name="FormulaAB" localSheetId="7">#REF!</definedName>
    <definedName name="FormulaAB" localSheetId="32">#REF!</definedName>
    <definedName name="FormulaAB">#REF!</definedName>
    <definedName name="FormulaAD" localSheetId="7">#REF!</definedName>
    <definedName name="FormulaAD" localSheetId="32">#REF!</definedName>
    <definedName name="FormulaAD">#REF!</definedName>
    <definedName name="FormulaAE" localSheetId="7">#REF!</definedName>
    <definedName name="FormulaAE" localSheetId="32">#REF!</definedName>
    <definedName name="FormulaAE">#REF!</definedName>
    <definedName name="FormulaAG" localSheetId="7">#REF!</definedName>
    <definedName name="FormulaAG" localSheetId="32">#REF!</definedName>
    <definedName name="FormulaAG">#REF!</definedName>
    <definedName name="FormulaAH" localSheetId="7">#REF!</definedName>
    <definedName name="FormulaAH" localSheetId="32">#REF!</definedName>
    <definedName name="FormulaAH">#REF!</definedName>
    <definedName name="FormulaC" localSheetId="7">#REF!</definedName>
    <definedName name="FormulaC" localSheetId="32">#REF!</definedName>
    <definedName name="FormulaC">#REF!</definedName>
    <definedName name="FormulaD" localSheetId="7">#REF!</definedName>
    <definedName name="FormulaD" localSheetId="32">#REF!</definedName>
    <definedName name="FormulaD">#REF!</definedName>
    <definedName name="FormulaE" localSheetId="7">#REF!</definedName>
    <definedName name="FormulaE" localSheetId="32">#REF!</definedName>
    <definedName name="FormulaE">#REF!</definedName>
    <definedName name="FormulaF" localSheetId="7">#REF!</definedName>
    <definedName name="FormulaF" localSheetId="32">#REF!</definedName>
    <definedName name="FormulaF">#REF!</definedName>
    <definedName name="FormulaR" localSheetId="7">#REF!</definedName>
    <definedName name="FormulaR" localSheetId="32">#REF!</definedName>
    <definedName name="FormulaR">#REF!</definedName>
    <definedName name="FormulaS" localSheetId="7">#REF!</definedName>
    <definedName name="FormulaS" localSheetId="32">#REF!</definedName>
    <definedName name="FormulaS">#REF!</definedName>
    <definedName name="FormulaT" localSheetId="7">#REF!</definedName>
    <definedName name="FormulaT" localSheetId="32">#REF!</definedName>
    <definedName name="FormulaT">#REF!</definedName>
    <definedName name="FormulaV" localSheetId="7">#REF!</definedName>
    <definedName name="FormulaV" localSheetId="32">#REF!</definedName>
    <definedName name="FormulaV">#REF!</definedName>
    <definedName name="FormulaX" localSheetId="7">#REF!</definedName>
    <definedName name="FormulaX" localSheetId="32">#REF!</definedName>
    <definedName name="FormulaX">#REF!</definedName>
    <definedName name="FormulaY" localSheetId="7">#REF!</definedName>
    <definedName name="FormulaY" localSheetId="32">#REF!</definedName>
    <definedName name="FormulaY">#REF!</definedName>
    <definedName name="Four_O_1_K" localSheetId="7">#REF!</definedName>
    <definedName name="Four_O_1_K" localSheetId="32">#REF!</definedName>
    <definedName name="Four_O_1_K">#REF!</definedName>
    <definedName name="FP1_SW_OPS_auto" localSheetId="7">#REF!</definedName>
    <definedName name="FP1_SW_OPS_auto" localSheetId="32">#REF!</definedName>
    <definedName name="FP1_SW_OPS_auto">#REF!</definedName>
    <definedName name="FP1_upsell" localSheetId="7">#REF!</definedName>
    <definedName name="FP1_upsell" localSheetId="32">#REF!</definedName>
    <definedName name="FP1_upsell">#REF!</definedName>
    <definedName name="FP1_upsellY3" localSheetId="7">#REF!</definedName>
    <definedName name="FP1_upsellY3" localSheetId="32">#REF!</definedName>
    <definedName name="FP1_upsellY3">#REF!</definedName>
    <definedName name="FRAS" localSheetId="7">#REF!</definedName>
    <definedName name="FRAS" localSheetId="32">#REF!</definedName>
    <definedName name="FRAS">#REF!</definedName>
    <definedName name="FSI_Assumptions" localSheetId="7">#REF!</definedName>
    <definedName name="FSI_Assumptions" localSheetId="32">#REF!</definedName>
    <definedName name="FSI_Assumptions">#REF!</definedName>
    <definedName name="FSNI" localSheetId="7">#REF!</definedName>
    <definedName name="FSNI" localSheetId="32">#REF!</definedName>
    <definedName name="FSNI">#REF!</definedName>
    <definedName name="FSSS" localSheetId="7">#REF!</definedName>
    <definedName name="FSSS" localSheetId="32">#REF!</definedName>
    <definedName name="FSSS">#REF!</definedName>
    <definedName name="FTEs" localSheetId="7">#REF!</definedName>
    <definedName name="FTEs" localSheetId="32">#REF!</definedName>
    <definedName name="FTEs">#REF!</definedName>
    <definedName name="ftss" localSheetId="7" hidden="1">{"FTS",#N/A,FALSE,"E"}</definedName>
    <definedName name="ftss" hidden="1">{"FTS",#N/A,FALSE,"E"}</definedName>
    <definedName name="FUGIGIULQWG" localSheetId="7" hidden="1">{"PLANT BREAKUP",#N/A,FALSE,"E"}</definedName>
    <definedName name="FUGIGIULQWG" hidden="1">{"PLANT BREAKUP",#N/A,FALSE,"E"}</definedName>
    <definedName name="FXLD" localSheetId="7">#REF!</definedName>
    <definedName name="FXLD" localSheetId="32">#REF!</definedName>
    <definedName name="FXLD">#REF!</definedName>
    <definedName name="G" localSheetId="7">'[2]CMA DATA'!#REF!</definedName>
    <definedName name="G" localSheetId="32">'[2]CMA DATA'!#REF!</definedName>
    <definedName name="G" localSheetId="26">'[2]CMA DATA'!#REF!</definedName>
    <definedName name="G">'[2]CMA DATA'!#REF!</definedName>
    <definedName name="GANINF">#N/A</definedName>
    <definedName name="gb" localSheetId="7">#REF!</definedName>
    <definedName name="gb" localSheetId="32">#REF!</definedName>
    <definedName name="gb">#REF!</definedName>
    <definedName name="GBP" localSheetId="7">#REF!</definedName>
    <definedName name="GBP" localSheetId="32">#REF!</definedName>
    <definedName name="GBP" localSheetId="26">#REF!</definedName>
    <definedName name="GBP">#REF!</definedName>
    <definedName name="gbpe" localSheetId="7">#REF!</definedName>
    <definedName name="gbpe" localSheetId="32">#REF!</definedName>
    <definedName name="gbpe" localSheetId="26">#REF!</definedName>
    <definedName name="gbpe">#REF!</definedName>
    <definedName name="GBPMONTH" localSheetId="7">#REF!</definedName>
    <definedName name="GBPMONTH" localSheetId="32">#REF!</definedName>
    <definedName name="GBPMONTH" localSheetId="26">#REF!</definedName>
    <definedName name="GBPMONTH">#REF!</definedName>
    <definedName name="gcacper">OFFSET('[20]Bar Chart - FHL (M)'!$A$9,0,2,MATCH('[20]Bar Chart - FHL (M)'!$F$1,'[20]Bar Chart - FHL (M)'!$A$9:$A$20,0),1)</definedName>
    <definedName name="GCactual">OFFSET('[20]Bar Chart - FHL (M)'!$A$9,0,5,MATCH('[20]Bar Chart - FHL (M)'!$F$1,'[20]Bar Chart - FHL (M)'!$A$9:$A$20,0),1)</definedName>
    <definedName name="gcbudget">OFFSET('[20]Bar Chart - FHL (M)'!$A$9,0,4,MATCH('[20]Bar Chart - FHL (M)'!$F$1,'[20]Bar Chart - FHL (M)'!$A$9:$A$20,0),1)</definedName>
    <definedName name="gcbudper">OFFSET('[20]Bar Chart - FHL (M)'!$A$9,0,1,MATCH('[20]Bar Chart - FHL (M)'!$F$1,'[20]Bar Chart - FHL (M)'!$A$9:$A$20,0),1)</definedName>
    <definedName name="gdgwg" localSheetId="7" hidden="1">{"FTS",#N/A,FALSE,"E"}</definedName>
    <definedName name="gdgwg" hidden="1">{"FTS",#N/A,FALSE,"E"}</definedName>
    <definedName name="gdwilugi" localSheetId="7" hidden="1">{"CASH FLOW",#N/A,FALSE,"A"}</definedName>
    <definedName name="gdwilugi" hidden="1">{"CASH FLOW",#N/A,FALSE,"A"}</definedName>
    <definedName name="ge" localSheetId="7">#REF!</definedName>
    <definedName name="ge" localSheetId="32">#REF!</definedName>
    <definedName name="ge">#REF!</definedName>
    <definedName name="gg">'[14]TB PCDN-16'!$A:$K</definedName>
    <definedName name="gggg" localSheetId="7" hidden="1">{"ss",#N/A,FALSE,"MODULE3"}</definedName>
    <definedName name="gggg" hidden="1">{"ss",#N/A,FALSE,"MODULE3"}</definedName>
    <definedName name="gisnet" localSheetId="7">#REF!</definedName>
    <definedName name="gisnet" localSheetId="32">#REF!</definedName>
    <definedName name="gisnet">#REF!</definedName>
    <definedName name="GIUIO" localSheetId="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I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LIO" localSheetId="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IULIO"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lobal" localSheetId="7">#REF!</definedName>
    <definedName name="Global" localSheetId="32">#REF!</definedName>
    <definedName name="Global">#REF!</definedName>
    <definedName name="goatrial" localSheetId="7">#REF!</definedName>
    <definedName name="goatrial" localSheetId="32">#REF!</definedName>
    <definedName name="goatrial">#REF!</definedName>
    <definedName name="Gold_Mark_Dn">[19]PC_Cost_Ku!$B$13</definedName>
    <definedName name="gp" localSheetId="7">#REF!</definedName>
    <definedName name="gp" localSheetId="32">#REF!</definedName>
    <definedName name="gp">#REF!</definedName>
    <definedName name="gr">[14]GRP!$G:$O</definedName>
    <definedName name="GrAdd" localSheetId="7">#REF!</definedName>
    <definedName name="GrAdd" localSheetId="32">#REF!</definedName>
    <definedName name="GrAdd">#REF!</definedName>
    <definedName name="Green_Hills_Ltd" localSheetId="7">'[46]profit reco (2)'!#REF!</definedName>
    <definedName name="Green_Hills_Ltd" localSheetId="32">'[46]profit reco (2)'!#REF!</definedName>
    <definedName name="Green_Hills_Ltd">'[46]profit reco (2)'!#REF!</definedName>
    <definedName name="GRF_Graphs" localSheetId="7">#REF!</definedName>
    <definedName name="GRF_Graphs" localSheetId="32">#REF!</definedName>
    <definedName name="GRF_Graphs">#REF!</definedName>
    <definedName name="grg_std" localSheetId="7">#REF!</definedName>
    <definedName name="grg_std" localSheetId="32">#REF!</definedName>
    <definedName name="grg_std">#REF!</definedName>
    <definedName name="Gross_Margin___Rs_M" localSheetId="7">#REF!</definedName>
    <definedName name="Gross_Margin___Rs_M" localSheetId="32">#REF!</definedName>
    <definedName name="Gross_Margin___Rs_M">#REF!</definedName>
    <definedName name="GROSSPFT" localSheetId="7">#REF!</definedName>
    <definedName name="GROSSPFT" localSheetId="32">#REF!</definedName>
    <definedName name="GROSSPFT">#REF!</definedName>
    <definedName name="grosstaxincomemar98" localSheetId="7">#REF!</definedName>
    <definedName name="grosstaxincomemar98" localSheetId="32">#REF!</definedName>
    <definedName name="grosstaxincomemar98">#REF!</definedName>
    <definedName name="group" localSheetId="7">#REF!</definedName>
    <definedName name="group" localSheetId="32">#REF!</definedName>
    <definedName name="group">#REF!</definedName>
    <definedName name="grpname">'[47]ITEMGRP-DY'!$A$1:$B$200</definedName>
    <definedName name="GRPNRQ" localSheetId="7">#REF!</definedName>
    <definedName name="GRPNRQ" localSheetId="32">#REF!</definedName>
    <definedName name="GRPNRQ">#REF!</definedName>
    <definedName name="GRPNRZ" localSheetId="7">#REF!</definedName>
    <definedName name="GRPNRZ" localSheetId="32">#REF!</definedName>
    <definedName name="GRPNRZ">#REF!</definedName>
    <definedName name="GRPTOTB">[14]GRP!$G:$AH</definedName>
    <definedName name="Gsoh" localSheetId="7">#REF!</definedName>
    <definedName name="Gsoh" localSheetId="32">#REF!</definedName>
    <definedName name="Gsoh">#REF!</definedName>
    <definedName name="gsoh1" localSheetId="7">#REF!</definedName>
    <definedName name="gsoh1" localSheetId="32">#REF!</definedName>
    <definedName name="gsoh1">#REF!</definedName>
    <definedName name="GTOS.INSTAL." localSheetId="7">#REF!</definedName>
    <definedName name="GTOS.INSTAL." localSheetId="32">#REF!</definedName>
    <definedName name="GTOS.INSTAL.">#REF!</definedName>
    <definedName name="Guenther" localSheetId="7">#REF!</definedName>
    <definedName name="Guenther" localSheetId="32">#REF!</definedName>
    <definedName name="Guenther">#REF!</definedName>
    <definedName name="h" localSheetId="7">#REF!</definedName>
    <definedName name="h" localSheetId="32">#REF!</definedName>
    <definedName name="h">#REF!</definedName>
    <definedName name="H2H" hidden="1">{#N/A,#N/A,FALSE,"Staffnos &amp; cost"}</definedName>
    <definedName name="Haryana" hidden="1">{#N/A,#N/A,FALSE,"Staffnos &amp; cost"}</definedName>
    <definedName name="hd" localSheetId="7">#REF!</definedName>
    <definedName name="hd" localSheetId="32">#REF!</definedName>
    <definedName name="hd">#REF!</definedName>
    <definedName name="hd_c" localSheetId="7">#REF!</definedName>
    <definedName name="hd_c" localSheetId="32">#REF!</definedName>
    <definedName name="hd_c">#REF!</definedName>
    <definedName name="hd_p" localSheetId="7">#REF!</definedName>
    <definedName name="hd_p" localSheetId="32">#REF!</definedName>
    <definedName name="hd_p">#REF!</definedName>
    <definedName name="Head_Count" localSheetId="7">#REF!</definedName>
    <definedName name="Head_Count" localSheetId="32">#REF!</definedName>
    <definedName name="Head_Count">#REF!</definedName>
    <definedName name="HEADER" localSheetId="7">#REF!</definedName>
    <definedName name="HEADER" localSheetId="32">#REF!</definedName>
    <definedName name="HEADER">#REF!</definedName>
    <definedName name="Health" localSheetId="7">#REF!</definedName>
    <definedName name="Health" localSheetId="32">#REF!</definedName>
    <definedName name="Health">#REF!</definedName>
    <definedName name="Helmuth" localSheetId="7">#REF!</definedName>
    <definedName name="Helmuth" localSheetId="32">#REF!</definedName>
    <definedName name="Helmuth">#REF!</definedName>
    <definedName name="hhfillers" localSheetId="7">#REF!</definedName>
    <definedName name="hhfillers" localSheetId="32">#REF!</definedName>
    <definedName name="hhfillers">#REF!</definedName>
    <definedName name="HiddenRows" localSheetId="7" hidden="1">#REF!</definedName>
    <definedName name="HiddenRows" localSheetId="32" hidden="1">#REF!</definedName>
    <definedName name="HiddenRows" localSheetId="26" hidden="1">#REF!</definedName>
    <definedName name="HiddenRows" hidden="1">#REF!</definedName>
    <definedName name="HJKHSDD" localSheetId="7">#REF!</definedName>
    <definedName name="HJKHSDD" localSheetId="32">#REF!</definedName>
    <definedName name="HJKHSDD" localSheetId="26">#REF!</definedName>
    <definedName name="HJKHSDD">#REF!</definedName>
    <definedName name="hmper" localSheetId="7">#REF!</definedName>
    <definedName name="hmper" localSheetId="32">#REF!</definedName>
    <definedName name="hmper">#REF!</definedName>
    <definedName name="hmsub" localSheetId="7">#REF!</definedName>
    <definedName name="hmsub" localSheetId="32">#REF!</definedName>
    <definedName name="hmsub">#REF!</definedName>
    <definedName name="hmsubs" localSheetId="7">#REF!</definedName>
    <definedName name="hmsubs" localSheetId="32">#REF!</definedName>
    <definedName name="hmsubs">#REF!</definedName>
    <definedName name="hmsubs1" localSheetId="7">#REF!</definedName>
    <definedName name="hmsubs1" localSheetId="32">#REF!</definedName>
    <definedName name="hmsubs1">#REF!</definedName>
    <definedName name="hshhr" hidden="1">{#N/A,#N/A,TRUE,"Staffnos &amp; cost"}</definedName>
    <definedName name="HTML_CodePage" localSheetId="7" hidden="1">950</definedName>
    <definedName name="HTML_CodePage" hidden="1">950</definedName>
    <definedName name="HTML_Control" localSheetId="7" hidden="1">{"'Sheet1'!$L$16"}</definedName>
    <definedName name="HTML_Control" hidden="1">{"'Sheet1'!$L$16"}</definedName>
    <definedName name="HTML_Description" localSheetId="7" hidden="1">""</definedName>
    <definedName name="HTML_Description" hidden="1">""</definedName>
    <definedName name="HTML_Email" hidden="1">""</definedName>
    <definedName name="HTML_Header" localSheetId="7" hidden="1">"Sheet1"</definedName>
    <definedName name="HTML_Header" hidden="1">"Sheet1"</definedName>
    <definedName name="HTML_LastUpdate" localSheetId="7" hidden="1">"2000/9/14"</definedName>
    <definedName name="HTML_LastUpdate" hidden="1">"2000/9/14"</definedName>
    <definedName name="HTML_LineAfter" hidden="1">FALSE</definedName>
    <definedName name="HTML_LineBefore" localSheetId="7" hidden="1">FALSE</definedName>
    <definedName name="HTML_LineBefore" hidden="1">FALSE</definedName>
    <definedName name="HTML_Name" localSheetId="7" hidden="1">"J.C.WONG"</definedName>
    <definedName name="HTML_Name" hidden="1">"J.C.WONG"</definedName>
    <definedName name="HTML_OBDlg2" hidden="1">TRUE</definedName>
    <definedName name="HTML_OBDlg4" hidden="1">TRUE</definedName>
    <definedName name="HTML_OS" hidden="1">0</definedName>
    <definedName name="HTML_PathFile" localSheetId="7" hidden="1">"C:\2689\Q\國內\00q3961台化龍德PTA3建造\MyHTML.htm"</definedName>
    <definedName name="HTML_PathFile" hidden="1">"C:\2689\Q\國內\00q3961台化龍德PTA3建造\MyHTML.htm"</definedName>
    <definedName name="HTML_Title" localSheetId="7" hidden="1">"00Q3961-SUM"</definedName>
    <definedName name="HTML_Title" hidden="1">"00Q3961-SUM"</definedName>
    <definedName name="hufk" localSheetId="7">#REF!</definedName>
    <definedName name="hufk" localSheetId="32">#REF!</definedName>
    <definedName name="hufk">#REF!</definedName>
    <definedName name="huy" localSheetId="7" hidden="1">{"'Sheet1'!$L$16"}</definedName>
    <definedName name="huy" hidden="1">{"'Sheet1'!$L$16"}</definedName>
    <definedName name="hw" localSheetId="7">#REF!</definedName>
    <definedName name="hw" localSheetId="32">#REF!</definedName>
    <definedName name="hw">#REF!</definedName>
    <definedName name="hw_serv" localSheetId="7">#REF!</definedName>
    <definedName name="hw_serv" localSheetId="32">#REF!</definedName>
    <definedName name="hw_serv">#REF!</definedName>
    <definedName name="hwdsl" localSheetId="7">#REF!</definedName>
    <definedName name="hwdsl" localSheetId="32">#REF!</definedName>
    <definedName name="hwdsl">#REF!</definedName>
    <definedName name="hwerx" localSheetId="7">#REF!</definedName>
    <definedName name="hwerx" localSheetId="32">#REF!</definedName>
    <definedName name="hwerx">#REF!</definedName>
    <definedName name="hws" localSheetId="7">#REF!</definedName>
    <definedName name="hws" localSheetId="32">#REF!</definedName>
    <definedName name="hws">#REF!</definedName>
    <definedName name="hy" localSheetId="7" hidden="1">{"CASH FLOW",#N/A,FALSE,"A"}</definedName>
    <definedName name="hy" hidden="1">{"CASH FLOW",#N/A,FALSE,"A"}</definedName>
    <definedName name="i" localSheetId="7">#REF!</definedName>
    <definedName name="i" localSheetId="32">#REF!</definedName>
    <definedName name="i" localSheetId="26">#REF!</definedName>
    <definedName name="i">#REF!</definedName>
    <definedName name="I.Furniture_and_Fixtures" localSheetId="7">#REF!</definedName>
    <definedName name="I.Furniture_and_Fixtures" localSheetId="32">#REF!</definedName>
    <definedName name="I.Furniture_and_Fixtures">#REF!</definedName>
    <definedName name="ic" localSheetId="7">#REF!</definedName>
    <definedName name="ic" localSheetId="32">#REF!</definedName>
    <definedName name="ic">#REF!</definedName>
    <definedName name="ictrnks" localSheetId="7">#REF!</definedName>
    <definedName name="ictrnks" localSheetId="32">#REF!</definedName>
    <definedName name="ictrnks">#REF!</definedName>
    <definedName name="II.Computer" localSheetId="7">#REF!</definedName>
    <definedName name="II.Computer" localSheetId="32">#REF!</definedName>
    <definedName name="II.Computer">#REF!</definedName>
    <definedName name="III._Office_Equipment" localSheetId="7">#REF!</definedName>
    <definedName name="III._Office_Equipment" localSheetId="32">#REF!</definedName>
    <definedName name="III._Office_Equipment">#REF!</definedName>
    <definedName name="import_start" localSheetId="7">#REF!</definedName>
    <definedName name="import_start" localSheetId="32">#REF!</definedName>
    <definedName name="import_start">#REF!</definedName>
    <definedName name="IN" localSheetId="7">#REF!</definedName>
    <definedName name="IN" localSheetId="32">#REF!</definedName>
    <definedName name="IN">#REF!</definedName>
    <definedName name="Inc_Stmt" localSheetId="7">#REF!</definedName>
    <definedName name="Inc_Stmt" localSheetId="32">#REF!</definedName>
    <definedName name="Inc_Stmt">#REF!</definedName>
    <definedName name="INCINER" localSheetId="7">#REF!</definedName>
    <definedName name="INCINER" localSheetId="32">#REF!</definedName>
    <definedName name="INCINER">#REF!</definedName>
    <definedName name="IncomeStatement" localSheetId="7">#REF!</definedName>
    <definedName name="IncomeStatement" localSheetId="32">#REF!</definedName>
    <definedName name="IncomeStatement">#REF!</definedName>
    <definedName name="INDIA_PLASTIC_in_KUSD" localSheetId="7">#REF!</definedName>
    <definedName name="INDIA_PLASTIC_in_KUSD" localSheetId="32">#REF!</definedName>
    <definedName name="INDIA_PLASTIC_in_KUSD">#REF!</definedName>
    <definedName name="INM" localSheetId="7">#REF!</definedName>
    <definedName name="INM" localSheetId="32">#REF!</definedName>
    <definedName name="INM">#REF!</definedName>
    <definedName name="Inputs" localSheetId="7">#REF!</definedName>
    <definedName name="Inputs" localSheetId="32">#REF!</definedName>
    <definedName name="Inputs">#REF!</definedName>
    <definedName name="inr" localSheetId="7">#REF!</definedName>
    <definedName name="inr" localSheetId="32">#REF!</definedName>
    <definedName name="inr">#REF!</definedName>
    <definedName name="insert_row" localSheetId="7">#REF!</definedName>
    <definedName name="insert_row" localSheetId="32">#REF!</definedName>
    <definedName name="insert_row">#REF!</definedName>
    <definedName name="Int_Value_list" localSheetId="7">#REF!</definedName>
    <definedName name="Int_Value_list" localSheetId="32">#REF!</definedName>
    <definedName name="Int_Value_list">#REF!</definedName>
    <definedName name="Interest_Accrued_1" localSheetId="7">'[48]BS_Drop Down'!#REF!</definedName>
    <definedName name="Interest_Accrued_1" localSheetId="32">'[48]BS_Drop Down'!#REF!</definedName>
    <definedName name="Interest_Accrued_1">'[48]BS_Drop Down'!#REF!</definedName>
    <definedName name="intratm" localSheetId="7">#REF!</definedName>
    <definedName name="intratm" localSheetId="32">#REF!</definedName>
    <definedName name="intratm">#REF!</definedName>
    <definedName name="intratm1" localSheetId="7">#REF!</definedName>
    <definedName name="intratm1" localSheetId="32">#REF!</definedName>
    <definedName name="intratm1">#REF!</definedName>
    <definedName name="Inv" localSheetId="7" hidden="1">[49]Accounts!#REF!</definedName>
    <definedName name="Inv" localSheetId="32" hidden="1">[49]Accounts!#REF!</definedName>
    <definedName name="Inv" hidden="1">[49]Accounts!#REF!</definedName>
    <definedName name="IOP" localSheetId="7">#REF!</definedName>
    <definedName name="IOP" localSheetId="32">#REF!</definedName>
    <definedName name="IOP">#REF!</definedName>
    <definedName name="isdnbaper" localSheetId="7">#REF!</definedName>
    <definedName name="isdnbaper" localSheetId="32">#REF!</definedName>
    <definedName name="isdnbaper">#REF!</definedName>
    <definedName name="isdnbasub" localSheetId="7">#REF!</definedName>
    <definedName name="isdnbasub" localSheetId="32">#REF!</definedName>
    <definedName name="isdnbasub">#REF!</definedName>
    <definedName name="isdnbasubs" localSheetId="7">#REF!</definedName>
    <definedName name="isdnbasubs" localSheetId="32">#REF!</definedName>
    <definedName name="isdnbasubs">#REF!</definedName>
    <definedName name="isdnbasubs1" localSheetId="7">#REF!</definedName>
    <definedName name="isdnbasubs1" localSheetId="32">#REF!</definedName>
    <definedName name="isdnbasubs1">#REF!</definedName>
    <definedName name="isdnpa" localSheetId="7">#REF!</definedName>
    <definedName name="isdnpa" localSheetId="32">#REF!</definedName>
    <definedName name="isdnpa">#REF!</definedName>
    <definedName name="isdnpa1" localSheetId="7">#REF!</definedName>
    <definedName name="isdnpa1" localSheetId="32">#REF!</definedName>
    <definedName name="isdnpa1">#REF!</definedName>
    <definedName name="ISR">[32]Enero!$O$12:$R$19</definedName>
    <definedName name="it" localSheetId="7">#REF!</definedName>
    <definedName name="it" localSheetId="32">#REF!</definedName>
    <definedName name="it">#REF!</definedName>
    <definedName name="itdepmlpl" localSheetId="7">#REF!</definedName>
    <definedName name="itdepmlpl" localSheetId="32">#REF!</definedName>
    <definedName name="itdepmlpl">#REF!</definedName>
    <definedName name="item_col" localSheetId="7">#REF!</definedName>
    <definedName name="item_col" localSheetId="32">#REF!</definedName>
    <definedName name="item_col">#REF!</definedName>
    <definedName name="Item_Del_Col" localSheetId="7">#REF!</definedName>
    <definedName name="Item_Del_Col" localSheetId="32">#REF!</definedName>
    <definedName name="Item_Del_Col">#REF!</definedName>
    <definedName name="item_heading" localSheetId="7">#REF!</definedName>
    <definedName name="item_heading" localSheetId="32">#REF!</definedName>
    <definedName name="item_heading">#REF!</definedName>
    <definedName name="itemNum_col" localSheetId="7">#REF!</definedName>
    <definedName name="itemNum_col" localSheetId="32">#REF!</definedName>
    <definedName name="itemNum_col">#REF!</definedName>
    <definedName name="j" localSheetId="7">#REF!</definedName>
    <definedName name="j" localSheetId="32">#REF!</definedName>
    <definedName name="j" localSheetId="26">#REF!</definedName>
    <definedName name="j">#REF!</definedName>
    <definedName name="Jambu" localSheetId="7">#REF!</definedName>
    <definedName name="Jambu" localSheetId="32">#REF!</definedName>
    <definedName name="Jambu">#REF!</definedName>
    <definedName name="janak" localSheetId="7" hidden="1">{"form-D1",#N/A,FALSE,"FORM-D1";"form-D1_amt",#N/A,FALSE,"FORM-D1"}</definedName>
    <definedName name="janak" hidden="1">{"form-D1",#N/A,FALSE,"FORM-D1";"form-D1_amt",#N/A,FALSE,"FORM-D1"}</definedName>
    <definedName name="janak1" localSheetId="7" hidden="1">{"form-D1",#N/A,FALSE,"FORM-D1";"form-D1_amt",#N/A,FALSE,"FORM-D1"}</definedName>
    <definedName name="janak1" hidden="1">{"form-D1",#N/A,FALSE,"FORM-D1";"form-D1_amt",#N/A,FALSE,"FORM-D1"}</definedName>
    <definedName name="janak11">[50]PLAN_FEB97!$A$2</definedName>
    <definedName name="jap" localSheetId="7" hidden="1">{"FTS",#N/A,FALSE,"E"}</definedName>
    <definedName name="jap" hidden="1">{"FTS",#N/A,FALSE,"E"}</definedName>
    <definedName name="jjj" localSheetId="7">#REF!</definedName>
    <definedName name="jjj" localSheetId="32">#REF!</definedName>
    <definedName name="jjj" localSheetId="26">#REF!</definedName>
    <definedName name="jjj">#REF!</definedName>
    <definedName name="JJJJ" localSheetId="7">'[2]CMA DATA'!#REF!</definedName>
    <definedName name="JJJJ" localSheetId="32">'[2]CMA DATA'!#REF!</definedName>
    <definedName name="JJJJ" localSheetId="26">'[2]CMA DATA'!#REF!</definedName>
    <definedName name="JJJJ">'[2]CMA DATA'!#REF!</definedName>
    <definedName name="JK" localSheetId="7" hidden="1">{#N/A,#N/A,FALSE,"MODULE3"}</definedName>
    <definedName name="JK" hidden="1">{#N/A,#N/A,FALSE,"MODULE3"}</definedName>
    <definedName name="jmp" localSheetId="7">#REF!</definedName>
    <definedName name="jmp" localSheetId="32">#REF!</definedName>
    <definedName name="jmp">#REF!</definedName>
    <definedName name="JOBLIST">[51]Sheet1!$A$2:$A$65536</definedName>
    <definedName name="june">'[14]TB ERP-16'!$B:$K</definedName>
    <definedName name="K" localSheetId="7">#REF!</definedName>
    <definedName name="K" localSheetId="32">#REF!</definedName>
    <definedName name="K" localSheetId="26">#REF!</definedName>
    <definedName name="K">#REF!</definedName>
    <definedName name="KA" localSheetId="7">#REF!</definedName>
    <definedName name="KA" localSheetId="32">#REF!</definedName>
    <definedName name="KA">#REF!</definedName>
    <definedName name="kar_std" localSheetId="7">#REF!</definedName>
    <definedName name="kar_std" localSheetId="32">#REF!</definedName>
    <definedName name="kar_std">#REF!</definedName>
    <definedName name="Key_Indicators" localSheetId="7">#REF!</definedName>
    <definedName name="Key_Indicators" localSheetId="32">#REF!</definedName>
    <definedName name="Key_Indicators">#REF!</definedName>
    <definedName name="KHF" localSheetId="7" hidden="1">{"PLANNING",#N/A,FALSE,"A"}</definedName>
    <definedName name="KHF" hidden="1">{"PLANNING",#N/A,FALSE,"A"}</definedName>
    <definedName name="khfond" localSheetId="7">#REF!</definedName>
    <definedName name="khfond" localSheetId="32">#REF!</definedName>
    <definedName name="khfond">#REF!</definedName>
    <definedName name="khiljun98" localSheetId="7">#REF!</definedName>
    <definedName name="khiljun98" localSheetId="32">#REF!</definedName>
    <definedName name="khiljun98">#REF!</definedName>
    <definedName name="KIL" localSheetId="7" hidden="1">{"PLANT BREAKUP",#N/A,FALSE,"E"}</definedName>
    <definedName name="KIL" hidden="1">{"PLANT BREAKUP",#N/A,FALSE,"E"}</definedName>
    <definedName name="KK" localSheetId="7">#REF!</definedName>
    <definedName name="KK" localSheetId="32">#REF!</definedName>
    <definedName name="KK" localSheetId="26">#REF!</definedName>
    <definedName name="KK">#REF!</definedName>
    <definedName name="kkk" localSheetId="7">#REF!</definedName>
    <definedName name="kkk" localSheetId="32">#REF!</definedName>
    <definedName name="kkk" localSheetId="26">#REF!</definedName>
    <definedName name="kkk">#REF!</definedName>
    <definedName name="KKKK" localSheetId="7" hidden="1">{"ss",#N/A,FALSE,"MODULE3"}</definedName>
    <definedName name="KKKK" hidden="1">{"ss",#N/A,FALSE,"MODULE3"}</definedName>
    <definedName name="KKKKK" localSheetId="7" hidden="1">{"ss",#N/A,FALSE,"MODULE3"}</definedName>
    <definedName name="KKKKK" hidden="1">{"ss",#N/A,FALSE,"MODULE3"}</definedName>
    <definedName name="kkp" localSheetId="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kp"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ONTCASH" localSheetId="7">#REF!</definedName>
    <definedName name="KONTCASH" localSheetId="32">#REF!</definedName>
    <definedName name="KONTCASH" localSheetId="26">#REF!</definedName>
    <definedName name="KONTCASH">#REF!</definedName>
    <definedName name="KOREA_PLASTIC_in_KUSD" localSheetId="7">#REF!</definedName>
    <definedName name="KOREA_PLASTIC_in_KUSD" localSheetId="32">#REF!</definedName>
    <definedName name="KOREA_PLASTIC_in_KUSD">#REF!</definedName>
    <definedName name="kou" localSheetId="7">'[52]Sub Sch BS ROUGH'!#REF!</definedName>
    <definedName name="kou" localSheetId="32">'[52]Sub Sch BS ROUGH'!#REF!</definedName>
    <definedName name="kou">'[52]Sub Sch BS ROUGH'!#REF!</definedName>
    <definedName name="KPI" hidden="1">{#N/A,#N/A,FALSE,"Staffnos &amp; cost"}</definedName>
    <definedName name="ku" localSheetId="7">#REF!,#REF!,#REF!,#REF!,#REF!,#REF!,#REF!,#REF!,#REF!</definedName>
    <definedName name="ku" localSheetId="32">#REF!,#REF!,#REF!,#REF!,#REF!,#REF!,#REF!,#REF!,#REF!</definedName>
    <definedName name="ku">#REF!,#REF!,#REF!,#REF!,#REF!,#REF!,#REF!,#REF!,#REF!</definedName>
    <definedName name="KUKULE_GANGA_HYDROPOWER_PROJECT" localSheetId="7">#REF!,#REF!,#REF!,#REF!,#REF!,#REF!,#REF!,#REF!,#REF!</definedName>
    <definedName name="KUKULE_GANGA_HYDROPOWER_PROJECT" localSheetId="32">#REF!,#REF!,#REF!,#REF!,#REF!,#REF!,#REF!,#REF!,#REF!</definedName>
    <definedName name="KUKULE_GANGA_HYDROPOWER_PROJECT">#REF!,#REF!,#REF!,#REF!,#REF!,#REF!,#REF!,#REF!,#REF!</definedName>
    <definedName name="l" localSheetId="7">#REF!</definedName>
    <definedName name="l" localSheetId="32">#REF!</definedName>
    <definedName name="l" localSheetId="26">#REF!</definedName>
    <definedName name="l">#REF!</definedName>
    <definedName name="LAC">[53]S3workplanqty!$G$5</definedName>
    <definedName name="LACS">[54]PLAN_FEB97!$A$2</definedName>
    <definedName name="LE" localSheetId="7">#REF!</definedName>
    <definedName name="LE" localSheetId="32">#REF!</definedName>
    <definedName name="LE">#REF!</definedName>
    <definedName name="liab" localSheetId="7">#REF!</definedName>
    <definedName name="liab" localSheetId="32">#REF!</definedName>
    <definedName name="liab">#REF!</definedName>
    <definedName name="liab\inc\intt" localSheetId="7">#REF!</definedName>
    <definedName name="liab\inc\intt" localSheetId="32">#REF!</definedName>
    <definedName name="liab\inc\intt">#REF!</definedName>
    <definedName name="Liab1" localSheetId="7">#REF!</definedName>
    <definedName name="Liab1" localSheetId="32">#REF!</definedName>
    <definedName name="Liab1">#REF!</definedName>
    <definedName name="LIABS" localSheetId="7">#REF!</definedName>
    <definedName name="LIABS" localSheetId="32">#REF!</definedName>
    <definedName name="LIABS" localSheetId="26">#REF!</definedName>
    <definedName name="LIABS">#REF!</definedName>
    <definedName name="limcount" hidden="1">1</definedName>
    <definedName name="LIST" localSheetId="7">'[5]PL PBC'!#REF!</definedName>
    <definedName name="LIST" localSheetId="32">'[5]PL PBC'!#REF!</definedName>
    <definedName name="LIST" localSheetId="26">'[5]PL PBC'!#REF!</definedName>
    <definedName name="LIST">'[5]PL PBC'!#REF!</definedName>
    <definedName name="List_Curr">[37]Currency!$B$9:$B$31</definedName>
    <definedName name="List_of_Material" localSheetId="7">#REF!</definedName>
    <definedName name="List_of_Material" localSheetId="32">#REF!</definedName>
    <definedName name="List_of_Material">#REF!</definedName>
    <definedName name="liste" localSheetId="7">[43]PL!$B$54:$D$59</definedName>
    <definedName name="liste">[43]PL!$B$54:$D$59</definedName>
    <definedName name="ListPrice" localSheetId="7">#REF!</definedName>
    <definedName name="ListPrice" localSheetId="32">#REF!</definedName>
    <definedName name="ListPrice">#REF!</definedName>
    <definedName name="lklkljl" localSheetId="7" hidden="1">{"SUMMARY",#N/A,FALSE,"C"}</definedName>
    <definedName name="lklkljl" hidden="1">{"SUMMARY",#N/A,FALSE,"C"}</definedName>
    <definedName name="lko" localSheetId="7">#REF!</definedName>
    <definedName name="lko" localSheetId="32">#REF!</definedName>
    <definedName name="lko" localSheetId="26">#REF!</definedName>
    <definedName name="lko">#REF!</definedName>
    <definedName name="ll" localSheetId="7">#REF!</definedName>
    <definedName name="ll" localSheetId="32">#REF!</definedName>
    <definedName name="ll" localSheetId="26">#REF!</definedName>
    <definedName name="ll">#REF!</definedName>
    <definedName name="LList">[55]Listing!$P$4:$P$6</definedName>
    <definedName name="llper" localSheetId="7">#REF!</definedName>
    <definedName name="llper" localSheetId="32">#REF!</definedName>
    <definedName name="llper">#REF!</definedName>
    <definedName name="llsub" localSheetId="7">#REF!</definedName>
    <definedName name="llsub" localSheetId="32">#REF!</definedName>
    <definedName name="llsub">#REF!</definedName>
    <definedName name="llsubs" localSheetId="7">#REF!</definedName>
    <definedName name="llsubs" localSheetId="32">#REF!</definedName>
    <definedName name="llsubs">#REF!</definedName>
    <definedName name="llsubs1" localSheetId="7">#REF!</definedName>
    <definedName name="llsubs1" localSheetId="32">#REF!</definedName>
    <definedName name="llsubs1">#REF!</definedName>
    <definedName name="lo" localSheetId="7" hidden="1">{"PLANT BREAKUP",#N/A,FALSE,"E"}</definedName>
    <definedName name="lo" hidden="1">{"PLANT BREAKUP",#N/A,FALSE,"E"}</definedName>
    <definedName name="loankhil1" localSheetId="7">#REF!</definedName>
    <definedName name="loankhil1" localSheetId="32">#REF!</definedName>
    <definedName name="loankhil1">#REF!</definedName>
    <definedName name="loankhil2" localSheetId="7">#REF!</definedName>
    <definedName name="loankhil2" localSheetId="32">#REF!</definedName>
    <definedName name="loankhil2">#REF!</definedName>
    <definedName name="loanphil" localSheetId="7">#REF!</definedName>
    <definedName name="loanphil" localSheetId="32">#REF!</definedName>
    <definedName name="loanphil">#REF!</definedName>
    <definedName name="loanthpl" localSheetId="7">#REF!</definedName>
    <definedName name="loanthpl" localSheetId="32">#REF!</definedName>
    <definedName name="loanthpl">#REF!</definedName>
    <definedName name="loanzipl" localSheetId="7">#REF!</definedName>
    <definedName name="loanzipl" localSheetId="32">#REF!</definedName>
    <definedName name="loanzipl">#REF!</definedName>
    <definedName name="loc" localSheetId="7">#REF!</definedName>
    <definedName name="loc" localSheetId="32">#REF!</definedName>
    <definedName name="loc">#REF!</definedName>
    <definedName name="Location" localSheetId="7">#REF!</definedName>
    <definedName name="Location" localSheetId="32">#REF!</definedName>
    <definedName name="Location">#REF!</definedName>
    <definedName name="Long_service_leave">'[56]LSL at 31 Dec 01'!$F$27:$G$37</definedName>
    <definedName name="Long_service_leave2">'[56]LSL at 31 Dec 01'!$G$27:$G$37</definedName>
    <definedName name="LOSS" localSheetId="7">#REF!</definedName>
    <definedName name="LOSS" localSheetId="32">#REF!</definedName>
    <definedName name="LOSS" localSheetId="26">#REF!</definedName>
    <definedName name="LOSS">#REF!</definedName>
    <definedName name="LT_POTS" localSheetId="7">#REF!</definedName>
    <definedName name="LT_POTS" localSheetId="32">#REF!</definedName>
    <definedName name="LT_POTS">#REF!</definedName>
    <definedName name="LTA" localSheetId="7">#REF!</definedName>
    <definedName name="LTA" localSheetId="32">#REF!</definedName>
    <definedName name="LTA">#REF!</definedName>
    <definedName name="LTB" localSheetId="7">#REF!</definedName>
    <definedName name="LTB" localSheetId="32">#REF!</definedName>
    <definedName name="LTB">#REF!</definedName>
    <definedName name="LTC" localSheetId="7">#REF!</definedName>
    <definedName name="LTC" localSheetId="32">#REF!</definedName>
    <definedName name="LTC">#REF!</definedName>
    <definedName name="LTD" localSheetId="7">#REF!</definedName>
    <definedName name="LTD" localSheetId="32">#REF!</definedName>
    <definedName name="LTD">#REF!</definedName>
    <definedName name="ltg_fac" localSheetId="7">#REF!</definedName>
    <definedName name="ltg_fac" localSheetId="32">#REF!</definedName>
    <definedName name="ltg_fac">#REF!</definedName>
    <definedName name="ltgb" localSheetId="7">#REF!</definedName>
    <definedName name="ltgb" localSheetId="32">#REF!</definedName>
    <definedName name="ltgb">#REF!</definedName>
    <definedName name="ltgboss" localSheetId="7">#REF!</definedName>
    <definedName name="ltgboss" localSheetId="32">#REF!</definedName>
    <definedName name="ltgboss">#REF!</definedName>
    <definedName name="ltgbtr" localSheetId="7">#REF!</definedName>
    <definedName name="ltgbtr" localSheetId="32">#REF!</definedName>
    <definedName name="ltgbtr">#REF!</definedName>
    <definedName name="ltgc" localSheetId="7">#REF!</definedName>
    <definedName name="ltgc" localSheetId="32">#REF!</definedName>
    <definedName name="ltgc">#REF!</definedName>
    <definedName name="ltgcb" localSheetId="7">#REF!</definedName>
    <definedName name="ltgcb" localSheetId="32">#REF!</definedName>
    <definedName name="ltgcb">#REF!</definedName>
    <definedName name="ltgd" localSheetId="7">#REF!</definedName>
    <definedName name="ltgd" localSheetId="32">#REF!</definedName>
    <definedName name="ltgd">#REF!</definedName>
    <definedName name="LTGGBL" localSheetId="7">#REF!</definedName>
    <definedName name="LTGGBL" localSheetId="32">#REF!</definedName>
    <definedName name="LTGGBL">#REF!</definedName>
    <definedName name="LTGGBR" localSheetId="7">#REF!</definedName>
    <definedName name="LTGGBR" localSheetId="32">#REF!</definedName>
    <definedName name="LTGGBR">#REF!</definedName>
    <definedName name="LTGGCL" localSheetId="7">#REF!</definedName>
    <definedName name="LTGGCL" localSheetId="32">#REF!</definedName>
    <definedName name="LTGGCL">#REF!</definedName>
    <definedName name="ltpcsubs" localSheetId="7">#REF!</definedName>
    <definedName name="ltpcsubs" localSheetId="32">#REF!</definedName>
    <definedName name="ltpcsubs">#REF!</definedName>
    <definedName name="ltpcsubs1" localSheetId="7">#REF!</definedName>
    <definedName name="ltpcsubs1" localSheetId="32">#REF!</definedName>
    <definedName name="ltpcsubs1">#REF!</definedName>
    <definedName name="lu" localSheetId="7">#REF!</definedName>
    <definedName name="lu" localSheetId="32">#REF!</definedName>
    <definedName name="lu">#REF!</definedName>
    <definedName name="LU_x3" localSheetId="7">#REF!</definedName>
    <definedName name="LU_x3" localSheetId="32">#REF!</definedName>
    <definedName name="LU_x3">#REF!</definedName>
    <definedName name="LU155E" localSheetId="7">#REF!</definedName>
    <definedName name="LU155E" localSheetId="32">#REF!</definedName>
    <definedName name="LU155E">#REF!</definedName>
    <definedName name="LU155OL" localSheetId="7">#REF!</definedName>
    <definedName name="LU155OL" localSheetId="32">#REF!</definedName>
    <definedName name="LU155OL">#REF!</definedName>
    <definedName name="LU155OM" localSheetId="7">#REF!</definedName>
    <definedName name="LU155OM" localSheetId="32">#REF!</definedName>
    <definedName name="LU155OM">#REF!</definedName>
    <definedName name="LY" localSheetId="7">'[44]Financials -Jan 03-Mar04'!#REF!</definedName>
    <definedName name="LY" localSheetId="32">'[44]Financials -Jan 03-Mar04'!#REF!</definedName>
    <definedName name="LY">'[44]Financials -Jan 03-Mar04'!#REF!</definedName>
    <definedName name="M" localSheetId="7">#REF!</definedName>
    <definedName name="M" localSheetId="32">#REF!</definedName>
    <definedName name="M" localSheetId="26">#REF!</definedName>
    <definedName name="M">#REF!</definedName>
    <definedName name="maha" localSheetId="7" hidden="1">{"ss",#N/A,FALSE,"MODULE3"}</definedName>
    <definedName name="maha" hidden="1">{"ss",#N/A,FALSE,"MODULE3"}</definedName>
    <definedName name="maindmn" localSheetId="7">#REF!</definedName>
    <definedName name="maindmn" localSheetId="32">#REF!</definedName>
    <definedName name="maindmn">#REF!</definedName>
    <definedName name="Maint_IFs" localSheetId="7">#REF!</definedName>
    <definedName name="Maint_IFs" localSheetId="32">#REF!</definedName>
    <definedName name="Maint_IFs">#REF!</definedName>
    <definedName name="Make_Summary" localSheetId="7">#REF!</definedName>
    <definedName name="Make_Summary" localSheetId="32">#REF!</definedName>
    <definedName name="Make_Summary">#REF!</definedName>
    <definedName name="MANOJ" localSheetId="7">#REF!</definedName>
    <definedName name="MANOJ" localSheetId="32">#REF!</definedName>
    <definedName name="MANOJ" localSheetId="26">#REF!</definedName>
    <definedName name="MANOJ">#REF!</definedName>
    <definedName name="mar" localSheetId="7">[57]Main!#REF!</definedName>
    <definedName name="mar" localSheetId="32">[57]Main!#REF!</definedName>
    <definedName name="mar">[57]Main!#REF!</definedName>
    <definedName name="march" localSheetId="7">'[5]PL PBC'!#REF!</definedName>
    <definedName name="march" localSheetId="32">'[5]PL PBC'!#REF!</definedName>
    <definedName name="march" localSheetId="26">'[5]PL PBC'!#REF!</definedName>
    <definedName name="march">'[5]PL PBC'!#REF!</definedName>
    <definedName name="MARGIN" localSheetId="7">#REF!</definedName>
    <definedName name="MARGIN" localSheetId="32">#REF!</definedName>
    <definedName name="MARGIN">#REF!</definedName>
    <definedName name="Maria" localSheetId="7">#REF!</definedName>
    <definedName name="Maria" localSheetId="32">#REF!</definedName>
    <definedName name="Maria">#REF!</definedName>
    <definedName name="MASON">'[24]#REF'!$B$14</definedName>
    <definedName name="Mat.Liab.1">[58]Encl.12!$B$5</definedName>
    <definedName name="MATE">'[24]#REF'!$B$15</definedName>
    <definedName name="Material" localSheetId="7">#REF!</definedName>
    <definedName name="Material" localSheetId="32">#REF!</definedName>
    <definedName name="Material" localSheetId="26">#REF!</definedName>
    <definedName name="Material">#REF!</definedName>
    <definedName name="md" localSheetId="7">#REF!</definedName>
    <definedName name="md" localSheetId="32">#REF!</definedName>
    <definedName name="md">#REF!</definedName>
    <definedName name="mddgn" localSheetId="7">#REF!</definedName>
    <definedName name="mddgn" localSheetId="32">#REF!</definedName>
    <definedName name="mddgn">#REF!</definedName>
    <definedName name="MDEVISES" localSheetId="7">#REF!,#REF!,#REF!</definedName>
    <definedName name="MDEVISES" localSheetId="32">#REF!,#REF!,#REF!</definedName>
    <definedName name="MDEVISES">#REF!,#REF!,#REF!</definedName>
    <definedName name="mdname" localSheetId="7">#REF!</definedName>
    <definedName name="mdname" localSheetId="32">#REF!</definedName>
    <definedName name="mdname">#REF!</definedName>
    <definedName name="MEASUREMENTS" localSheetId="7">#REF!</definedName>
    <definedName name="MEASUREMENTS" localSheetId="32">#REF!</definedName>
    <definedName name="MEASUREMENTS" localSheetId="26">#REF!</definedName>
    <definedName name="MEASUREMENTS">#REF!</definedName>
    <definedName name="mela" localSheetId="7" hidden="1">{"ss",#N/A,FALSE,"MODULE3"}</definedName>
    <definedName name="mela" hidden="1">{"ss",#N/A,FALSE,"MODULE3"}</definedName>
    <definedName name="menu" localSheetId="7">#REF!</definedName>
    <definedName name="menu" localSheetId="32">#REF!</definedName>
    <definedName name="menu">#REF!</definedName>
    <definedName name="Method_abbrev" localSheetId="7">#REF!</definedName>
    <definedName name="Method_abbrev" localSheetId="32">#REF!</definedName>
    <definedName name="Method_abbrev">#REF!</definedName>
    <definedName name="MethodAcc">[26]Masters!$C$46</definedName>
    <definedName name="MFRF" localSheetId="7">#REF!,#REF!,#REF!,#REF!,#REF!</definedName>
    <definedName name="MFRF" localSheetId="32">#REF!,#REF!,#REF!,#REF!,#REF!</definedName>
    <definedName name="MFRF">#REF!,#REF!,#REF!,#REF!,#REF!</definedName>
    <definedName name="mhd" localSheetId="7">#REF!</definedName>
    <definedName name="mhd" localSheetId="32">#REF!</definedName>
    <definedName name="mhd">#REF!</definedName>
    <definedName name="mhd_c" localSheetId="7">#REF!</definedName>
    <definedName name="mhd_c" localSheetId="32">#REF!</definedName>
    <definedName name="mhd_c">#REF!</definedName>
    <definedName name="mhkbanksummary9798" localSheetId="7">#REF!</definedName>
    <definedName name="mhkbanksummary9798" localSheetId="32">#REF!</definedName>
    <definedName name="mhkbanksummary9798">#REF!</definedName>
    <definedName name="mi" localSheetId="7" hidden="1">{"FTS",#N/A,FALSE,"E"}</definedName>
    <definedName name="mi" hidden="1">{"FTS",#N/A,FALSE,"E"}</definedName>
    <definedName name="Michael" localSheetId="7">#REF!</definedName>
    <definedName name="Michael" localSheetId="32">#REF!</definedName>
    <definedName name="Michael">#REF!</definedName>
    <definedName name="mimim" localSheetId="7" hidden="1">{"CASH FLOW",#N/A,FALSE,"A"}</definedName>
    <definedName name="mimim" hidden="1">{"CASH FLOW",#N/A,FALSE,"A"}</definedName>
    <definedName name="miou" localSheetId="7">#REF!</definedName>
    <definedName name="miou" localSheetId="32">#REF!</definedName>
    <definedName name="miou" localSheetId="26">#REF!</definedName>
    <definedName name="miou">#REF!</definedName>
    <definedName name="MIS" localSheetId="7">#REF!</definedName>
    <definedName name="MIS" localSheetId="32">#REF!</definedName>
    <definedName name="MIS">#REF!</definedName>
    <definedName name="mkt_share" localSheetId="7">#REF!</definedName>
    <definedName name="mkt_share" localSheetId="32">#REF!</definedName>
    <definedName name="mkt_share">#REF!</definedName>
    <definedName name="mm" localSheetId="7" hidden="1">{#N/A,#N/A,FALSE,"MODULE3"}</definedName>
    <definedName name="mm" hidden="1">{#N/A,#N/A,FALSE,"MODULE3"}</definedName>
    <definedName name="MMM" localSheetId="7" hidden="1">{"FTS",#N/A,FALSE,"E"}</definedName>
    <definedName name="MMM" hidden="1">{"FTS",#N/A,FALSE,"E"}</definedName>
    <definedName name="MN" localSheetId="7">#REF!</definedName>
    <definedName name="MN" localSheetId="32">#REF!</definedName>
    <definedName name="MN">#REF!</definedName>
    <definedName name="mndim" localSheetId="7">#REF!</definedName>
    <definedName name="mndim" localSheetId="32">#REF!</definedName>
    <definedName name="mndim">#REF!</definedName>
    <definedName name="Model" localSheetId="7">#REF!</definedName>
    <definedName name="Model" localSheetId="32">#REF!</definedName>
    <definedName name="Model">#REF!</definedName>
    <definedName name="Mon_1995" localSheetId="7">#REF!</definedName>
    <definedName name="Mon_1995" localSheetId="32">#REF!</definedName>
    <definedName name="Mon_1995">#REF!</definedName>
    <definedName name="Mon_Actl" localSheetId="7">#REF!</definedName>
    <definedName name="Mon_Actl" localSheetId="32">#REF!</definedName>
    <definedName name="Mon_Actl">#REF!</definedName>
    <definedName name="Mon_Plan" localSheetId="7">#REF!</definedName>
    <definedName name="Mon_Plan" localSheetId="32">#REF!</definedName>
    <definedName name="Mon_Plan">#REF!</definedName>
    <definedName name="month" localSheetId="7">#REF!</definedName>
    <definedName name="month" localSheetId="32">#REF!</definedName>
    <definedName name="month">#REF!</definedName>
    <definedName name="Month_Days" localSheetId="7">#REF!</definedName>
    <definedName name="Month_Days" localSheetId="32">#REF!</definedName>
    <definedName name="Month_Days">#REF!</definedName>
    <definedName name="Monthly_Variance" localSheetId="7">#REF!</definedName>
    <definedName name="Monthly_Variance" localSheetId="32">#REF!</definedName>
    <definedName name="Monthly_Variance">#REF!</definedName>
    <definedName name="MOR_OSC" localSheetId="7">#REF!</definedName>
    <definedName name="MOR_OSC" localSheetId="32">#REF!</definedName>
    <definedName name="MOR_OSC">#REF!</definedName>
    <definedName name="MPbackup">[59]S1BOQ!$HS$1</definedName>
    <definedName name="MRT">[60]GRP!$C$1:$E$65536</definedName>
    <definedName name="MStVal">[26]Masters!$C$47</definedName>
    <definedName name="myrtet" localSheetId="7" hidden="1">{"PLANT BREAKUP",#N/A,FALSE,"E"}</definedName>
    <definedName name="myrtet" hidden="1">{"PLANT BREAKUP",#N/A,FALSE,"E"}</definedName>
    <definedName name="n" localSheetId="7" hidden="1">#REF!</definedName>
    <definedName name="n" localSheetId="32" hidden="1">#REF!</definedName>
    <definedName name="n" localSheetId="26" hidden="1">#REF!</definedName>
    <definedName name="n" hidden="1">#REF!</definedName>
    <definedName name="N_B_SW" localSheetId="7">#REF!</definedName>
    <definedName name="N_B_SW" localSheetId="32">#REF!</definedName>
    <definedName name="N_B_SW">#REF!</definedName>
    <definedName name="N_CMU" localSheetId="7">#REF!</definedName>
    <definedName name="N_CMU" localSheetId="32">#REF!</definedName>
    <definedName name="N_CMU">#REF!</definedName>
    <definedName name="N_DLU_EU" localSheetId="7">#REF!</definedName>
    <definedName name="N_DLU_EU" localSheetId="32">#REF!</definedName>
    <definedName name="N_DLU_EU">#REF!</definedName>
    <definedName name="N_DLU_NU" localSheetId="7">#REF!</definedName>
    <definedName name="N_DLU_NU" localSheetId="32">#REF!</definedName>
    <definedName name="N_DLU_NU">#REF!</definedName>
    <definedName name="N_Door_x" localSheetId="7">#REF!</definedName>
    <definedName name="N_Door_x" localSheetId="32">#REF!</definedName>
    <definedName name="N_Door_x">#REF!</definedName>
    <definedName name="N_LT_ISDN" localSheetId="7">#REF!</definedName>
    <definedName name="N_LT_ISDN" localSheetId="32">#REF!</definedName>
    <definedName name="N_LT_ISDN">#REF!</definedName>
    <definedName name="N_LT_POTS" localSheetId="7">#REF!</definedName>
    <definedName name="N_LT_POTS" localSheetId="32">#REF!</definedName>
    <definedName name="N_LT_POTS">#REF!</definedName>
    <definedName name="N_LU_x3" localSheetId="7">#REF!</definedName>
    <definedName name="N_LU_x3" localSheetId="32">#REF!</definedName>
    <definedName name="N_LU_x3">#REF!</definedName>
    <definedName name="N_LU155E" localSheetId="7">#REF!</definedName>
    <definedName name="N_LU155E" localSheetId="32">#REF!</definedName>
    <definedName name="N_LU155E">#REF!</definedName>
    <definedName name="N_LU155OL" localSheetId="7">#REF!</definedName>
    <definedName name="N_LU155OL" localSheetId="32">#REF!</definedName>
    <definedName name="N_LU155OL">#REF!</definedName>
    <definedName name="N_LU155OM" localSheetId="7">#REF!</definedName>
    <definedName name="N_LU155OM" localSheetId="32">#REF!</definedName>
    <definedName name="N_LU155OM">#REF!</definedName>
    <definedName name="N_Panel_m" localSheetId="7">#REF!</definedName>
    <definedName name="N_Panel_m" localSheetId="32">#REF!</definedName>
    <definedName name="N_Panel_m">#REF!</definedName>
    <definedName name="N_Panel_u" localSheetId="7">#REF!</definedName>
    <definedName name="N_Panel_u" localSheetId="32">#REF!</definedName>
    <definedName name="N_Panel_u">#REF!</definedName>
    <definedName name="N_Rack_m" localSheetId="7">#REF!</definedName>
    <definedName name="N_Rack_m" localSheetId="32">#REF!</definedName>
    <definedName name="N_Rack_m">#REF!</definedName>
    <definedName name="N_Rack_o" localSheetId="7">#REF!</definedName>
    <definedName name="N_Rack_o" localSheetId="32">#REF!</definedName>
    <definedName name="N_Rack_o">#REF!</definedName>
    <definedName name="N_Rack_u" localSheetId="7">#REF!</definedName>
    <definedName name="N_Rack_u" localSheetId="32">#REF!</definedName>
    <definedName name="N_Rack_u">#REF!</definedName>
    <definedName name="N_SLMA_CMRL_E" localSheetId="7">#REF!</definedName>
    <definedName name="N_SLMA_CMRL_E" localSheetId="32">#REF!</definedName>
    <definedName name="N_SLMA_CMRL_E">#REF!</definedName>
    <definedName name="N_SLMA_CMRL_N" localSheetId="7">#REF!</definedName>
    <definedName name="N_SLMA_CMRL_N" localSheetId="32">#REF!</definedName>
    <definedName name="N_SLMA_CMRL_N">#REF!</definedName>
    <definedName name="N_SLMA_COS_E" localSheetId="7">#REF!</definedName>
    <definedName name="N_SLMA_COS_E" localSheetId="32">#REF!</definedName>
    <definedName name="N_SLMA_COS_E">#REF!</definedName>
    <definedName name="N_SLMA_COS_N" localSheetId="7">#REF!</definedName>
    <definedName name="N_SLMA_COS_N" localSheetId="32">#REF!</definedName>
    <definedName name="N_SLMA_COS_N">#REF!</definedName>
    <definedName name="N_SLMD_E" localSheetId="7">#REF!</definedName>
    <definedName name="N_SLMD_E" localSheetId="32">#REF!</definedName>
    <definedName name="N_SLMD_E">#REF!</definedName>
    <definedName name="N_SLMD_N" localSheetId="7">#REF!</definedName>
    <definedName name="N_SLMD_N" localSheetId="32">#REF!</definedName>
    <definedName name="N_SLMD_N">#REF!</definedName>
    <definedName name="N_UPL" localSheetId="7">#REF!</definedName>
    <definedName name="N_UPL" localSheetId="32">#REF!</definedName>
    <definedName name="N_UPL">#REF!</definedName>
    <definedName name="NA_Value_list" localSheetId="7">#REF!</definedName>
    <definedName name="NA_Value_list" localSheetId="32">#REF!</definedName>
    <definedName name="NA_Value_list">#REF!</definedName>
    <definedName name="NADs" localSheetId="7">#REF!</definedName>
    <definedName name="NADs" localSheetId="32">#REF!</definedName>
    <definedName name="NADs">#REF!</definedName>
    <definedName name="name" localSheetId="7">#REF!</definedName>
    <definedName name="Name">[23]Info!$B$1</definedName>
    <definedName name="NAMELOOK" localSheetId="7">#REF!</definedName>
    <definedName name="NAMELOOK" localSheetId="32">#REF!</definedName>
    <definedName name="NAMELOOK" localSheetId="26">#REF!</definedName>
    <definedName name="NAMELOOK">#REF!</definedName>
    <definedName name="nana">{7}</definedName>
    <definedName name="NatureBusiness">[26]Masters!$C$45</definedName>
    <definedName name="NC1A" localSheetId="7">#REF!</definedName>
    <definedName name="NC1A" localSheetId="32">#REF!</definedName>
    <definedName name="NC1A">#REF!</definedName>
    <definedName name="NC1B" localSheetId="7">#REF!</definedName>
    <definedName name="NC1B" localSheetId="32">#REF!</definedName>
    <definedName name="NC1B">#REF!</definedName>
    <definedName name="NC2A" localSheetId="7">#REF!</definedName>
    <definedName name="NC2A" localSheetId="32">#REF!</definedName>
    <definedName name="NC2A">#REF!</definedName>
    <definedName name="nccb" localSheetId="7">#REF!</definedName>
    <definedName name="nccb" localSheetId="32">#REF!</definedName>
    <definedName name="nccb">#REF!</definedName>
    <definedName name="ncmrl" localSheetId="7">#REF!</definedName>
    <definedName name="ncmrl" localSheetId="32">#REF!</definedName>
    <definedName name="ncmrl">#REF!</definedName>
    <definedName name="ncos" localSheetId="7">#REF!</definedName>
    <definedName name="ncos" localSheetId="32">#REF!</definedName>
    <definedName name="ncos">#REF!</definedName>
    <definedName name="ncoub" localSheetId="7">#REF!</definedName>
    <definedName name="ncoub" localSheetId="32">#REF!</definedName>
    <definedName name="ncoub">#REF!</definedName>
    <definedName name="ndiu" localSheetId="7">#REF!</definedName>
    <definedName name="ndiu" localSheetId="32">#REF!</definedName>
    <definedName name="ndiu">#REF!</definedName>
    <definedName name="ndiurdlu" localSheetId="7">#REF!</definedName>
    <definedName name="ndiurdlu" localSheetId="32">#REF!</definedName>
    <definedName name="ndiurdlu">#REF!</definedName>
    <definedName name="ndiutr" localSheetId="7">#REF!</definedName>
    <definedName name="ndiutr" localSheetId="32">#REF!</definedName>
    <definedName name="ndiutr">#REF!</definedName>
    <definedName name="ndlu" localSheetId="7">#REF!</definedName>
    <definedName name="ndlu" localSheetId="32">#REF!</definedName>
    <definedName name="ndlu">#REF!</definedName>
    <definedName name="ndlu60" localSheetId="7">#REF!</definedName>
    <definedName name="ndlu60" localSheetId="32">#REF!</definedName>
    <definedName name="ndlu60">#REF!</definedName>
    <definedName name="NDLUT" localSheetId="7">#REF!</definedName>
    <definedName name="NDLUT" localSheetId="32">#REF!</definedName>
    <definedName name="NDLUT">#REF!</definedName>
    <definedName name="ndn" localSheetId="7">#REF!</definedName>
    <definedName name="ndn" localSheetId="32">#REF!</definedName>
    <definedName name="ndn" localSheetId="26">#REF!</definedName>
    <definedName name="ndn">#REF!</definedName>
    <definedName name="NE_RTU_INPUT_RANGE" localSheetId="7">#REF!</definedName>
    <definedName name="NE_RTU_INPUT_RANGE" localSheetId="32">#REF!</definedName>
    <definedName name="NE_RTU_INPUT_RANGE">#REF!</definedName>
    <definedName name="nego_mar" localSheetId="7">#REF!</definedName>
    <definedName name="nego_mar" localSheetId="32">#REF!</definedName>
    <definedName name="nego_mar">#REF!</definedName>
    <definedName name="NERTUINPUT" localSheetId="7">#REF!</definedName>
    <definedName name="NERTUINPUT" localSheetId="32">#REF!</definedName>
    <definedName name="NERTUINPUT">#REF!</definedName>
    <definedName name="NET" localSheetId="7">#REF!</definedName>
    <definedName name="NET" localSheetId="32">#REF!</definedName>
    <definedName name="NET">#REF!</definedName>
    <definedName name="NetPrice" localSheetId="7">#REF!</definedName>
    <definedName name="NetPrice" localSheetId="32">#REF!</definedName>
    <definedName name="NetPrice">#REF!</definedName>
    <definedName name="new" localSheetId="7">#REF!</definedName>
    <definedName name="new" localSheetId="32">#REF!</definedName>
    <definedName name="new">#REF!</definedName>
    <definedName name="new_plant_financed" localSheetId="7">#REF!</definedName>
    <definedName name="new_plant_financed" localSheetId="32">#REF!</definedName>
    <definedName name="new_plant_financed">#REF!</definedName>
    <definedName name="New_Salaries" localSheetId="7">#REF!</definedName>
    <definedName name="New_Salaries" localSheetId="32">#REF!</definedName>
    <definedName name="New_Salaries">#REF!</definedName>
    <definedName name="newname" localSheetId="7">#REF!</definedName>
    <definedName name="newname" localSheetId="32">#REF!</definedName>
    <definedName name="newname" localSheetId="26">#REF!</definedName>
    <definedName name="newname">#REF!</definedName>
    <definedName name="NFE_database" localSheetId="7">#REF!</definedName>
    <definedName name="NFE_database" localSheetId="32">#REF!</definedName>
    <definedName name="NFE_database">#REF!</definedName>
    <definedName name="NFE_Database_1" localSheetId="7">#REF!</definedName>
    <definedName name="NFE_Database_1" localSheetId="32">#REF!</definedName>
    <definedName name="NFE_Database_1">#REF!</definedName>
    <definedName name="nhome" localSheetId="7">#REF!</definedName>
    <definedName name="nhome" localSheetId="32">#REF!</definedName>
    <definedName name="nhome">#REF!</definedName>
    <definedName name="ni" localSheetId="7">#REF!</definedName>
    <definedName name="ni" localSheetId="32">#REF!</definedName>
    <definedName name="ni" localSheetId="26">#REF!</definedName>
    <definedName name="ni">#REF!</definedName>
    <definedName name="nidhi" localSheetId="7">#REF!</definedName>
    <definedName name="nidhi" localSheetId="32">#REF!</definedName>
    <definedName name="nidhi">#REF!</definedName>
    <definedName name="Ninety_Day_Balances">'[61]AR Graphs'!$A$65:$I$122</definedName>
    <definedName name="nisdnba" localSheetId="7">#REF!</definedName>
    <definedName name="nisdnba" localSheetId="32">#REF!</definedName>
    <definedName name="nisdnba">#REF!</definedName>
    <definedName name="nisdnpa" localSheetId="7">#REF!</definedName>
    <definedName name="nisdnpa" localSheetId="32">#REF!</definedName>
    <definedName name="nisdnpa">#REF!</definedName>
    <definedName name="nk" localSheetId="7">#REF!</definedName>
    <definedName name="nk" localSheetId="32">#REF!</definedName>
    <definedName name="nk" localSheetId="26">#REF!</definedName>
    <definedName name="nk">#REF!</definedName>
    <definedName name="nldib" localSheetId="7">#REF!</definedName>
    <definedName name="nldib" localSheetId="32">#REF!</definedName>
    <definedName name="nldib">#REF!</definedName>
    <definedName name="NLG" localSheetId="7">'[5]PL PBC'!#REF!</definedName>
    <definedName name="NLG" localSheetId="32">'[5]PL PBC'!#REF!</definedName>
    <definedName name="NLG" localSheetId="26">'[5]PL PBC'!#REF!</definedName>
    <definedName name="NLG">'[5]PL PBC'!#REF!</definedName>
    <definedName name="NLGMONTH" localSheetId="7">'[5]PL PBC'!#REF!</definedName>
    <definedName name="NLGMONTH" localSheetId="32">'[5]PL PBC'!#REF!</definedName>
    <definedName name="NLGMONTH" localSheetId="26">'[5]PL PBC'!#REF!</definedName>
    <definedName name="NLGMONTH">'[5]PL PBC'!#REF!</definedName>
    <definedName name="nlinks" localSheetId="7">#REF!</definedName>
    <definedName name="nlinks" localSheetId="32">#REF!</definedName>
    <definedName name="nlinks">#REF!</definedName>
    <definedName name="nlong" localSheetId="7">#REF!</definedName>
    <definedName name="nlong" localSheetId="32">#REF!</definedName>
    <definedName name="nlong">#REF!</definedName>
    <definedName name="nltg" localSheetId="7">#REF!</definedName>
    <definedName name="nltg" localSheetId="32">#REF!</definedName>
    <definedName name="nltg">#REF!</definedName>
    <definedName name="nltgb" localSheetId="7">#REF!</definedName>
    <definedName name="nltgb" localSheetId="32">#REF!</definedName>
    <definedName name="nltgb">#REF!</definedName>
    <definedName name="nltgc" localSheetId="7">#REF!</definedName>
    <definedName name="nltgc" localSheetId="32">#REF!</definedName>
    <definedName name="nltgc">#REF!</definedName>
    <definedName name="nltpc" localSheetId="7">#REF!</definedName>
    <definedName name="nltpc" localSheetId="32">#REF!</definedName>
    <definedName name="nltpc">#REF!</definedName>
    <definedName name="nlws" localSheetId="7">#REF!</definedName>
    <definedName name="nlws" localSheetId="32">#REF!</definedName>
    <definedName name="nlws">#REF!</definedName>
    <definedName name="nn" localSheetId="7" hidden="1">{"FTS",#N/A,FALSE,"E"}</definedName>
    <definedName name="nn" hidden="1">{"FTS",#N/A,FALSE,"E"}</definedName>
    <definedName name="no_control" localSheetId="7">#REF!</definedName>
    <definedName name="no_control" localSheetId="32">#REF!</definedName>
    <definedName name="no_control">#REF!</definedName>
    <definedName name="no_traffic" localSheetId="7">#REF!</definedName>
    <definedName name="no_traffic" localSheetId="32">#REF!</definedName>
    <definedName name="no_traffic">#REF!</definedName>
    <definedName name="nord" localSheetId="7">#REF!</definedName>
    <definedName name="nord" localSheetId="32">#REF!</definedName>
    <definedName name="nord">#REF!</definedName>
    <definedName name="Nortel_Margin" localSheetId="7">#REF!</definedName>
    <definedName name="Nortel_Margin" localSheetId="32">#REF!</definedName>
    <definedName name="Nortel_Margin">#REF!</definedName>
    <definedName name="North_America" localSheetId="7">#REF!</definedName>
    <definedName name="North_America" localSheetId="32">#REF!</definedName>
    <definedName name="North_America">#REF!</definedName>
    <definedName name="npabx" localSheetId="7">#REF!</definedName>
    <definedName name="npabx" localSheetId="32">#REF!</definedName>
    <definedName name="npabx">#REF!</definedName>
    <definedName name="npcorp" localSheetId="7">#REF!</definedName>
    <definedName name="npcorp" localSheetId="32">#REF!</definedName>
    <definedName name="npcorp" localSheetId="26">#REF!</definedName>
    <definedName name="npcorp">#REF!</definedName>
    <definedName name="npdiv1" localSheetId="7">#REF!</definedName>
    <definedName name="npdiv1" localSheetId="32">#REF!</definedName>
    <definedName name="npdiv1" localSheetId="26">#REF!</definedName>
    <definedName name="npdiv1">#REF!</definedName>
    <definedName name="npdiv2" localSheetId="7">#REF!</definedName>
    <definedName name="npdiv2" localSheetId="32">#REF!</definedName>
    <definedName name="npdiv2" localSheetId="26">#REF!</definedName>
    <definedName name="npdiv2">#REF!</definedName>
    <definedName name="npdiv3" localSheetId="7">#REF!</definedName>
    <definedName name="npdiv3" localSheetId="32">#REF!</definedName>
    <definedName name="npdiv3" localSheetId="26">#REF!</definedName>
    <definedName name="npdiv3">#REF!</definedName>
    <definedName name="npdiv4" localSheetId="7">#REF!</definedName>
    <definedName name="npdiv4" localSheetId="32">#REF!</definedName>
    <definedName name="npdiv4" localSheetId="26">#REF!</definedName>
    <definedName name="npdiv4">#REF!</definedName>
    <definedName name="npdivplant" localSheetId="7">#REF!</definedName>
    <definedName name="npdivplant" localSheetId="32">#REF!</definedName>
    <definedName name="npdivplant" localSheetId="26">#REF!</definedName>
    <definedName name="npdivplant">#REF!</definedName>
    <definedName name="NRM" localSheetId="7">#REF!</definedName>
    <definedName name="NRM" localSheetId="32">#REF!</definedName>
    <definedName name="NRM">#REF!</definedName>
    <definedName name="nrmux" localSheetId="7">#REF!</definedName>
    <definedName name="nrmux" localSheetId="32">#REF!</definedName>
    <definedName name="nrmux">#REF!</definedName>
    <definedName name="nrrlu" localSheetId="7">#REF!</definedName>
    <definedName name="nrrlu" localSheetId="32">#REF!</definedName>
    <definedName name="nrrlu">#REF!</definedName>
    <definedName name="nslmd" localSheetId="7">#REF!</definedName>
    <definedName name="nslmd" localSheetId="32">#REF!</definedName>
    <definedName name="nslmd">#REF!</definedName>
    <definedName name="ntsmb" localSheetId="7">#REF!</definedName>
    <definedName name="ntsmb" localSheetId="32">#REF!</definedName>
    <definedName name="ntsmb">#REF!</definedName>
    <definedName name="num_sites" localSheetId="7">#REF!</definedName>
    <definedName name="num_sites" localSheetId="32">#REF!</definedName>
    <definedName name="num_sites">#REF!</definedName>
    <definedName name="NvsASD">"V2007-12-31"</definedName>
    <definedName name="NvsAutoDrillOk">"VN"</definedName>
    <definedName name="NvsElapsedTime">0.0000347222230629995</definedName>
    <definedName name="NvsEndTime">39479.2449189815</definedName>
    <definedName name="NvsInstLang">"VENG"</definedName>
    <definedName name="NvsInstSpec">"%,FBUSINESS_UNIT,V24000"</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"V2006-12-16"</definedName>
    <definedName name="NvsPanelSetid">"VSHARE"</definedName>
    <definedName name="NvsReqBU">"V21000"</definedName>
    <definedName name="NvsReqBUOnly">"VN"</definedName>
    <definedName name="NvsTransLed">"VN"</definedName>
    <definedName name="NvsTreeASD">"V2007-12-31"</definedName>
    <definedName name="NvsValTbl.BOOK_CODE">"BOOK_CODE_TBL"</definedName>
    <definedName name="NvsValTbl.BUSINESS_UNIT">"BUS_UNIT_TBL_GL"</definedName>
    <definedName name="NvsValTbl.CURRENCY_CD">"CURRENCY_CD_TBL"</definedName>
    <definedName name="NvsValTbl.OPERATING_UNIT">"OPER_UNIT_TBL"</definedName>
    <definedName name="nxt" localSheetId="7">#REF!</definedName>
    <definedName name="nxt" localSheetId="32">#REF!</definedName>
    <definedName name="nxt">#REF!</definedName>
    <definedName name="o" localSheetId="7">#REF!</definedName>
    <definedName name="o" localSheetId="32">#REF!</definedName>
    <definedName name="o" localSheetId="26">#REF!</definedName>
    <definedName name="o">#REF!</definedName>
    <definedName name="OB" localSheetId="7">#REF!</definedName>
    <definedName name="OB" localSheetId="32">#REF!</definedName>
    <definedName name="OB">#REF!</definedName>
    <definedName name="OC12_carrier" localSheetId="7">#REF!</definedName>
    <definedName name="OC12_carrier" localSheetId="32">#REF!</definedName>
    <definedName name="OC12_carrier">#REF!</definedName>
    <definedName name="OC12_Tribs" localSheetId="7">#REF!</definedName>
    <definedName name="OC12_Tribs" localSheetId="32">#REF!</definedName>
    <definedName name="OC12_Tribs">#REF!</definedName>
    <definedName name="OC192_HS" localSheetId="7">#REF!</definedName>
    <definedName name="OC192_HS" localSheetId="32">#REF!</definedName>
    <definedName name="OC192_HS">#REF!</definedName>
    <definedName name="OC48_Tribs" localSheetId="7">#REF!</definedName>
    <definedName name="OC48_Tribs" localSheetId="32">#REF!</definedName>
    <definedName name="OC48_Tribs">#REF!</definedName>
    <definedName name="offsetrange" localSheetId="7">OFFSET('[20]Budget 2010-11'!$C$59,-1,MATCH(CurrMonth,'[20]Budget 2010-11'!$D$60:$Q$60,0),1,1)</definedName>
    <definedName name="offsetrange" localSheetId="23">OFFSET('[20]Budget 2010-11'!$C$59,-1,MATCH(CurrMonth,'[20]Budget 2010-11'!$D$60:$Q$60,0),1,1)</definedName>
    <definedName name="offsetrange" localSheetId="24">OFFSET('[20]Budget 2010-11'!$C$59,-1,MATCH(CurrMonth,'[20]Budget 2010-11'!$D$60:$Q$60,0),1,1)</definedName>
    <definedName name="offsetrange" localSheetId="32">OFFSET('[20]Budget 2010-11'!$C$59,-1,MATCH(CurrMonth,'[20]Budget 2010-11'!$D$60:$Q$60,0),1,1)</definedName>
    <definedName name="offsetrange" localSheetId="30">OFFSET('[20]Budget 2010-11'!$C$59,-1,MATCH(CurrMonth,'[20]Budget 2010-11'!$D$60:$Q$60,0),1,1)</definedName>
    <definedName name="offsetrange" localSheetId="29">OFFSET('[20]Budget 2010-11'!$C$59,-1,MATCH(CurrMonth,'[20]Budget 2010-11'!$D$60:$Q$60,0),1,1)</definedName>
    <definedName name="offsetrange" localSheetId="19">OFFSET('[20]Budget 2010-11'!$C$59,-1,MATCH(CurrMonth,'[20]Budget 2010-11'!$D$60:$Q$60,0),1,1)</definedName>
    <definedName name="offsetrange" localSheetId="26">OFFSET('[20]Budget 2010-11'!$C$59,-1,MATCH(CurrMonth,'[20]Budget 2010-11'!$D$60:$Q$60,0),1,1)</definedName>
    <definedName name="offsetrange" localSheetId="21">OFFSET('[20]Budget 2010-11'!$C$59,-1,MATCH(CurrMonth,'[20]Budget 2010-11'!$D$60:$Q$60,0),1,1)</definedName>
    <definedName name="offsetrange">OFFSET('[20]Budget 2010-11'!$C$59,-1,MATCH(CurrMonth,'[20]Budget 2010-11'!$D$60:$Q$60,0),1,1)</definedName>
    <definedName name="ogtrnks" localSheetId="7">#REF!</definedName>
    <definedName name="ogtrnks" localSheetId="32">#REF!</definedName>
    <definedName name="ogtrnks">#REF!</definedName>
    <definedName name="ohwiohw" localSheetId="7" hidden="1">{"PLANT BREAKUP",#N/A,FALSE,"E"}</definedName>
    <definedName name="ohwiohw" hidden="1">{"PLANT BREAKUP",#N/A,FALSE,"E"}</definedName>
    <definedName name="oi" localSheetId="7" hidden="1">{"FTS",#N/A,FALSE,"E"}</definedName>
    <definedName name="oi" hidden="1">{"FTS",#N/A,FALSE,"E"}</definedName>
    <definedName name="OIFHWIOQGH" localSheetId="7" hidden="1">{"SUMMARY",#N/A,FALSE,"C"}</definedName>
    <definedName name="OIFHWIOQGH" hidden="1">{"SUMMARY",#N/A,FALSE,"C"}</definedName>
    <definedName name="oio" localSheetId="7">#REF!</definedName>
    <definedName name="oio" localSheetId="32">#REF!</definedName>
    <definedName name="oio" localSheetId="26">#REF!</definedName>
    <definedName name="oio">#REF!</definedName>
    <definedName name="old" localSheetId="7">#REF!</definedName>
    <definedName name="old" localSheetId="32">#REF!</definedName>
    <definedName name="old">#REF!</definedName>
    <definedName name="oldd" localSheetId="7">#REF!</definedName>
    <definedName name="oldd" localSheetId="32">#REF!</definedName>
    <definedName name="oldd">#REF!</definedName>
    <definedName name="On_Site" localSheetId="7">#REF!</definedName>
    <definedName name="On_Site" localSheetId="32">#REF!</definedName>
    <definedName name="On_Site">#REF!</definedName>
    <definedName name="ONE" localSheetId="7">#REF!</definedName>
    <definedName name="ONE" localSheetId="32">#REF!</definedName>
    <definedName name="ONE">#REF!</definedName>
    <definedName name="op" localSheetId="7">#REF!</definedName>
    <definedName name="op" localSheetId="32">#REF!</definedName>
    <definedName name="op" localSheetId="26">#REF!</definedName>
    <definedName name="op">#REF!</definedName>
    <definedName name="OPC_BBs" localSheetId="7">#REF!</definedName>
    <definedName name="OPC_BBs" localSheetId="32">#REF!</definedName>
    <definedName name="OPC_BBs">#REF!</definedName>
    <definedName name="OPC_Controller_IO" localSheetId="7">#REF!</definedName>
    <definedName name="OPC_Controller_IO" localSheetId="32">#REF!</definedName>
    <definedName name="OPC_Controller_IO">#REF!</definedName>
    <definedName name="OPC_Disk" localSheetId="7">#REF!</definedName>
    <definedName name="OPC_Disk" localSheetId="32">#REF!</definedName>
    <definedName name="OPC_Disk">#REF!</definedName>
    <definedName name="Operating_Expenses" localSheetId="7">#REF!</definedName>
    <definedName name="Operating_Expenses" localSheetId="32">#REF!</definedName>
    <definedName name="Operating_Expenses">#REF!</definedName>
    <definedName name="operations" localSheetId="7">#REF!</definedName>
    <definedName name="operations" localSheetId="32">#REF!</definedName>
    <definedName name="operations">#REF!</definedName>
    <definedName name="OpNADs" localSheetId="7">#REF!</definedName>
    <definedName name="OpNADs" localSheetId="32">#REF!</definedName>
    <definedName name="OpNADs">#REF!</definedName>
    <definedName name="OPSauto_upsell" localSheetId="7">#REF!</definedName>
    <definedName name="OPSauto_upsell" localSheetId="32">#REF!</definedName>
    <definedName name="OPSauto_upsell">#REF!</definedName>
    <definedName name="OPSauto_upsellY3" localSheetId="7">#REF!</definedName>
    <definedName name="OPSauto_upsellY3" localSheetId="32">#REF!</definedName>
    <definedName name="OPSauto_upsellY3">#REF!</definedName>
    <definedName name="OPSEX_upsell" localSheetId="7">#REF!</definedName>
    <definedName name="OPSEX_upsell" localSheetId="32">#REF!</definedName>
    <definedName name="OPSEX_upsell">#REF!</definedName>
    <definedName name="OPTeraConnectDX" localSheetId="7">#REF!</definedName>
    <definedName name="OPTeraConnectDX" localSheetId="32">#REF!</definedName>
    <definedName name="OPTeraConnectDX">#REF!</definedName>
    <definedName name="OPTeraLH" localSheetId="7">#REF!</definedName>
    <definedName name="OPTeraLH" localSheetId="32">#REF!</definedName>
    <definedName name="OPTeraLH">#REF!</definedName>
    <definedName name="OPTeraMetro" localSheetId="7">#REF!</definedName>
    <definedName name="OPTeraMetro" localSheetId="32">#REF!</definedName>
    <definedName name="OPTeraMetro">#REF!</definedName>
    <definedName name="Option" localSheetId="7">#REF!</definedName>
    <definedName name="Option" localSheetId="32">#REF!</definedName>
    <definedName name="Option">#REF!</definedName>
    <definedName name="OR_IR_Ratio">[19]PC_Cost_Ku!$B$11</definedName>
    <definedName name="Order_Code" localSheetId="7">#REF!</definedName>
    <definedName name="Order_Code" localSheetId="32">#REF!</definedName>
    <definedName name="Order_Code">#REF!</definedName>
    <definedName name="OrderTable" localSheetId="7" hidden="1">#REF!</definedName>
    <definedName name="OrderTable" localSheetId="32" hidden="1">#REF!</definedName>
    <definedName name="OrderTable" localSheetId="26" hidden="1">#REF!</definedName>
    <definedName name="OrderTable" hidden="1">#REF!</definedName>
    <definedName name="orgcb" localSheetId="7">#REF!</definedName>
    <definedName name="orgcb" localSheetId="32">#REF!</definedName>
    <definedName name="orgcb">#REF!</definedName>
    <definedName name="orgcb1" localSheetId="7">#REF!</definedName>
    <definedName name="orgcb1" localSheetId="32">#REF!</definedName>
    <definedName name="orgcb1">#REF!</definedName>
    <definedName name="orghm" localSheetId="7">#REF!</definedName>
    <definedName name="orghm" localSheetId="32">#REF!</definedName>
    <definedName name="orghm">#REF!</definedName>
    <definedName name="orgisdn" localSheetId="7">#REF!</definedName>
    <definedName name="orgisdn" localSheetId="32">#REF!</definedName>
    <definedName name="orgisdn">#REF!</definedName>
    <definedName name="orgisdn1" localSheetId="7">#REF!</definedName>
    <definedName name="orgisdn1" localSheetId="32">#REF!</definedName>
    <definedName name="orgisdn1">#REF!</definedName>
    <definedName name="orgord" localSheetId="7">#REF!</definedName>
    <definedName name="orgord" localSheetId="32">#REF!</definedName>
    <definedName name="orgord">#REF!</definedName>
    <definedName name="orgord1" localSheetId="7">#REF!</definedName>
    <definedName name="orgord1" localSheetId="32">#REF!</definedName>
    <definedName name="orgord1">#REF!</definedName>
    <definedName name="orgpbx" localSheetId="7">#REF!</definedName>
    <definedName name="orgpbx" localSheetId="32">#REF!</definedName>
    <definedName name="orgpbx">#REF!</definedName>
    <definedName name="orgpbx1" localSheetId="7">#REF!</definedName>
    <definedName name="orgpbx1" localSheetId="32">#REF!</definedName>
    <definedName name="orgpbx1">#REF!</definedName>
    <definedName name="OS" localSheetId="7">#REF!</definedName>
    <definedName name="OS" localSheetId="32">#REF!</definedName>
    <definedName name="OS">#REF!</definedName>
    <definedName name="OS_Svcs" localSheetId="7">#REF!</definedName>
    <definedName name="OS_Svcs" localSheetId="32">#REF!</definedName>
    <definedName name="OS_Svcs">#REF!</definedName>
    <definedName name="oss" localSheetId="7">#REF!</definedName>
    <definedName name="oss" localSheetId="32">#REF!</definedName>
    <definedName name="oss">#REF!</definedName>
    <definedName name="Other_Amort" localSheetId="7">#REF!</definedName>
    <definedName name="Other_Amort" localSheetId="32">#REF!</definedName>
    <definedName name="Other_Amort">#REF!</definedName>
    <definedName name="OtherComprehensive" localSheetId="7">#REF!</definedName>
    <definedName name="OtherComprehensive" localSheetId="32">#REF!</definedName>
    <definedName name="OtherComprehensive">#REF!</definedName>
    <definedName name="OTHERS">'[27]BOQ Distribution'!$A$50:$G$51</definedName>
    <definedName name="Others_1" localSheetId="7">'[48]BS_Drop Down'!#REF!</definedName>
    <definedName name="Others_1" localSheetId="32">'[48]BS_Drop Down'!#REF!</definedName>
    <definedName name="Others_1">'[48]BS_Drop Down'!#REF!</definedName>
    <definedName name="Others1" localSheetId="7">'[48]BS_Drop Down'!#REF!</definedName>
    <definedName name="Others1" localSheetId="32">'[48]BS_Drop Down'!#REF!</definedName>
    <definedName name="Others1">'[48]BS_Drop Down'!#REF!</definedName>
    <definedName name="OUTPUT" localSheetId="7">#REF!</definedName>
    <definedName name="OUTPUT" localSheetId="32">#REF!</definedName>
    <definedName name="OUTPUT">#REF!</definedName>
    <definedName name="Outputs" localSheetId="7">#REF!</definedName>
    <definedName name="Outputs" localSheetId="32">#REF!</definedName>
    <definedName name="Outputs">#REF!</definedName>
    <definedName name="outtm" localSheetId="7">#REF!</definedName>
    <definedName name="outtm" localSheetId="32">#REF!</definedName>
    <definedName name="outtm">#REF!</definedName>
    <definedName name="outtm1" localSheetId="7">#REF!</definedName>
    <definedName name="outtm1" localSheetId="32">#REF!</definedName>
    <definedName name="outtm1">#REF!</definedName>
    <definedName name="overheads" localSheetId="7">#REF!</definedName>
    <definedName name="overheads" localSheetId="32">#REF!</definedName>
    <definedName name="overheads" localSheetId="26">#REF!</definedName>
    <definedName name="overheads">#REF!</definedName>
    <definedName name="Overtime" localSheetId="7">#REF!</definedName>
    <definedName name="Overtime" localSheetId="32">#REF!</definedName>
    <definedName name="Overtime">#REF!</definedName>
    <definedName name="p" localSheetId="7">#REF!</definedName>
    <definedName name="p" localSheetId="32">#REF!</definedName>
    <definedName name="p" localSheetId="26">#REF!</definedName>
    <definedName name="p">#REF!</definedName>
    <definedName name="P___L___Statement" localSheetId="7">#REF!</definedName>
    <definedName name="P___L___Statement" localSheetId="32">#REF!</definedName>
    <definedName name="P___L___Statement">#REF!</definedName>
    <definedName name="pabxper" localSheetId="7">#REF!</definedName>
    <definedName name="pabxper" localSheetId="32">#REF!</definedName>
    <definedName name="pabxper">#REF!</definedName>
    <definedName name="pabxsub" localSheetId="7">#REF!</definedName>
    <definedName name="pabxsub" localSheetId="32">#REF!</definedName>
    <definedName name="pabxsub">#REF!</definedName>
    <definedName name="pabxsubs" localSheetId="7">#REF!</definedName>
    <definedName name="pabxsubs" localSheetId="32">#REF!</definedName>
    <definedName name="pabxsubs">#REF!</definedName>
    <definedName name="pabxsubs1" localSheetId="7">#REF!</definedName>
    <definedName name="pabxsubs1" localSheetId="32">#REF!</definedName>
    <definedName name="pabxsubs1">#REF!</definedName>
    <definedName name="Page_1" localSheetId="7">#REF!</definedName>
    <definedName name="Page_1" localSheetId="32">#REF!</definedName>
    <definedName name="Page_1">#REF!</definedName>
    <definedName name="Page_1_YTD" localSheetId="7">#REF!</definedName>
    <definedName name="Page_1_YTD" localSheetId="32">#REF!</definedName>
    <definedName name="Page_1_YTD">#REF!</definedName>
    <definedName name="Page_2" localSheetId="7">#REF!</definedName>
    <definedName name="Page_2" localSheetId="32">#REF!</definedName>
    <definedName name="Page_2">#REF!</definedName>
    <definedName name="Page_2_YTD" localSheetId="7">#REF!</definedName>
    <definedName name="Page_2_YTD" localSheetId="32">#REF!</definedName>
    <definedName name="Page_2_YTD">#REF!</definedName>
    <definedName name="Page1" localSheetId="7">#REF!</definedName>
    <definedName name="Page1" localSheetId="32">#REF!</definedName>
    <definedName name="Page1">#REF!</definedName>
    <definedName name="Page10" localSheetId="7">#REF!</definedName>
    <definedName name="Page10" localSheetId="32">#REF!</definedName>
    <definedName name="Page10">#REF!</definedName>
    <definedName name="Page11" localSheetId="7">#REF!</definedName>
    <definedName name="Page11" localSheetId="32">#REF!</definedName>
    <definedName name="Page11">#REF!</definedName>
    <definedName name="Page12" localSheetId="7">#REF!</definedName>
    <definedName name="Page12" localSheetId="32">#REF!</definedName>
    <definedName name="Page12">#REF!</definedName>
    <definedName name="Page13" localSheetId="7">#REF!</definedName>
    <definedName name="Page13" localSheetId="32">#REF!</definedName>
    <definedName name="Page13">#REF!</definedName>
    <definedName name="Page14" localSheetId="7">#REF!</definedName>
    <definedName name="Page14" localSheetId="32">#REF!</definedName>
    <definedName name="Page14">#REF!</definedName>
    <definedName name="Page15" localSheetId="7">#REF!</definedName>
    <definedName name="Page15" localSheetId="32">#REF!</definedName>
    <definedName name="Page15">#REF!</definedName>
    <definedName name="Page16" localSheetId="7">#REF!</definedName>
    <definedName name="Page16" localSheetId="32">#REF!</definedName>
    <definedName name="Page16">#REF!</definedName>
    <definedName name="Page17" localSheetId="7">#REF!</definedName>
    <definedName name="Page17" localSheetId="32">#REF!</definedName>
    <definedName name="Page17">#REF!</definedName>
    <definedName name="Page2" localSheetId="7">#REF!</definedName>
    <definedName name="Page2" localSheetId="32">#REF!</definedName>
    <definedName name="Page2">#REF!</definedName>
    <definedName name="Page26" localSheetId="7">#REF!</definedName>
    <definedName name="Page26" localSheetId="32">#REF!</definedName>
    <definedName name="Page26">#REF!</definedName>
    <definedName name="Page27" localSheetId="7">#REF!</definedName>
    <definedName name="Page27" localSheetId="32">#REF!</definedName>
    <definedName name="Page27">#REF!</definedName>
    <definedName name="Page3" localSheetId="7">#REF!</definedName>
    <definedName name="Page3" localSheetId="32">#REF!</definedName>
    <definedName name="Page3">#REF!</definedName>
    <definedName name="Page4" localSheetId="7">#REF!</definedName>
    <definedName name="Page4" localSheetId="32">#REF!</definedName>
    <definedName name="Page4">#REF!</definedName>
    <definedName name="Page5" localSheetId="7">#REF!</definedName>
    <definedName name="Page5" localSheetId="32">#REF!</definedName>
    <definedName name="Page5">#REF!</definedName>
    <definedName name="Page6" localSheetId="7">#REF!</definedName>
    <definedName name="Page6" localSheetId="32">#REF!</definedName>
    <definedName name="Page6">#REF!</definedName>
    <definedName name="Page7" localSheetId="7">#REF!</definedName>
    <definedName name="Page7" localSheetId="32">#REF!</definedName>
    <definedName name="Page7">#REF!</definedName>
    <definedName name="Page8" localSheetId="7">#REF!</definedName>
    <definedName name="Page8" localSheetId="32">#REF!</definedName>
    <definedName name="Page8">#REF!</definedName>
    <definedName name="Page9" localSheetId="7">#REF!</definedName>
    <definedName name="Page9" localSheetId="32">#REF!</definedName>
    <definedName name="Page9">#REF!</definedName>
    <definedName name="pal" localSheetId="7">#REF!</definedName>
    <definedName name="pal" localSheetId="32">#REF!</definedName>
    <definedName name="pal" localSheetId="26">#REF!</definedName>
    <definedName name="pal">#REF!</definedName>
    <definedName name="PAN">[26]Masters!$C$11</definedName>
    <definedName name="pan_std" localSheetId="7">#REF!</definedName>
    <definedName name="pan_std" localSheetId="32">#REF!</definedName>
    <definedName name="pan_std">#REF!</definedName>
    <definedName name="Panel_m" localSheetId="7">#REF!</definedName>
    <definedName name="Panel_m" localSheetId="32">#REF!</definedName>
    <definedName name="Panel_m">#REF!</definedName>
    <definedName name="Panel_u" localSheetId="7">#REF!</definedName>
    <definedName name="Panel_u" localSheetId="32">#REF!</definedName>
    <definedName name="Panel_u">#REF!</definedName>
    <definedName name="PARCIAL" localSheetId="7">#REF!</definedName>
    <definedName name="PARCIAL" localSheetId="32">#REF!</definedName>
    <definedName name="PARCIAL">#REF!</definedName>
    <definedName name="PARCIAL1" localSheetId="7">#REF!</definedName>
    <definedName name="PARCIAL1" localSheetId="32">#REF!</definedName>
    <definedName name="PARCIAL1">#REF!</definedName>
    <definedName name="PARCIAL2" localSheetId="7">#REF!</definedName>
    <definedName name="PARCIAL2" localSheetId="32">#REF!</definedName>
    <definedName name="PARCIAL2">#REF!</definedName>
    <definedName name="PARCIAL4" localSheetId="7">#REF!</definedName>
    <definedName name="PARCIAL4" localSheetId="32">#REF!</definedName>
    <definedName name="PARCIAL4">#REF!</definedName>
    <definedName name="PARCIAL5" localSheetId="7">#REF!</definedName>
    <definedName name="PARCIAL5" localSheetId="32">#REF!</definedName>
    <definedName name="PARCIAL5">#REF!</definedName>
    <definedName name="PARCIAL6" localSheetId="7">#REF!</definedName>
    <definedName name="PARCIAL6" localSheetId="32">#REF!</definedName>
    <definedName name="PARCIAL6">#REF!</definedName>
    <definedName name="PartDesignation">[26]Masters!$C$16</definedName>
    <definedName name="patactper">OFFSET('[20]Bar Chart - FHL (M)'!$A$48,0,2,MATCH('[20]Bar Chart - FHL (M)'!$F$1,'[20]Bar Chart - FHL (M)'!$A$48:$A$59,0),1)</definedName>
    <definedName name="patactual">OFFSET('[20]Bar Chart - FHL (M)'!$A$48,0,5,MATCH('[20]Bar Chart - FHL (M)'!$F$1,'[20]Bar Chart - FHL (M)'!$A$48:$A$59,0),1)</definedName>
    <definedName name="patbudget">OFFSET('[20]Bar Chart - FHL (M)'!$A$48,0,4,MATCH('[20]Bar Chart - FHL (M)'!$F$1,'[20]Bar Chart - FHL (M)'!$A$48:$A$59,0),1)</definedName>
    <definedName name="patbudper">OFFSET('[20]Bar Chart - FHL (M)'!$A$48,0,1,MATCH('[20]Bar Chart - FHL (M)'!$F$1,'[20]Bar Chart - FHL (M)'!$A$48:$A$59,0),1)</definedName>
    <definedName name="pbper" localSheetId="7">#REF!</definedName>
    <definedName name="pbper" localSheetId="32">#REF!</definedName>
    <definedName name="pbper">#REF!</definedName>
    <definedName name="pbsub" localSheetId="7">#REF!</definedName>
    <definedName name="pbsub" localSheetId="32">#REF!</definedName>
    <definedName name="pbsub">#REF!</definedName>
    <definedName name="pbsubs" localSheetId="7">#REF!</definedName>
    <definedName name="pbsubs" localSheetId="32">#REF!</definedName>
    <definedName name="pbsubs">#REF!</definedName>
    <definedName name="pbsubs1" localSheetId="7">#REF!</definedName>
    <definedName name="pbsubs1" localSheetId="32">#REF!</definedName>
    <definedName name="pbsubs1">#REF!</definedName>
    <definedName name="PC_ATM25" localSheetId="7">#REF!</definedName>
    <definedName name="PC_ATM25" localSheetId="32">#REF!</definedName>
    <definedName name="PC_ATM25">#REF!</definedName>
    <definedName name="pcactual">OFFSET('[20]Bar Chart - FHL (M)'!$A$65,0,2,MATCH('[20]Bar Chart - FHL (M)'!$F$1,'[20]Bar Chart - FHL (M)'!$A$65:$A$76,0),1)</definedName>
    <definedName name="pcbudget">OFFSET('[20]Bar Chart - FHL (M)'!$A$65,0,1,MATCH('[20]Bar Chart - FHL (M)'!$F$1,'[20]Bar Chart - FHL (M)'!$A$65:$A$76,0),1)</definedName>
    <definedName name="pcdc14" localSheetId="7">#REF!</definedName>
    <definedName name="pcdc14" localSheetId="32">#REF!</definedName>
    <definedName name="pcdc14" localSheetId="26">#REF!</definedName>
    <definedName name="pcdc14">#REF!</definedName>
    <definedName name="pcdn14" localSheetId="7">#REF!</definedName>
    <definedName name="pcdn14" localSheetId="32">#REF!</definedName>
    <definedName name="pcdn14" localSheetId="26">#REF!</definedName>
    <definedName name="pcdn14">#REF!</definedName>
    <definedName name="pcdndec" localSheetId="7">#REF!</definedName>
    <definedName name="pcdndec" localSheetId="32">#REF!</definedName>
    <definedName name="pcdndec" localSheetId="26">#REF!</definedName>
    <definedName name="pcdndec">#REF!</definedName>
    <definedName name="pcdt" localSheetId="7">#REF!</definedName>
    <definedName name="pcdt" localSheetId="32">#REF!</definedName>
    <definedName name="pcdt" localSheetId="26">#REF!</definedName>
    <definedName name="pcdt">#REF!</definedName>
    <definedName name="pcm" localSheetId="7">#REF!</definedName>
    <definedName name="pcm" localSheetId="32">#REF!</definedName>
    <definedName name="pcm">#REF!</definedName>
    <definedName name="PD_ID" localSheetId="7">#REF!</definedName>
    <definedName name="PD_ID" localSheetId="32">#REF!</definedName>
    <definedName name="PD_ID">#REF!</definedName>
    <definedName name="PDMXE" localSheetId="7">#REF!</definedName>
    <definedName name="PDMXE" localSheetId="32">#REF!</definedName>
    <definedName name="PDMXE">#REF!</definedName>
    <definedName name="PEC" localSheetId="7">#REF!</definedName>
    <definedName name="PEC" localSheetId="32">#REF!</definedName>
    <definedName name="PEC">#REF!</definedName>
    <definedName name="Percent">'[56]LSL at 31 Dec 01 Problem'!$G$27:$G$37</definedName>
    <definedName name="PERIOD_END" localSheetId="7">#REF!</definedName>
    <definedName name="PERIOD_END" localSheetId="32">#REF!</definedName>
    <definedName name="PERIOD_END">#REF!</definedName>
    <definedName name="PERSONAL" localSheetId="7">#REF!</definedName>
    <definedName name="PERSONAL" localSheetId="32">#REF!</definedName>
    <definedName name="PERSONAL">#REF!</definedName>
    <definedName name="pil" localSheetId="7">#REF!</definedName>
    <definedName name="pil" localSheetId="32">#REF!</definedName>
    <definedName name="pil">#REF!</definedName>
    <definedName name="PivotStart" localSheetId="7">#REF!</definedName>
    <definedName name="PivotStart" localSheetId="32">#REF!</definedName>
    <definedName name="PivotStart">#REF!</definedName>
    <definedName name="PK" localSheetId="7">#REF!</definedName>
    <definedName name="PK" localSheetId="32">#REF!</definedName>
    <definedName name="PK">#REF!</definedName>
    <definedName name="pl" localSheetId="7" hidden="1">{"PLANT BREAKUP",#N/A,FALSE,"E"}</definedName>
    <definedName name="pl" hidden="1">{"PLANT BREAKUP",#N/A,FALSE,"E"}</definedName>
    <definedName name="PLAN_AEC_DEV" localSheetId="7">#REF!</definedName>
    <definedName name="PLAN_AEC_DEV" localSheetId="32">#REF!</definedName>
    <definedName name="PLAN_AEC_DEV">#REF!</definedName>
    <definedName name="PLAN_AMD" localSheetId="7">#REF!</definedName>
    <definedName name="PLAN_AMD" localSheetId="32">#REF!</definedName>
    <definedName name="PLAN_AMD">#REF!</definedName>
    <definedName name="PLAN_CCD_CNEXT" localSheetId="7">#REF!</definedName>
    <definedName name="PLAN_CCD_CNEXT" localSheetId="32">#REF!</definedName>
    <definedName name="PLAN_CCD_CNEXT">#REF!</definedName>
    <definedName name="PLAN_DSA" localSheetId="7">#REF!</definedName>
    <definedName name="PLAN_DSA" localSheetId="32">#REF!</definedName>
    <definedName name="PLAN_DSA">#REF!</definedName>
    <definedName name="PLAN_ELIM" localSheetId="7">#REF!</definedName>
    <definedName name="PLAN_ELIM" localSheetId="32">#REF!</definedName>
    <definedName name="PLAN_ELIM">#REF!</definedName>
    <definedName name="PLAN_GA_MIS" localSheetId="7">#REF!</definedName>
    <definedName name="PLAN_GA_MIS" localSheetId="32">#REF!</definedName>
    <definedName name="PLAN_GA_MIS">#REF!</definedName>
    <definedName name="PLAN_LAT_AM" localSheetId="7">#REF!</definedName>
    <definedName name="PLAN_LAT_AM" localSheetId="32">#REF!</definedName>
    <definedName name="PLAN_LAT_AM">#REF!</definedName>
    <definedName name="PLAN_MKT_COMM" localSheetId="7">#REF!</definedName>
    <definedName name="PLAN_MKT_COMM" localSheetId="32">#REF!</definedName>
    <definedName name="PLAN_MKT_COMM">#REF!</definedName>
    <definedName name="PLAN_MKTG" localSheetId="7">#REF!</definedName>
    <definedName name="PLAN_MKTG" localSheetId="32">#REF!</definedName>
    <definedName name="PLAN_MKTG">#REF!</definedName>
    <definedName name="PLAN_NAS_AEC" localSheetId="7">#REF!</definedName>
    <definedName name="PLAN_NAS_AEC" localSheetId="32">#REF!</definedName>
    <definedName name="PLAN_NAS_AEC">#REF!</definedName>
    <definedName name="PLAN_NAS_MECH" localSheetId="7">#REF!</definedName>
    <definedName name="PLAN_NAS_MECH" localSheetId="32">#REF!</definedName>
    <definedName name="PLAN_NAS_MECH">#REF!</definedName>
    <definedName name="PLAN_NEWCO" localSheetId="7">#REF!</definedName>
    <definedName name="PLAN_NEWCO" localSheetId="32">#REF!</definedName>
    <definedName name="PLAN_NEWCO">#REF!</definedName>
    <definedName name="PLAN_NEWCO_MO" localSheetId="7">#REF!</definedName>
    <definedName name="PLAN_NEWCO_MO" localSheetId="32">#REF!</definedName>
    <definedName name="PLAN_NEWCO_MO">#REF!</definedName>
    <definedName name="PLAN_PSD" localSheetId="7">#REF!</definedName>
    <definedName name="PLAN_PSD" localSheetId="32">#REF!</definedName>
    <definedName name="PLAN_PSD">#REF!</definedName>
    <definedName name="PLAN_VPM" localSheetId="7">#REF!</definedName>
    <definedName name="PLAN_VPM" localSheetId="32">#REF!</definedName>
    <definedName name="PLAN_VPM">#REF!</definedName>
    <definedName name="PLANT" localSheetId="7" hidden="1">{"PLANT BREAKUP",#N/A,FALSE,"E"}</definedName>
    <definedName name="PLANT" hidden="1">{"PLANT BREAKUP",#N/A,FALSE,"E"}</definedName>
    <definedName name="Plat_Mark_Dn">[19]PC_Cost_Ku!$B$12</definedName>
    <definedName name="plpd" localSheetId="7">#REF!</definedName>
    <definedName name="plpd" localSheetId="32">#REF!</definedName>
    <definedName name="plpd">#REF!</definedName>
    <definedName name="PM" localSheetId="7">#REF!</definedName>
    <definedName name="pm" localSheetId="32">#REF!</definedName>
    <definedName name="pm">#REF!</definedName>
    <definedName name="PO" localSheetId="7" hidden="1">{"PLANT BREAKUP",#N/A,FALSE,"E"}</definedName>
    <definedName name="PO" hidden="1">{"PLANT BREAKUP",#N/A,FALSE,"E"}</definedName>
    <definedName name="poipo" localSheetId="7" hidden="1">{"CASH FLOW",#N/A,FALSE,"A"}</definedName>
    <definedName name="poipo" hidden="1">{"CASH FLOW",#N/A,FALSE,"A"}</definedName>
    <definedName name="pooiwut" localSheetId="7" hidden="1">{"PLANNING",#N/A,FALSE,"A"}</definedName>
    <definedName name="pooiwut" hidden="1">{"PLANNING",#N/A,FALSE,"A"}</definedName>
    <definedName name="pop" localSheetId="7" hidden="1">{"PLANNING",#N/A,FALSE,"A"}</definedName>
    <definedName name="pop" hidden="1">{"PLANNING",#N/A,FALSE,"A"}</definedName>
    <definedName name="popo" localSheetId="7" hidden="1">#REF!</definedName>
    <definedName name="popo" localSheetId="32" hidden="1">#REF!</definedName>
    <definedName name="popo" localSheetId="26" hidden="1">#REF!</definedName>
    <definedName name="popo" hidden="1">#REF!</definedName>
    <definedName name="POPUH1IPO" localSheetId="7" hidden="1">{"PLANNING",#N/A,FALSE,"A"}</definedName>
    <definedName name="POPUH1IPO" hidden="1">{"PLANNING",#N/A,FALSE,"A"}</definedName>
    <definedName name="popuoy" localSheetId="7" hidden="1">{"FTS",#N/A,FALSE,"E"}</definedName>
    <definedName name="popuoy" hidden="1">{"FTS",#N/A,FALSE,"E"}</definedName>
    <definedName name="POSN_C" localSheetId="7">#REF!</definedName>
    <definedName name="POSN_C" localSheetId="32">#REF!</definedName>
    <definedName name="POSN_C">#REF!</definedName>
    <definedName name="POSN_I" localSheetId="7">#REF!</definedName>
    <definedName name="POSN_I" localSheetId="32">#REF!</definedName>
    <definedName name="POSN_I">#REF!</definedName>
    <definedName name="POSN_P" localSheetId="7">#REF!</definedName>
    <definedName name="POSN_P" localSheetId="32">#REF!</definedName>
    <definedName name="POSN_P">#REF!</definedName>
    <definedName name="POSU_C" localSheetId="7">#REF!</definedName>
    <definedName name="POSU_C" localSheetId="32">#REF!</definedName>
    <definedName name="POSU_C">#REF!</definedName>
    <definedName name="POSU_P" localSheetId="7">#REF!</definedName>
    <definedName name="POSU_P" localSheetId="32">#REF!</definedName>
    <definedName name="POSU_P">#REF!</definedName>
    <definedName name="Power_consumption_norms" localSheetId="7">#REF!</definedName>
    <definedName name="Power_consumption_norms" localSheetId="32">#REF!</definedName>
    <definedName name="Power_consumption_norms">#REF!</definedName>
    <definedName name="poy" localSheetId="7">#REF!</definedName>
    <definedName name="poy" localSheetId="32">#REF!</definedName>
    <definedName name="poy" localSheetId="26">#REF!</definedName>
    <definedName name="poy">#REF!</definedName>
    <definedName name="prap" localSheetId="7">#REF!</definedName>
    <definedName name="prap" localSheetId="32">#REF!</definedName>
    <definedName name="prap">#REF!</definedName>
    <definedName name="PRASAD" localSheetId="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ASAD"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CIAL3" localSheetId="7">#REF!</definedName>
    <definedName name="PRCIAL3" localSheetId="32">#REF!</definedName>
    <definedName name="PRCIAL3">#REF!</definedName>
    <definedName name="predial" localSheetId="7">#REF!</definedName>
    <definedName name="predial" localSheetId="32">#REF!</definedName>
    <definedName name="predial">#REF!</definedName>
    <definedName name="predial1" localSheetId="7">#REF!</definedName>
    <definedName name="predial1" localSheetId="32">#REF!</definedName>
    <definedName name="predial1">#REF!</definedName>
    <definedName name="PrefSh" localSheetId="7" hidden="1">#REF!</definedName>
    <definedName name="PrefSh" localSheetId="32" hidden="1">#REF!</definedName>
    <definedName name="PrefSh" localSheetId="26" hidden="1">#REF!</definedName>
    <definedName name="PrefSh" hidden="1">#REF!</definedName>
    <definedName name="PREPAID_OTHER" localSheetId="7">#REF!</definedName>
    <definedName name="PREPAID_OTHER" localSheetId="32">#REF!</definedName>
    <definedName name="PREPAID_OTHER">#REF!</definedName>
    <definedName name="PREPARED_BY" localSheetId="7">#REF!</definedName>
    <definedName name="PREPARED_BY" localSheetId="32">#REF!</definedName>
    <definedName name="PREPARED_BY">#REF!</definedName>
    <definedName name="PREPARED_DATE" localSheetId="7">#REF!</definedName>
    <definedName name="PREPARED_DATE" localSheetId="32">#REF!</definedName>
    <definedName name="PREPARED_DATE">#REF!</definedName>
    <definedName name="Pres" localSheetId="7" hidden="1">{#N/A,#N/A,TRUE,"Cover sheet";#N/A,#N/A,TRUE,"Summary";#N/A,#N/A,TRUE,"Key Assumptions";#N/A,#N/A,TRUE,"Profit &amp; Loss";#N/A,#N/A,TRUE,"Balance Sheet";#N/A,#N/A,TRUE,"Cashflow";#N/A,#N/A,TRUE,"IRR";#N/A,#N/A,TRUE,"Ratios";#N/A,#N/A,TRUE,"Debt analysis"}</definedName>
    <definedName name="Pres" hidden="1">{#N/A,#N/A,TRUE,"Cover sheet";#N/A,#N/A,TRUE,"Summary";#N/A,#N/A,TRUE,"Key Assumptions";#N/A,#N/A,TRUE,"Profit &amp; Loss";#N/A,#N/A,TRUE,"Balance Sheet";#N/A,#N/A,TRUE,"Cashflow";#N/A,#N/A,TRUE,"IRR";#N/A,#N/A,TRUE,"Ratios";#N/A,#N/A,TRUE,"Debt analysis"}</definedName>
    <definedName name="PREV_GRF">'[22]IS Mo'!$EX$10:$FI$62</definedName>
    <definedName name="PREV_INN">'[22]IS Mo'!$GB$10:$GM$62</definedName>
    <definedName name="PREV_PUB">'[22]IS Mo'!$FM$10:$FX$62</definedName>
    <definedName name="price" localSheetId="7">#REF!</definedName>
    <definedName name="price" localSheetId="32">#REF!</definedName>
    <definedName name="price">#REF!</definedName>
    <definedName name="_xlnm.Print_Area" localSheetId="7">'Accounting Policies(2)'!$A$1:$H$226</definedName>
    <definedName name="_xlnm.Print_Area" localSheetId="1">BS!$A$1:$E$68</definedName>
    <definedName name="_xlnm.Print_Area" localSheetId="3">'Cash flow'!$A$1:$E$63</definedName>
    <definedName name="_xlnm.Print_Area" localSheetId="32">#REF!</definedName>
    <definedName name="_xlnm.Print_Area" localSheetId="9">'Employee benefits Note 35'!$A$1:$G$80</definedName>
    <definedName name="_xlnm.Print_Area" localSheetId="8">FA!$A$1:$M$75</definedName>
    <definedName name="_xlnm.Print_Area" localSheetId="10">'Note 36'!$A$1:$F$149</definedName>
    <definedName name="_xlnm.Print_Area" localSheetId="13">'Note 38 FRM1_credit &amp; liquidity'!$A$1:$E$41</definedName>
    <definedName name="_xlnm.Print_Area" localSheetId="12">'Note 38 FVM_1'!$A$1:$H$51</definedName>
    <definedName name="_xlnm.Print_Area" localSheetId="4">Notes!$A$1:$D$534</definedName>
    <definedName name="_xlnm.Print_Area" localSheetId="15">'Notes 39 to 41'!$A$1:$F$37</definedName>
    <definedName name="_xlnm.Print_Area" localSheetId="16">'Notes 42 to 43'!$A$1:$G$30</definedName>
    <definedName name="_xlnm.Print_Area" localSheetId="2">PL!$A$1:$E$58</definedName>
    <definedName name="_xlnm.Print_Area" localSheetId="26">#REF!</definedName>
    <definedName name="_xlnm.Print_Area" localSheetId="5">SOCE!$A$1:$H$58</definedName>
    <definedName name="_xlnm.Print_Area">#REF!</definedName>
    <definedName name="PRINT_AREA_MI" localSheetId="7">#REF!</definedName>
    <definedName name="PRINT_AREA_MI" localSheetId="32">#REF!</definedName>
    <definedName name="PRINT_AREA_MI" localSheetId="26">#REF!</definedName>
    <definedName name="PRINT_AREA_MI">#REF!</definedName>
    <definedName name="Print_Month">'[22]IS Mo'!$A$1:$AE$64</definedName>
    <definedName name="Print_SM_GA">'[22]Fiscal View'!$A$46:$K$88</definedName>
    <definedName name="Print_Title">'[62]Monthly rate'!$A$1:$A$65536,'[62]Monthly rate'!$A$10:$B$10,'[62]Monthly rate'!$A$1:$Z$10</definedName>
    <definedName name="_xlnm.Print_Titles" localSheetId="7">'Accounting Policies(2)'!$1:$3</definedName>
    <definedName name="_xlnm.Print_Titles" localSheetId="32">#REF!</definedName>
    <definedName name="_xlnm.Print_Titles" localSheetId="9">'Employee benefits Note 35'!$1:$5</definedName>
    <definedName name="_xlnm.Print_Titles" localSheetId="10">'Note 36'!$1:$3</definedName>
    <definedName name="_xlnm.Print_Titles" localSheetId="4">Notes!$1:$2</definedName>
    <definedName name="_xlnm.Print_Titles" localSheetId="26">#REF!</definedName>
    <definedName name="_xlnm.Print_Titles">#REF!</definedName>
    <definedName name="PRINT_TITLES_MI" localSheetId="7">#REF!</definedName>
    <definedName name="PRINT_TITLES_MI" localSheetId="32">#REF!</definedName>
    <definedName name="PRINT_TITLES_MI" localSheetId="26">#REF!</definedName>
    <definedName name="PRINT_TITLES_MI">#REF!</definedName>
    <definedName name="Print_YTD">'[22]IS Mo'!$A$67:$AE$131</definedName>
    <definedName name="PRINT1" localSheetId="7">#REF!</definedName>
    <definedName name="PRINT1" localSheetId="32">#REF!</definedName>
    <definedName name="PRINT1">#REF!</definedName>
    <definedName name="PRINT2" localSheetId="7">#REF!</definedName>
    <definedName name="PRINT2" localSheetId="32">#REF!</definedName>
    <definedName name="PRINT2">#REF!</definedName>
    <definedName name="Prior1Qtr" localSheetId="7">#REF!</definedName>
    <definedName name="Prior1Qtr" localSheetId="32">#REF!</definedName>
    <definedName name="Prior1Qtr">#REF!</definedName>
    <definedName name="Prior2Qtr" localSheetId="7">#REF!</definedName>
    <definedName name="Prior2Qtr" localSheetId="32">#REF!</definedName>
    <definedName name="Prior2Qtr">#REF!</definedName>
    <definedName name="Prior3Qtr" localSheetId="7">#REF!</definedName>
    <definedName name="Prior3Qtr" localSheetId="32">#REF!</definedName>
    <definedName name="Prior3Qtr">#REF!</definedName>
    <definedName name="PRN_MAJ_QUANTITY" localSheetId="7">#REF!</definedName>
    <definedName name="PRN_MAJ_QUANTITY" localSheetId="32">#REF!</definedName>
    <definedName name="PRN_MAJ_QUANTITY">#REF!</definedName>
    <definedName name="ProdForm" localSheetId="7" hidden="1">#REF!</definedName>
    <definedName name="ProdForm" localSheetId="32" hidden="1">#REF!</definedName>
    <definedName name="ProdForm" localSheetId="26" hidden="1">#REF!</definedName>
    <definedName name="ProdForm" hidden="1">#REF!</definedName>
    <definedName name="PRODSALES" localSheetId="7">#REF!</definedName>
    <definedName name="PRODSALES" localSheetId="32">#REF!</definedName>
    <definedName name="PRODSALES">#REF!</definedName>
    <definedName name="Product" localSheetId="7" hidden="1">#REF!</definedName>
    <definedName name="Product" localSheetId="32" hidden="1">#REF!</definedName>
    <definedName name="Product" localSheetId="26" hidden="1">#REF!</definedName>
    <definedName name="Product" hidden="1">#REF!</definedName>
    <definedName name="Product_Line" localSheetId="7">#REF!</definedName>
    <definedName name="Product_Line" localSheetId="32">#REF!</definedName>
    <definedName name="Product_Line">#REF!</definedName>
    <definedName name="Professional_svc" localSheetId="7">#REF!</definedName>
    <definedName name="Professional_svc" localSheetId="32">#REF!</definedName>
    <definedName name="Professional_svc">#REF!</definedName>
    <definedName name="profit_before_tax" localSheetId="7">'[39]PBV Cons'!#REF!</definedName>
    <definedName name="profit_before_tax" localSheetId="32">'[39]PBV Cons'!#REF!</definedName>
    <definedName name="profit_before_tax">'[39]PBV Cons'!#REF!</definedName>
    <definedName name="Profit\Loss" localSheetId="7">#REF!</definedName>
    <definedName name="Profit\Loss" localSheetId="32">#REF!</definedName>
    <definedName name="Profit\Loss">#REF!</definedName>
    <definedName name="progress" localSheetId="7">#REF!</definedName>
    <definedName name="progress" localSheetId="32">#REF!</definedName>
    <definedName name="progress">#REF!</definedName>
    <definedName name="Project" localSheetId="7">#REF!</definedName>
    <definedName name="Project" localSheetId="32">#REF!</definedName>
    <definedName name="Project">#REF!</definedName>
    <definedName name="ProjectName" localSheetId="7">{"Client Name or Project Name"}</definedName>
    <definedName name="ProjectName">{"Client Name or Project Name"}</definedName>
    <definedName name="PROMEDIO_ACTIVOS" localSheetId="7">#REF!,#REF!,#REF!,#REF!,#REF!,#REF!</definedName>
    <definedName name="PROMEDIO_ACTIVOS" localSheetId="32">#REF!,#REF!,#REF!,#REF!,#REF!,#REF!</definedName>
    <definedName name="PROMEDIO_ACTIVOS">#REF!,#REF!,#REF!,#REF!,#REF!,#REF!</definedName>
    <definedName name="Prov_liab_Mate" localSheetId="7">'[63]Exp. Liab.'!#REF!</definedName>
    <definedName name="Prov_liab_Mate" localSheetId="32">'[63]Exp. Liab.'!#REF!</definedName>
    <definedName name="Prov_liab_Mate">'[63]Exp. Liab.'!#REF!</definedName>
    <definedName name="PRUEBA" localSheetId="7">#REF!</definedName>
    <definedName name="PRUEBA" localSheetId="32">#REF!</definedName>
    <definedName name="PRUEBA">#REF!</definedName>
    <definedName name="PSM">[60]TB_TURBHE1214!$B$2:$AH$879</definedName>
    <definedName name="PUB_FileID" hidden="1">"L10003649.xls"</definedName>
    <definedName name="PUB_Graphs" localSheetId="7">#REF!</definedName>
    <definedName name="PUB_Graphs" localSheetId="32">#REF!</definedName>
    <definedName name="PUB_Graphs">#REF!</definedName>
    <definedName name="PUB_UserID" hidden="1">"MAYERX"</definedName>
    <definedName name="pulsea" localSheetId="7">#REF!</definedName>
    <definedName name="pulsea" localSheetId="32">#REF!</definedName>
    <definedName name="pulsea">#REF!</definedName>
    <definedName name="pulsea1" localSheetId="7">#REF!</definedName>
    <definedName name="pulsea1" localSheetId="32">#REF!</definedName>
    <definedName name="pulsea1">#REF!</definedName>
    <definedName name="Q" localSheetId="7" hidden="1">{"PLANNING",#N/A,FALSE,"A"}</definedName>
    <definedName name="Q" hidden="1">{"PLANNING",#N/A,FALSE,"A"}</definedName>
    <definedName name="QQQ" localSheetId="7" hidden="1">{"SUMMARY",#N/A,FALSE,"C"}</definedName>
    <definedName name="QQQ" hidden="1">{"SUMMARY",#N/A,FALSE,"C"}</definedName>
    <definedName name="QTempAllAreas" localSheetId="7">#REF!</definedName>
    <definedName name="QTempAllAreas" localSheetId="32">#REF!</definedName>
    <definedName name="QTempAllAreas">#REF!</definedName>
    <definedName name="qty_col" localSheetId="7">#REF!</definedName>
    <definedName name="qty_col" localSheetId="32">#REF!</definedName>
    <definedName name="qty_col">#REF!</definedName>
    <definedName name="Quad_OC12" localSheetId="7">#REF!</definedName>
    <definedName name="Quad_OC12" localSheetId="32">#REF!</definedName>
    <definedName name="Quad_OC12">#REF!</definedName>
    <definedName name="qwdqwdqad" hidden="1">{#N/A,#N/A,TRUE,"Staffnos &amp; cost"}</definedName>
    <definedName name="qwedqqdq" hidden="1">{#N/A,#N/A,TRUE,"Staffnos &amp; cost"}</definedName>
    <definedName name="R_" localSheetId="7">#REF!</definedName>
    <definedName name="R_" localSheetId="32">#REF!</definedName>
    <definedName name="R_">#REF!</definedName>
    <definedName name="r24." localSheetId="7">#REF!</definedName>
    <definedName name="r24." localSheetId="32">#REF!</definedName>
    <definedName name="r24.">#REF!</definedName>
    <definedName name="Rack_m" localSheetId="7">#REF!</definedName>
    <definedName name="Rack_m" localSheetId="32">#REF!</definedName>
    <definedName name="Rack_m">#REF!</definedName>
    <definedName name="Rack_o" localSheetId="7">#REF!</definedName>
    <definedName name="Rack_o" localSheetId="32">#REF!</definedName>
    <definedName name="Rack_o">#REF!</definedName>
    <definedName name="Rack_u" localSheetId="7">#REF!</definedName>
    <definedName name="Rack_u" localSheetId="32">#REF!</definedName>
    <definedName name="Rack_u">#REF!</definedName>
    <definedName name="Racks" localSheetId="7">#REF!</definedName>
    <definedName name="Racks" localSheetId="32">#REF!</definedName>
    <definedName name="Racks">#REF!</definedName>
    <definedName name="raj" localSheetId="7">#REF!</definedName>
    <definedName name="raj" localSheetId="32">#REF!</definedName>
    <definedName name="raj">#REF!</definedName>
    <definedName name="ram" localSheetId="7" hidden="1">#REF!</definedName>
    <definedName name="ram" localSheetId="32" hidden="1">#REF!</definedName>
    <definedName name="ram" hidden="1">#REF!</definedName>
    <definedName name="RANA" localSheetId="7">#REF!</definedName>
    <definedName name="RANA" localSheetId="32">#REF!</definedName>
    <definedName name="RANA" localSheetId="26">#REF!</definedName>
    <definedName name="RANA">#REF!</definedName>
    <definedName name="RANGE" localSheetId="7">#REF!</definedName>
    <definedName name="RANGE" localSheetId="32">#REF!</definedName>
    <definedName name="RANGE" localSheetId="26">#REF!</definedName>
    <definedName name="RANGE">#REF!</definedName>
    <definedName name="rate" localSheetId="7">#REF!</definedName>
    <definedName name="rate" localSheetId="32">#REF!</definedName>
    <definedName name="rate">#REF!</definedName>
    <definedName name="rate1" localSheetId="7">#REF!</definedName>
    <definedName name="rate1" localSheetId="32">#REF!</definedName>
    <definedName name="rate1">#REF!</definedName>
    <definedName name="RATES" localSheetId="7">#REF!</definedName>
    <definedName name="RATES" localSheetId="32">#REF!</definedName>
    <definedName name="RATES">#REF!</definedName>
    <definedName name="ratra" localSheetId="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atra"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CArea" localSheetId="7" hidden="1">#REF!</definedName>
    <definedName name="RCArea" localSheetId="32" hidden="1">#REF!</definedName>
    <definedName name="RCArea" localSheetId="26" hidden="1">#REF!</definedName>
    <definedName name="RCArea" hidden="1">#REF!</definedName>
    <definedName name="RDD" localSheetId="7">#REF!</definedName>
    <definedName name="RDD" localSheetId="32">#REF!</definedName>
    <definedName name="RDD">#REF!</definedName>
    <definedName name="Realisations_salevalue" localSheetId="7">#REF!</definedName>
    <definedName name="Realisations_salevalue" localSheetId="32">#REF!</definedName>
    <definedName name="Realisations_salevalue">#REF!</definedName>
    <definedName name="_xlnm.Recorder" localSheetId="7">#REF!</definedName>
    <definedName name="_xlnm.Recorder" localSheetId="32">#REF!</definedName>
    <definedName name="_xlnm.Recorder">#REF!</definedName>
    <definedName name="redo" localSheetId="7" hidden="1">{#N/A,#N/A,FALSE,"ACQ_GRAPHS";#N/A,#N/A,FALSE,"T_1 GRAPHS";#N/A,#N/A,FALSE,"T_2 GRAPHS";#N/A,#N/A,FALSE,"COMB_GRAPHS"}</definedName>
    <definedName name="redo" hidden="1">{#N/A,#N/A,FALSE,"ACQ_GRAPHS";#N/A,#N/A,FALSE,"T_1 GRAPHS";#N/A,#N/A,FALSE,"T_2 GRAPHS";#N/A,#N/A,FALSE,"COMB_GRAPHS"}</definedName>
    <definedName name="Redundant" localSheetId="7">#REF!</definedName>
    <definedName name="Redundant" localSheetId="32">#REF!</definedName>
    <definedName name="Redundant">#REF!</definedName>
    <definedName name="Reference" localSheetId="7">#REF!</definedName>
    <definedName name="Reference" localSheetId="32">#REF!</definedName>
    <definedName name="Reference">#REF!</definedName>
    <definedName name="Regen_CE_BB" localSheetId="7">#REF!</definedName>
    <definedName name="Regen_CE_BB" localSheetId="32">#REF!</definedName>
    <definedName name="Regen_CE_BB">#REF!</definedName>
    <definedName name="Rejuvenation" localSheetId="7">#REF!</definedName>
    <definedName name="Rejuvenation" localSheetId="32">#REF!</definedName>
    <definedName name="Rejuvenation">#REF!</definedName>
    <definedName name="REPOMO" localSheetId="7">#REF!</definedName>
    <definedName name="REPOMO" localSheetId="32">#REF!</definedName>
    <definedName name="REPOMO">#REF!</definedName>
    <definedName name="Report_Day" localSheetId="7">#REF!</definedName>
    <definedName name="Report_Day" localSheetId="32">#REF!</definedName>
    <definedName name="Report_Day">#REF!</definedName>
    <definedName name="ReportTitle1" localSheetId="7">#REF!</definedName>
    <definedName name="ReportTitle1" localSheetId="32">#REF!</definedName>
    <definedName name="ReportTitle1">#REF!</definedName>
    <definedName name="RES" localSheetId="7">#REF!</definedName>
    <definedName name="RES" localSheetId="32">#REF!</definedName>
    <definedName name="RES">#REF!</definedName>
    <definedName name="Res_upsell" localSheetId="7">#REF!</definedName>
    <definedName name="Res_upsell" localSheetId="32">#REF!</definedName>
    <definedName name="Res_upsell">#REF!</definedName>
    <definedName name="Res_upsell3Y" localSheetId="7">#REF!</definedName>
    <definedName name="Res_upsell3Y" localSheetId="32">#REF!</definedName>
    <definedName name="Res_upsell3Y">#REF!</definedName>
    <definedName name="Resiliant" localSheetId="7">#REF!</definedName>
    <definedName name="Resiliant" localSheetId="32">#REF!</definedName>
    <definedName name="Resiliant">#REF!</definedName>
    <definedName name="Resilient" localSheetId="7">#REF!</definedName>
    <definedName name="Resilient" localSheetId="32">#REF!</definedName>
    <definedName name="Resilient">#REF!</definedName>
    <definedName name="Resource_Optimisation" localSheetId="7">#REF!</definedName>
    <definedName name="Resource_Optimisation" localSheetId="32">#REF!</definedName>
    <definedName name="Resource_Optimisation">#REF!</definedName>
    <definedName name="rest" localSheetId="7">#REF!</definedName>
    <definedName name="rest" localSheetId="32">#REF!</definedName>
    <definedName name="rest">#REF!</definedName>
    <definedName name="RESUL.ACUM." localSheetId="7">#REF!</definedName>
    <definedName name="RESUL.ACUM." localSheetId="32">#REF!</definedName>
    <definedName name="RESUL.ACUM.">#REF!</definedName>
    <definedName name="RESUL.EJER." localSheetId="7">#REF!</definedName>
    <definedName name="RESUL.EJER." localSheetId="32">#REF!</definedName>
    <definedName name="RESUL.EJER.">#REF!</definedName>
    <definedName name="RESUMEN" localSheetId="7">#REF!</definedName>
    <definedName name="RESUMEN" localSheetId="32">#REF!</definedName>
    <definedName name="RESUMEN">#REF!</definedName>
    <definedName name="revact" localSheetId="7">OFFSET('[20]Bar Chart - FHL (M)'!$A$103,0,2,MATCH(CurrMonth,'[20]Bar Chart - FHL (M)'!$A$103:$A$114,0),1)</definedName>
    <definedName name="revact" localSheetId="23">OFFSET('[20]Bar Chart - FHL (M)'!$A$103,0,2,MATCH(CurrMonth,'[20]Bar Chart - FHL (M)'!$A$103:$A$114,0),1)</definedName>
    <definedName name="revact" localSheetId="24">OFFSET('[20]Bar Chart - FHL (M)'!$A$103,0,2,MATCH(CurrMonth,'[20]Bar Chart - FHL (M)'!$A$103:$A$114,0),1)</definedName>
    <definedName name="revact" localSheetId="32">OFFSET('[20]Bar Chart - FHL (M)'!$A$103,0,2,MATCH(CurrMonth,'[20]Bar Chart - FHL (M)'!$A$103:$A$114,0),1)</definedName>
    <definedName name="revact" localSheetId="30">OFFSET('[20]Bar Chart - FHL (M)'!$A$103,0,2,MATCH(CurrMonth,'[20]Bar Chart - FHL (M)'!$A$103:$A$114,0),1)</definedName>
    <definedName name="revact" localSheetId="29">OFFSET('[20]Bar Chart - FHL (M)'!$A$103,0,2,MATCH(CurrMonth,'[20]Bar Chart - FHL (M)'!$A$103:$A$114,0),1)</definedName>
    <definedName name="revact" localSheetId="19">OFFSET('[20]Bar Chart - FHL (M)'!$A$103,0,2,MATCH(CurrMonth,'[20]Bar Chart - FHL (M)'!$A$103:$A$114,0),1)</definedName>
    <definedName name="revact" localSheetId="26">OFFSET('[20]Bar Chart - FHL (M)'!$A$103,0,2,MATCH(CurrMonth,'[20]Bar Chart - FHL (M)'!$A$103:$A$114,0),1)</definedName>
    <definedName name="revact" localSheetId="21">OFFSET('[20]Bar Chart - FHL (M)'!$A$103,0,2,MATCH(CurrMonth,'[20]Bar Chart - FHL (M)'!$A$103:$A$114,0),1)</definedName>
    <definedName name="revact">OFFSET('[20]Bar Chart - FHL (M)'!$A$103,0,2,MATCH(CurrMonth,'[20]Bar Chart - FHL (M)'!$A$103:$A$114,0),1)</definedName>
    <definedName name="revactpy" localSheetId="7">OFFSET('[20]Bar Chart - FHL (M)'!$A$103,0,4,MATCH(CurrMonth,'[20]Bar Chart - FHL (M)'!$A$103:$A$114,0),1)</definedName>
    <definedName name="revactpy" localSheetId="23">OFFSET('[20]Bar Chart - FHL (M)'!$A$103,0,4,MATCH(CurrMonth,'[20]Bar Chart - FHL (M)'!$A$103:$A$114,0),1)</definedName>
    <definedName name="revactpy" localSheetId="24">OFFSET('[20]Bar Chart - FHL (M)'!$A$103,0,4,MATCH(CurrMonth,'[20]Bar Chart - FHL (M)'!$A$103:$A$114,0),1)</definedName>
    <definedName name="revactpy" localSheetId="32">OFFSET('[20]Bar Chart - FHL (M)'!$A$103,0,4,MATCH(CurrMonth,'[20]Bar Chart - FHL (M)'!$A$103:$A$114,0),1)</definedName>
    <definedName name="revactpy" localSheetId="30">OFFSET('[20]Bar Chart - FHL (M)'!$A$103,0,4,MATCH(CurrMonth,'[20]Bar Chart - FHL (M)'!$A$103:$A$114,0),1)</definedName>
    <definedName name="revactpy" localSheetId="29">OFFSET('[20]Bar Chart - FHL (M)'!$A$103,0,4,MATCH(CurrMonth,'[20]Bar Chart - FHL (M)'!$A$103:$A$114,0),1)</definedName>
    <definedName name="revactpy" localSheetId="19">OFFSET('[20]Bar Chart - FHL (M)'!$A$103,0,4,MATCH(CurrMonth,'[20]Bar Chart - FHL (M)'!$A$103:$A$114,0),1)</definedName>
    <definedName name="revactpy" localSheetId="26">OFFSET('[20]Bar Chart - FHL (M)'!$A$103,0,4,MATCH(CurrMonth,'[20]Bar Chart - FHL (M)'!$A$103:$A$114,0),1)</definedName>
    <definedName name="revactpy" localSheetId="21">OFFSET('[20]Bar Chart - FHL (M)'!$A$103,0,4,MATCH(CurrMonth,'[20]Bar Chart - FHL (M)'!$A$103:$A$114,0),1)</definedName>
    <definedName name="revactpy">OFFSET('[20]Bar Chart - FHL (M)'!$A$103,0,4,MATCH(CurrMonth,'[20]Bar Chart - FHL (M)'!$A$103:$A$114,0),1)</definedName>
    <definedName name="revbud" localSheetId="7">OFFSET('[20]Bar Chart - FHL (M)'!$A$103,0,1,MATCH(CurrMonth,'[20]Bar Chart - FHL (M)'!$A$103:$A$114,0),1)</definedName>
    <definedName name="revbud" localSheetId="23">OFFSET('[20]Bar Chart - FHL (M)'!$A$103,0,1,MATCH(CurrMonth,'[20]Bar Chart - FHL (M)'!$A$103:$A$114,0),1)</definedName>
    <definedName name="revbud" localSheetId="24">OFFSET('[20]Bar Chart - FHL (M)'!$A$103,0,1,MATCH(CurrMonth,'[20]Bar Chart - FHL (M)'!$A$103:$A$114,0),1)</definedName>
    <definedName name="revbud" localSheetId="32">OFFSET('[20]Bar Chart - FHL (M)'!$A$103,0,1,MATCH(CurrMonth,'[20]Bar Chart - FHL (M)'!$A$103:$A$114,0),1)</definedName>
    <definedName name="revbud" localSheetId="30">OFFSET('[20]Bar Chart - FHL (M)'!$A$103,0,1,MATCH(CurrMonth,'[20]Bar Chart - FHL (M)'!$A$103:$A$114,0),1)</definedName>
    <definedName name="revbud" localSheetId="29">OFFSET('[20]Bar Chart - FHL (M)'!$A$103,0,1,MATCH(CurrMonth,'[20]Bar Chart - FHL (M)'!$A$103:$A$114,0),1)</definedName>
    <definedName name="revbud" localSheetId="19">OFFSET('[20]Bar Chart - FHL (M)'!$A$103,0,1,MATCH(CurrMonth,'[20]Bar Chart - FHL (M)'!$A$103:$A$114,0),1)</definedName>
    <definedName name="revbud" localSheetId="26">OFFSET('[20]Bar Chart - FHL (M)'!$A$103,0,1,MATCH(CurrMonth,'[20]Bar Chart - FHL (M)'!$A$103:$A$114,0),1)</definedName>
    <definedName name="revbud" localSheetId="21">OFFSET('[20]Bar Chart - FHL (M)'!$A$103,0,1,MATCH(CurrMonth,'[20]Bar Chart - FHL (M)'!$A$103:$A$114,0),1)</definedName>
    <definedName name="revbud">OFFSET('[20]Bar Chart - FHL (M)'!$A$103,0,1,MATCH(CurrMonth,'[20]Bar Chart - FHL (M)'!$A$103:$A$114,0),1)</definedName>
    <definedName name="Revenue" localSheetId="7">#REF!</definedName>
    <definedName name="Revenue" localSheetId="32">#REF!</definedName>
    <definedName name="Revenue">#REF!</definedName>
    <definedName name="Revenue_Assumptions" localSheetId="7">#REF!</definedName>
    <definedName name="Revenue_Assumptions" localSheetId="32">#REF!</definedName>
    <definedName name="Revenue_Assumptions">#REF!</definedName>
    <definedName name="Revenue_Graphs" localSheetId="7">#REF!</definedName>
    <definedName name="Revenue_Graphs" localSheetId="32">#REF!</definedName>
    <definedName name="Revenue_Graphs">#REF!</definedName>
    <definedName name="revised" localSheetId="7">#REF!</definedName>
    <definedName name="revised" localSheetId="32">#REF!</definedName>
    <definedName name="revised">#REF!</definedName>
    <definedName name="RFormula" localSheetId="7">#REF!</definedName>
    <definedName name="RFormula" localSheetId="32">#REF!</definedName>
    <definedName name="RFormula">#REF!</definedName>
    <definedName name="Rls8_Req_list" localSheetId="7">#REF!</definedName>
    <definedName name="Rls8_Req_list" localSheetId="32">#REF!</definedName>
    <definedName name="Rls8_Req_list">#REF!</definedName>
    <definedName name="RMB">[64]Data!$D$10</definedName>
    <definedName name="RMBCD" hidden="1">[65]sti!$B$543:$I$570</definedName>
    <definedName name="ROADWORKS">'[27]BOQ Distribution'!$A$5:$G$24</definedName>
    <definedName name="RowDetails1" localSheetId="7">#REF!</definedName>
    <definedName name="RowDetails1" localSheetId="32">#REF!</definedName>
    <definedName name="RowDetails1">#REF!</definedName>
    <definedName name="RRR" localSheetId="7" hidden="1">{"FTS",#N/A,FALSE,"E"}</definedName>
    <definedName name="RRR" hidden="1">{"FTS",#N/A,FALSE,"E"}</definedName>
    <definedName name="RRRR" localSheetId="7" hidden="1">{"CASH FLOW",#N/A,FALSE,"A"}</definedName>
    <definedName name="RRRR" hidden="1">{"CASH FLOW",#N/A,FALSE,"A"}</definedName>
    <definedName name="RSP" localSheetId="7">#REF!</definedName>
    <definedName name="RSP" localSheetId="32">#REF!</definedName>
    <definedName name="RSP">#REF!</definedName>
    <definedName name="rsu" localSheetId="7">#REF!</definedName>
    <definedName name="rsu" localSheetId="32">#REF!</definedName>
    <definedName name="rsu">#REF!</definedName>
    <definedName name="RSU0" localSheetId="7">#REF!</definedName>
    <definedName name="RSU0" localSheetId="32">#REF!</definedName>
    <definedName name="RSU0">#REF!</definedName>
    <definedName name="RSU00" localSheetId="7">#REF!</definedName>
    <definedName name="RSU00" localSheetId="32">#REF!</definedName>
    <definedName name="RSU00">#REF!</definedName>
    <definedName name="RT" localSheetId="7">#REF!</definedName>
    <definedName name="RT" localSheetId="32">#REF!</definedName>
    <definedName name="RT">#REF!</definedName>
    <definedName name="rty"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s" localSheetId="7" hidden="1">{"FTS",#N/A,FALSE,"E"}</definedName>
    <definedName name="s" hidden="1">{"FTS",#N/A,FALSE,"E"}</definedName>
    <definedName name="s_6" localSheetId="7">#REF!</definedName>
    <definedName name="s_6" localSheetId="32">#REF!</definedName>
    <definedName name="s_6">#REF!</definedName>
    <definedName name="sa" localSheetId="7">#REF!</definedName>
    <definedName name="sa" localSheetId="32">#REF!</definedName>
    <definedName name="sa" localSheetId="26">#REF!</definedName>
    <definedName name="sa">#REF!</definedName>
    <definedName name="saa" localSheetId="7">#REF!</definedName>
    <definedName name="saa" localSheetId="32">#REF!</definedName>
    <definedName name="saa" localSheetId="26">#REF!</definedName>
    <definedName name="saa">#REF!</definedName>
    <definedName name="saaa" localSheetId="7">#REF!</definedName>
    <definedName name="saaa" localSheetId="32">#REF!</definedName>
    <definedName name="saaa" localSheetId="26">#REF!</definedName>
    <definedName name="saaa">#REF!</definedName>
    <definedName name="saaas" localSheetId="7" hidden="1">{"PLANNING",#N/A,FALSE,"A"}</definedName>
    <definedName name="saaas" hidden="1">{"PLANNING",#N/A,FALSE,"A"}</definedName>
    <definedName name="sal" localSheetId="7" hidden="1">{"CASH FLOW",#N/A,FALSE,"A"}</definedName>
    <definedName name="sal" hidden="1">{"CASH FLOW",#N/A,FALSE,"A"}</definedName>
    <definedName name="Salaries" localSheetId="7">#REF!</definedName>
    <definedName name="Salaries" localSheetId="32">#REF!</definedName>
    <definedName name="Salaries">#REF!</definedName>
    <definedName name="Salary" localSheetId="7">#REF!</definedName>
    <definedName name="Salary" localSheetId="32">#REF!</definedName>
    <definedName name="Salary">#REF!</definedName>
    <definedName name="SALES" localSheetId="7">#REF!</definedName>
    <definedName name="SALES" localSheetId="32">#REF!</definedName>
    <definedName name="SALES">#REF!</definedName>
    <definedName name="sam" localSheetId="7" hidden="1">{"PLANT BREAKUP",#N/A,FALSE,"E"}</definedName>
    <definedName name="sam" hidden="1">{"PLANT BREAKUP",#N/A,FALSE,"E"}</definedName>
    <definedName name="Samp_TM_Exp_Diff" localSheetId="7">'[37]Non-Statistical Sampling'!#REF!</definedName>
    <definedName name="Samp_TM_Exp_Diff" localSheetId="32">'[37]Non-Statistical Sampling'!#REF!</definedName>
    <definedName name="Samp_TM_Exp_Diff" localSheetId="26">'[37]Non-Statistical Sampling'!#REF!</definedName>
    <definedName name="Samp_TM_Exp_Diff">'[37]Non-Statistical Sampling'!#REF!</definedName>
    <definedName name="SAND" localSheetId="7">'[24]#REF'!#REF!</definedName>
    <definedName name="SAND" localSheetId="32">'[24]#REF'!#REF!</definedName>
    <definedName name="SAND">'[24]#REF'!#REF!</definedName>
    <definedName name="SBI_Apr06" localSheetId="7">[66]GLED!$A$1:$K$35</definedName>
    <definedName name="SBI_Apr06">[66]GLED!$A$1:$K$35</definedName>
    <definedName name="SCH_5" localSheetId="7">#REF!</definedName>
    <definedName name="SCH_5" localSheetId="32">#REF!</definedName>
    <definedName name="SCH_5">#REF!</definedName>
    <definedName name="sche" localSheetId="7">#REF!</definedName>
    <definedName name="sche" localSheetId="32">#REF!</definedName>
    <definedName name="sche">#REF!</definedName>
    <definedName name="sdate" localSheetId="7">#REF!</definedName>
    <definedName name="sdate" localSheetId="32">#REF!</definedName>
    <definedName name="sdate">#REF!</definedName>
    <definedName name="SDCS" hidden="1">{#N/A,#N/A,TRUE,"Staffnos &amp; cost"}</definedName>
    <definedName name="sec" localSheetId="7">#REF!</definedName>
    <definedName name="sec" localSheetId="32">#REF!</definedName>
    <definedName name="sec">#REF!</definedName>
    <definedName name="Second" localSheetId="7">[45]Int.!#REF!,[45]Int.!#REF!,[45]Int.!#REF!,[45]Int.!#REF!</definedName>
    <definedName name="Second" localSheetId="32">[45]Int.!#REF!,[45]Int.!#REF!,[45]Int.!#REF!,[45]Int.!#REF!</definedName>
    <definedName name="Second">[45]Int.!#REF!,[45]Int.!#REF!,[45]Int.!#REF!,[45]Int.!#REF!</definedName>
    <definedName name="section" localSheetId="7">[67]manager!$F$3</definedName>
    <definedName name="section">[67]manager!$F$3</definedName>
    <definedName name="Section1" localSheetId="7">#REF!</definedName>
    <definedName name="Section1" localSheetId="32">#REF!</definedName>
    <definedName name="Section1">#REF!</definedName>
    <definedName name="Section10" localSheetId="7">#REF!</definedName>
    <definedName name="Section10" localSheetId="32">#REF!</definedName>
    <definedName name="Section10">#REF!</definedName>
    <definedName name="Section11" localSheetId="7">#REF!</definedName>
    <definedName name="Section11" localSheetId="32">#REF!</definedName>
    <definedName name="Section11">#REF!</definedName>
    <definedName name="Section12" localSheetId="7">#REF!</definedName>
    <definedName name="Section12" localSheetId="32">#REF!</definedName>
    <definedName name="Section12">#REF!</definedName>
    <definedName name="Section13" localSheetId="7">#REF!</definedName>
    <definedName name="Section13" localSheetId="32">#REF!</definedName>
    <definedName name="Section13">#REF!</definedName>
    <definedName name="Section14" localSheetId="7">#REF!</definedName>
    <definedName name="Section14" localSheetId="32">#REF!</definedName>
    <definedName name="Section14">#REF!</definedName>
    <definedName name="Section2" localSheetId="7">#REF!</definedName>
    <definedName name="Section2" localSheetId="32">#REF!</definedName>
    <definedName name="Section2">#REF!</definedName>
    <definedName name="Section3" localSheetId="7">#REF!</definedName>
    <definedName name="Section3" localSheetId="32">#REF!</definedName>
    <definedName name="Section3">#REF!</definedName>
    <definedName name="Section4" localSheetId="7">#REF!</definedName>
    <definedName name="Section4" localSheetId="32">#REF!</definedName>
    <definedName name="Section4">#REF!</definedName>
    <definedName name="Section5" localSheetId="7">#REF!</definedName>
    <definedName name="Section5" localSheetId="32">#REF!</definedName>
    <definedName name="Section5">#REF!</definedName>
    <definedName name="Section6" localSheetId="7">#REF!</definedName>
    <definedName name="Section6" localSheetId="32">#REF!</definedName>
    <definedName name="Section6">#REF!</definedName>
    <definedName name="Section7" localSheetId="7">#REF!</definedName>
    <definedName name="Section7" localSheetId="32">#REF!</definedName>
    <definedName name="Section7">#REF!</definedName>
    <definedName name="Section8" localSheetId="7">#REF!</definedName>
    <definedName name="Section8" localSheetId="32">#REF!</definedName>
    <definedName name="Section8">#REF!</definedName>
    <definedName name="Section9" localSheetId="7">#REF!</definedName>
    <definedName name="Section9" localSheetId="32">#REF!</definedName>
    <definedName name="Section9">#REF!</definedName>
    <definedName name="sectionB" localSheetId="7">#REF!</definedName>
    <definedName name="sectionB" localSheetId="32">#REF!</definedName>
    <definedName name="sectionB">#REF!</definedName>
    <definedName name="sectionC" localSheetId="7">#REF!</definedName>
    <definedName name="sectionC" localSheetId="32">#REF!</definedName>
    <definedName name="sectionC">#REF!</definedName>
    <definedName name="sectionD" localSheetId="7">#REF!</definedName>
    <definedName name="sectionD" localSheetId="32">#REF!</definedName>
    <definedName name="sectionD">#REF!</definedName>
    <definedName name="sectionE" localSheetId="7">#REF!</definedName>
    <definedName name="sectionE" localSheetId="32">#REF!</definedName>
    <definedName name="sectionE">#REF!</definedName>
    <definedName name="sectionF" localSheetId="7">#REF!</definedName>
    <definedName name="sectionF" localSheetId="32">#REF!</definedName>
    <definedName name="sectionF">#REF!</definedName>
    <definedName name="sectionG" localSheetId="7">#REF!</definedName>
    <definedName name="sectionG" localSheetId="32">#REF!</definedName>
    <definedName name="sectionG">#REF!</definedName>
    <definedName name="sectionH" localSheetId="7">#REF!</definedName>
    <definedName name="sectionH" localSheetId="32">#REF!</definedName>
    <definedName name="sectionH">#REF!</definedName>
    <definedName name="sectionJ" localSheetId="7">#REF!</definedName>
    <definedName name="sectionJ" localSheetId="32">#REF!</definedName>
    <definedName name="sectionJ">#REF!</definedName>
    <definedName name="sectionK" localSheetId="7">#REF!</definedName>
    <definedName name="sectionK" localSheetId="32">#REF!</definedName>
    <definedName name="sectionK">#REF!</definedName>
    <definedName name="sectionM" localSheetId="7">#REF!</definedName>
    <definedName name="sectionM" localSheetId="32">#REF!</definedName>
    <definedName name="sectionM">#REF!</definedName>
    <definedName name="sectionO" localSheetId="7">#REF!</definedName>
    <definedName name="sectionO" localSheetId="32">#REF!</definedName>
    <definedName name="sectionO">#REF!</definedName>
    <definedName name="sencount" hidden="1">1</definedName>
    <definedName name="ser" localSheetId="7">#REF!</definedName>
    <definedName name="ser" localSheetId="32">#REF!</definedName>
    <definedName name="ser">#REF!</definedName>
    <definedName name="ser_fac" localSheetId="7">#REF!</definedName>
    <definedName name="ser_fac" localSheetId="32">#REF!</definedName>
    <definedName name="ser_fac">#REF!</definedName>
    <definedName name="sertm" localSheetId="7">#REF!</definedName>
    <definedName name="sertm" localSheetId="32">#REF!</definedName>
    <definedName name="sertm">#REF!</definedName>
    <definedName name="sertm1" localSheetId="7">#REF!</definedName>
    <definedName name="sertm1" localSheetId="32">#REF!</definedName>
    <definedName name="sertm1">#REF!</definedName>
    <definedName name="Service_Price_Column" localSheetId="7">#REF!</definedName>
    <definedName name="Service_Price_Column" localSheetId="32">#REF!</definedName>
    <definedName name="Service_Price_Column">#REF!</definedName>
    <definedName name="SFormula" localSheetId="7">#REF!</definedName>
    <definedName name="SFormula" localSheetId="32">#REF!</definedName>
    <definedName name="SFormula">#REF!</definedName>
    <definedName name="SHARED_FORMULA_0">#N/A</definedName>
    <definedName name="SHARED_FORMULA_1">#N/A</definedName>
    <definedName name="SHARED_FORMULA_1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IGNING" localSheetId="7">#REF!</definedName>
    <definedName name="SIGNING" localSheetId="32">#REF!</definedName>
    <definedName name="SIGNING">#REF!</definedName>
    <definedName name="SITE_1" localSheetId="7">#REF!</definedName>
    <definedName name="SITE_1" localSheetId="32">#REF!</definedName>
    <definedName name="SITE_1">#REF!</definedName>
    <definedName name="SITENAMES" localSheetId="7">#REF!</definedName>
    <definedName name="SITENAMES" localSheetId="32">#REF!</definedName>
    <definedName name="SITENAMES">#REF!</definedName>
    <definedName name="sjhsl" localSheetId="7" hidden="1">{"form-D1",#N/A,FALSE,"FORM-D1";"form-D1_amt",#N/A,FALSE,"FORM-D1"}</definedName>
    <definedName name="sjhsl" hidden="1">{"form-D1",#N/A,FALSE,"FORM-D1";"form-D1_amt",#N/A,FALSE,"FORM-D1"}</definedName>
    <definedName name="slca" localSheetId="7">#REF!</definedName>
    <definedName name="slca" localSheetId="32">#REF!</definedName>
    <definedName name="slca">#REF!</definedName>
    <definedName name="slcd" localSheetId="7">#REF!</definedName>
    <definedName name="slcd" localSheetId="32">#REF!</definedName>
    <definedName name="slcd">#REF!</definedName>
    <definedName name="SM" localSheetId="7">#REF!</definedName>
    <definedName name="SM" localSheetId="32">#REF!</definedName>
    <definedName name="SM">#REF!</definedName>
    <definedName name="sm_dms" localSheetId="7">#REF!</definedName>
    <definedName name="sm_dms" localSheetId="32">#REF!</definedName>
    <definedName name="sm_dms">#REF!</definedName>
    <definedName name="sm_sx" localSheetId="7">#REF!</definedName>
    <definedName name="sm_sx" localSheetId="32">#REF!</definedName>
    <definedName name="sm_sx">#REF!</definedName>
    <definedName name="SN" localSheetId="7" hidden="1">{#N/A,#N/A,FALSE,"MODULE3"}</definedName>
    <definedName name="SN" hidden="1">{#N/A,#N/A,FALSE,"MODULE3"}</definedName>
    <definedName name="so" localSheetId="7">#REF!</definedName>
    <definedName name="so" localSheetId="32">#REF!</definedName>
    <definedName name="so">#REF!</definedName>
    <definedName name="SOD" localSheetId="7">[41]Depreciation!#REF!</definedName>
    <definedName name="SOD" localSheetId="32">[41]Depreciation!#REF!</definedName>
    <definedName name="SOD">[41]Depreciation!#REF!</definedName>
    <definedName name="SOF" localSheetId="7">#REF!</definedName>
    <definedName name="SOF" localSheetId="32">#REF!</definedName>
    <definedName name="SOF">#REF!</definedName>
    <definedName name="solver_adj" localSheetId="7" hidden="1">'[22]IS Mo'!#REF!</definedName>
    <definedName name="solver_adj" localSheetId="32" hidden="1">'[22]IS Mo'!#REF!</definedName>
    <definedName name="solver_adj" hidden="1">'[22]IS Mo'!#REF!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7" hidden="1">'[22]IS Mo'!#REF!</definedName>
    <definedName name="solver_opt" localSheetId="32" hidden="1">'[22]IS Mo'!#REF!</definedName>
    <definedName name="solver_opt" hidden="1">'[22]IS Mo'!#REF!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definedName>
    <definedName name="spcnl" localSheetId="7">#REF!</definedName>
    <definedName name="spcnl" localSheetId="32">#REF!</definedName>
    <definedName name="spcnl">#REF!</definedName>
    <definedName name="SPEC" localSheetId="7">#REF!</definedName>
    <definedName name="SPEC" localSheetId="32">#REF!</definedName>
    <definedName name="SPEC">#REF!</definedName>
    <definedName name="SpecialPrice" localSheetId="7" hidden="1">#REF!</definedName>
    <definedName name="SpecialPrice" localSheetId="32" hidden="1">#REF!</definedName>
    <definedName name="SpecialPrice" localSheetId="26" hidden="1">#REF!</definedName>
    <definedName name="SpecialPrice" hidden="1">#REF!</definedName>
    <definedName name="Split_CC" localSheetId="7">#REF!</definedName>
    <definedName name="Split_CC" localSheetId="32">#REF!</definedName>
    <definedName name="Split_CC">#REF!</definedName>
    <definedName name="Split_CI" localSheetId="7">#REF!</definedName>
    <definedName name="Split_CI" localSheetId="32">#REF!</definedName>
    <definedName name="Split_CI">#REF!</definedName>
    <definedName name="Split_CP" localSheetId="7">#REF!</definedName>
    <definedName name="Split_CP" localSheetId="32">#REF!</definedName>
    <definedName name="Split_CP">#REF!</definedName>
    <definedName name="Split_NC" localSheetId="7">#REF!</definedName>
    <definedName name="Split_NC" localSheetId="32">#REF!</definedName>
    <definedName name="Split_NC">#REF!</definedName>
    <definedName name="Split_NI" localSheetId="7">#REF!</definedName>
    <definedName name="Split_NI" localSheetId="32">#REF!</definedName>
    <definedName name="Split_NI">#REF!</definedName>
    <definedName name="Split_NP" localSheetId="7">#REF!</definedName>
    <definedName name="Split_NP" localSheetId="32">#REF!</definedName>
    <definedName name="Split_NP">#REF!</definedName>
    <definedName name="SQABalSheetSummary" localSheetId="7">#REF!</definedName>
    <definedName name="SQABalSheetSummary" localSheetId="32">#REF!</definedName>
    <definedName name="SQABalSheetSummary">#REF!</definedName>
    <definedName name="SQAPandLSummary" localSheetId="7">#REF!</definedName>
    <definedName name="SQAPandLSummary" localSheetId="32">#REF!</definedName>
    <definedName name="SQAPandLSummary">#REF!</definedName>
    <definedName name="SQAWorksheet1" localSheetId="7">#REF!</definedName>
    <definedName name="SQAWorksheet1" localSheetId="32">#REF!</definedName>
    <definedName name="SQAWorksheet1">#REF!</definedName>
    <definedName name="SQAWorksheet2" localSheetId="7">#REF!</definedName>
    <definedName name="SQAWorksheet2" localSheetId="32">#REF!</definedName>
    <definedName name="SQAWorksheet2">#REF!</definedName>
    <definedName name="SQAWorksheet3" localSheetId="7">#REF!</definedName>
    <definedName name="SQAWorksheet3" localSheetId="32">#REF!</definedName>
    <definedName name="SQAWorksheet3">#REF!</definedName>
    <definedName name="ss" localSheetId="7">'[5]PL PBC'!#REF!</definedName>
    <definedName name="ss" localSheetId="32">'[5]PL PBC'!#REF!</definedName>
    <definedName name="ss" localSheetId="26">'[5]PL PBC'!#REF!</definedName>
    <definedName name="ss">'[5]PL PBC'!#REF!</definedName>
    <definedName name="ss7_perform" localSheetId="7">#REF!</definedName>
    <definedName name="ss7_perform" localSheetId="32">#REF!</definedName>
    <definedName name="ss7_perform">#REF!</definedName>
    <definedName name="SSC" localSheetId="7">#REF!</definedName>
    <definedName name="SSC" localSheetId="32">#REF!</definedName>
    <definedName name="SSC">#REF!</definedName>
    <definedName name="sshhet2" localSheetId="7" hidden="1">{#N/A,#N/A,FALSE,"MODULE3"}</definedName>
    <definedName name="sshhet2" hidden="1">{#N/A,#N/A,FALSE,"MODULE3"}</definedName>
    <definedName name="SSPs" localSheetId="7">#REF!</definedName>
    <definedName name="SSPs" localSheetId="32">#REF!</definedName>
    <definedName name="SSPs">#REF!</definedName>
    <definedName name="SSS" localSheetId="7" hidden="1">{"PLANT BREAKUP",#N/A,FALSE,"E"}</definedName>
    <definedName name="SSS" hidden="1">{"PLANT BREAKUP",#N/A,FALSE,"E"}</definedName>
    <definedName name="ssss" localSheetId="7">#REF!</definedName>
    <definedName name="ssss" localSheetId="32">#REF!</definedName>
    <definedName name="ssss" localSheetId="26">#REF!</definedName>
    <definedName name="ssss">#REF!</definedName>
    <definedName name="SSSSS" localSheetId="7" hidden="1">{#N/A,#N/A,TRUE,"Cover sheet";#N/A,#N/A,TRUE,"Summary";#N/A,#N/A,TRUE,"Key Assumptions";#N/A,#N/A,TRUE,"Profit &amp; Loss";#N/A,#N/A,TRUE,"Balance Sheet";#N/A,#N/A,TRUE,"Cashflow";#N/A,#N/A,TRUE,"IRR";#N/A,#N/A,TRUE,"Ratios";#N/A,#N/A,TRUE,"Debt analysis"}</definedName>
    <definedName name="SSSSS" hidden="1">{#N/A,#N/A,TRUE,"Cover sheet";#N/A,#N/A,TRUE,"Summary";#N/A,#N/A,TRUE,"Key Assumptions";#N/A,#N/A,TRUE,"Profit &amp; Loss";#N/A,#N/A,TRUE,"Balance Sheet";#N/A,#N/A,TRUE,"Cashflow";#N/A,#N/A,TRUE,"IRR";#N/A,#N/A,TRUE,"Ratios";#N/A,#N/A,TRUE,"Debt analysis"}</definedName>
    <definedName name="statemen" localSheetId="7">#REF!</definedName>
    <definedName name="statemen" localSheetId="32">#REF!</definedName>
    <definedName name="statemen">#REF!</definedName>
    <definedName name="Statement" localSheetId="7">#REF!</definedName>
    <definedName name="Statement" localSheetId="32">#REF!</definedName>
    <definedName name="Statement">#REF!</definedName>
    <definedName name="Statementofchangeinequity" localSheetId="7">#REF!</definedName>
    <definedName name="Statementofchangeinequity" localSheetId="32">#REF!</definedName>
    <definedName name="Statementofchangeinequity">#REF!</definedName>
    <definedName name="Statementofchangesinequity" localSheetId="7">#REF!</definedName>
    <definedName name="Statementofchangesinequity" localSheetId="32">#REF!</definedName>
    <definedName name="Statementofchangesinequity">#REF!</definedName>
    <definedName name="statements" localSheetId="7">#REF!</definedName>
    <definedName name="statements" localSheetId="32">#REF!</definedName>
    <definedName name="statements">#REF!</definedName>
    <definedName name="stdtm" localSheetId="7">#REF!</definedName>
    <definedName name="stdtm" localSheetId="32">#REF!</definedName>
    <definedName name="stdtm">#REF!</definedName>
    <definedName name="stdtm1" localSheetId="7">#REF!</definedName>
    <definedName name="stdtm1" localSheetId="32">#REF!</definedName>
    <definedName name="stdtm1">#REF!</definedName>
    <definedName name="stef" localSheetId="7" hidden="1">{#N/A,#N/A,TRUE,"Cover sheet";#N/A,#N/A,TRUE,"Summary";#N/A,#N/A,TRUE,"Key Assumptions";#N/A,#N/A,TRUE,"Profit &amp; Loss";#N/A,#N/A,TRUE,"Balance Sheet";#N/A,#N/A,TRUE,"Cashflow";#N/A,#N/A,TRUE,"IRR";#N/A,#N/A,TRUE,"Ratios";#N/A,#N/A,TRUE,"Debt analysis"}</definedName>
    <definedName name="stef" hidden="1">{#N/A,#N/A,TRUE,"Cover sheet";#N/A,#N/A,TRUE,"Summary";#N/A,#N/A,TRUE,"Key Assumptions";#N/A,#N/A,TRUE,"Profit &amp; Loss";#N/A,#N/A,TRUE,"Balance Sheet";#N/A,#N/A,TRUE,"Cashflow";#N/A,#N/A,TRUE,"IRR";#N/A,#N/A,TRUE,"Ratios";#N/A,#N/A,TRUE,"Debt analysis"}</definedName>
    <definedName name="STIF" hidden="1">[12]B!$B$70:$I$72</definedName>
    <definedName name="stmi_fac" localSheetId="7">#REF!</definedName>
    <definedName name="stmi_fac" localSheetId="32">#REF!</definedName>
    <definedName name="stmi_fac">#REF!</definedName>
    <definedName name="stmirest" localSheetId="7">#REF!</definedName>
    <definedName name="stmirest" localSheetId="32">#REF!</definedName>
    <definedName name="stmirest">#REF!</definedName>
    <definedName name="Stocks" localSheetId="7">#REF!</definedName>
    <definedName name="Stocks" localSheetId="32">#REF!</definedName>
    <definedName name="Stocks">#REF!</definedName>
    <definedName name="STPs" localSheetId="7">#REF!</definedName>
    <definedName name="STPs" localSheetId="32">#REF!</definedName>
    <definedName name="STPs">#REF!</definedName>
    <definedName name="Strat_1_Def" localSheetId="7">'[37]Non-Statistical Sampling'!#REF!</definedName>
    <definedName name="Strat_1_Def" localSheetId="32">'[37]Non-Statistical Sampling'!#REF!</definedName>
    <definedName name="Strat_1_Def" localSheetId="26">'[37]Non-Statistical Sampling'!#REF!</definedName>
    <definedName name="Strat_1_Def">'[37]Non-Statistical Sampling'!#REF!</definedName>
    <definedName name="Strat_1_It" localSheetId="7">'[37]Non-Statistical Sampling'!#REF!</definedName>
    <definedName name="Strat_1_It" localSheetId="32">'[37]Non-Statistical Sampling'!#REF!</definedName>
    <definedName name="Strat_1_It" localSheetId="26">'[37]Non-Statistical Sampling'!#REF!</definedName>
    <definedName name="Strat_1_It">'[37]Non-Statistical Sampling'!#REF!</definedName>
    <definedName name="Strat_1_T" localSheetId="7">'[37]Non-Statistical Sampling'!#REF!</definedName>
    <definedName name="Strat_1_T" localSheetId="32">'[37]Non-Statistical Sampling'!#REF!</definedName>
    <definedName name="Strat_1_T" localSheetId="26">'[37]Non-Statistical Sampling'!#REF!</definedName>
    <definedName name="Strat_1_T">'[37]Non-Statistical Sampling'!#REF!</definedName>
    <definedName name="Strat_2_Def" localSheetId="7">'[37]Non-Statistical Sampling'!#REF!</definedName>
    <definedName name="Strat_2_Def" localSheetId="32">'[37]Non-Statistical Sampling'!#REF!</definedName>
    <definedName name="Strat_2_Def" localSheetId="26">'[37]Non-Statistical Sampling'!#REF!</definedName>
    <definedName name="Strat_2_Def">'[37]Non-Statistical Sampling'!#REF!</definedName>
    <definedName name="Strat_2_It" localSheetId="7">'[37]Non-Statistical Sampling'!#REF!</definedName>
    <definedName name="Strat_2_It" localSheetId="32">'[37]Non-Statistical Sampling'!#REF!</definedName>
    <definedName name="Strat_2_It" localSheetId="26">'[37]Non-Statistical Sampling'!#REF!</definedName>
    <definedName name="Strat_2_It">'[37]Non-Statistical Sampling'!#REF!</definedName>
    <definedName name="Strat_2_T" localSheetId="7">'[37]Non-Statistical Sampling'!#REF!</definedName>
    <definedName name="Strat_2_T" localSheetId="32">'[37]Non-Statistical Sampling'!#REF!</definedName>
    <definedName name="Strat_2_T" localSheetId="26">'[37]Non-Statistical Sampling'!#REF!</definedName>
    <definedName name="Strat_2_T">'[37]Non-Statistical Sampling'!#REF!</definedName>
    <definedName name="Strat_Def" localSheetId="7">'[37]Non-Statistical Sampling'!#REF!</definedName>
    <definedName name="Strat_Def" localSheetId="32">'[37]Non-Statistical Sampling'!#REF!</definedName>
    <definedName name="Strat_Def" localSheetId="26">'[37]Non-Statistical Sampling'!#REF!</definedName>
    <definedName name="Strat_Def">'[37]Non-Statistical Sampling'!#REF!</definedName>
    <definedName name="Strat_T_It" localSheetId="7">'[37]Non-Statistical Sampling'!#REF!</definedName>
    <definedName name="Strat_T_It" localSheetId="32">'[37]Non-Statistical Sampling'!#REF!</definedName>
    <definedName name="Strat_T_It" localSheetId="26">'[37]Non-Statistical Sampling'!#REF!</definedName>
    <definedName name="Strat_T_It">'[37]Non-Statistical Sampling'!#REF!</definedName>
    <definedName name="Strat_T_T" localSheetId="7">'[37]Non-Statistical Sampling'!#REF!</definedName>
    <definedName name="Strat_T_T" localSheetId="32">'[37]Non-Statistical Sampling'!#REF!</definedName>
    <definedName name="Strat_T_T" localSheetId="26">'[37]Non-Statistical Sampling'!#REF!</definedName>
    <definedName name="Strat_T_T">'[37]Non-Statistical Sampling'!#REF!</definedName>
    <definedName name="Strategy_Sheet_Template_xlt_Strategy_Sheet_List" localSheetId="7">#REF!</definedName>
    <definedName name="Strategy_Sheet_Template_xlt_Strategy_Sheet_List" localSheetId="32">#REF!</definedName>
    <definedName name="Strategy_Sheet_Template_xlt_Strategy_Sheet_List">#REF!</definedName>
    <definedName name="su" localSheetId="7">#REF!</definedName>
    <definedName name="su" localSheetId="32">#REF!</definedName>
    <definedName name="su">#REF!</definedName>
    <definedName name="SU_AD16" localSheetId="7">#REF!</definedName>
    <definedName name="SU_AD16" localSheetId="32">#REF!</definedName>
    <definedName name="SU_AD16">#REF!</definedName>
    <definedName name="SUBFINAL" localSheetId="7">#REF!</definedName>
    <definedName name="SUBFINAL" localSheetId="32">#REF!</definedName>
    <definedName name="SUBFINAL" localSheetId="26">#REF!</definedName>
    <definedName name="SUBFINAL">#REF!</definedName>
    <definedName name="SUBS" localSheetId="7">#REF!</definedName>
    <definedName name="SUBS" localSheetId="32">#REF!</definedName>
    <definedName name="SUBS">#REF!</definedName>
    <definedName name="Subscribers" localSheetId="7">#REF!</definedName>
    <definedName name="Subscribers" localSheetId="32">#REF!</definedName>
    <definedName name="Subscribers">#REF!</definedName>
    <definedName name="Subsidio" localSheetId="7">#REF!</definedName>
    <definedName name="Subsidio" localSheetId="32">#REF!</definedName>
    <definedName name="Subsidio">#REF!</definedName>
    <definedName name="subspv" localSheetId="7">#REF!</definedName>
    <definedName name="subspv" localSheetId="32">#REF!</definedName>
    <definedName name="subspv">#REF!</definedName>
    <definedName name="subtotal" localSheetId="7">#REF!</definedName>
    <definedName name="subtotal" localSheetId="32">#REF!</definedName>
    <definedName name="subtotal">#REF!</definedName>
    <definedName name="SUMA1" localSheetId="7">#REF!</definedName>
    <definedName name="SUMA1" localSheetId="32">#REF!</definedName>
    <definedName name="SUMA1">#REF!</definedName>
    <definedName name="SUMA2" localSheetId="7">#REF!</definedName>
    <definedName name="SUMA2" localSheetId="32">#REF!</definedName>
    <definedName name="SUMA2">#REF!</definedName>
    <definedName name="SUMA3" localSheetId="7">#REF!</definedName>
    <definedName name="SUMA3" localSheetId="32">#REF!</definedName>
    <definedName name="SUMA3">#REF!</definedName>
    <definedName name="SUMA4" localSheetId="7">#REF!</definedName>
    <definedName name="SUMA4" localSheetId="32">#REF!</definedName>
    <definedName name="SUMA4">#REF!</definedName>
    <definedName name="SUMA5" localSheetId="7">#REF!</definedName>
    <definedName name="SUMA5" localSheetId="32">#REF!</definedName>
    <definedName name="SUMA5">#REF!</definedName>
    <definedName name="SUMA6" localSheetId="7">#REF!</definedName>
    <definedName name="SUMA6" localSheetId="32">#REF!</definedName>
    <definedName name="SUMA6">#REF!</definedName>
    <definedName name="SummaryFinancialsbyProduct" localSheetId="7">#REF!</definedName>
    <definedName name="SummaryFinancialsbyProduct" localSheetId="32">#REF!</definedName>
    <definedName name="SummaryFinancialsbyProduct">#REF!</definedName>
    <definedName name="sun" localSheetId="7">#REF!</definedName>
    <definedName name="sun" localSheetId="32">#REF!</definedName>
    <definedName name="sun">#REF!</definedName>
    <definedName name="sunil" localSheetId="7">#REF!</definedName>
    <definedName name="sunil" localSheetId="32">#REF!</definedName>
    <definedName name="sunil">#REF!</definedName>
    <definedName name="SURENDRA" localSheetId="7">#REF!</definedName>
    <definedName name="SURENDRA" localSheetId="32">#REF!</definedName>
    <definedName name="SURENDRA" localSheetId="26">#REF!</definedName>
    <definedName name="SURENDRA">#REF!</definedName>
    <definedName name="SURENDRA1" localSheetId="7">#REF!</definedName>
    <definedName name="SURENDRA1" localSheetId="32">#REF!</definedName>
    <definedName name="SURENDRA1" localSheetId="26">#REF!</definedName>
    <definedName name="SURENDRA1">#REF!</definedName>
    <definedName name="sw" localSheetId="7">#REF!</definedName>
    <definedName name="sw" localSheetId="32">#REF!</definedName>
    <definedName name="sw">#REF!</definedName>
    <definedName name="SW_DISC" localSheetId="7">#REF!</definedName>
    <definedName name="SW_DISC" localSheetId="32">#REF!</definedName>
    <definedName name="SW_DISC">#REF!</definedName>
    <definedName name="SW_OPS_autoFP1" localSheetId="7">#REF!</definedName>
    <definedName name="SW_OPS_autoFP1" localSheetId="32">#REF!</definedName>
    <definedName name="SW_OPS_autoFP1">#REF!</definedName>
    <definedName name="SW_OPS_automation" localSheetId="7">#REF!</definedName>
    <definedName name="SW_OPS_automation" localSheetId="32">#REF!</definedName>
    <definedName name="SW_OPS_automation">#REF!</definedName>
    <definedName name="swdsl" localSheetId="7">#REF!</definedName>
    <definedName name="swdsl" localSheetId="32">#REF!</definedName>
    <definedName name="swdsl">#REF!</definedName>
    <definedName name="swerx" localSheetId="7">#REF!</definedName>
    <definedName name="swerx" localSheetId="32">#REF!</definedName>
    <definedName name="swerx">#REF!</definedName>
    <definedName name="switch_mgmt" localSheetId="7">#REF!</definedName>
    <definedName name="switch_mgmt" localSheetId="32">#REF!</definedName>
    <definedName name="switch_mgmt">#REF!</definedName>
    <definedName name="Switch_RTU" localSheetId="7">#REF!</definedName>
    <definedName name="Switch_RTU" localSheetId="32">#REF!</definedName>
    <definedName name="Switch_RTU">#REF!</definedName>
    <definedName name="Switch_Types" localSheetId="7">#REF!</definedName>
    <definedName name="Switch_Types" localSheetId="32">#REF!</definedName>
    <definedName name="Switch_Types">#REF!</definedName>
    <definedName name="Switches" localSheetId="7">#REF!</definedName>
    <definedName name="Switches" localSheetId="32">#REF!</definedName>
    <definedName name="Switches">#REF!</definedName>
    <definedName name="switchfillers" localSheetId="7">#REF!</definedName>
    <definedName name="switchfillers" localSheetId="32">#REF!</definedName>
    <definedName name="switchfillers">#REF!</definedName>
    <definedName name="SWMods" localSheetId="7">#REF!</definedName>
    <definedName name="SWMods" localSheetId="32">#REF!</definedName>
    <definedName name="SWMods">#REF!</definedName>
    <definedName name="sws" localSheetId="7">#REF!</definedName>
    <definedName name="sws" localSheetId="32">#REF!</definedName>
    <definedName name="sws">#REF!</definedName>
    <definedName name="swssc" localSheetId="7">#REF!</definedName>
    <definedName name="swssc" localSheetId="32">#REF!</definedName>
    <definedName name="swssc">#REF!</definedName>
    <definedName name="syp" localSheetId="7">#REF!</definedName>
    <definedName name="syp" localSheetId="32">#REF!</definedName>
    <definedName name="syp">#REF!</definedName>
    <definedName name="System_X" localSheetId="7">#REF!</definedName>
    <definedName name="System_X" localSheetId="32">#REF!</definedName>
    <definedName name="System_X">#REF!</definedName>
    <definedName name="SysX" localSheetId="7">#REF!</definedName>
    <definedName name="SysX" localSheetId="32">#REF!</definedName>
    <definedName name="SysX">#REF!</definedName>
    <definedName name="T" localSheetId="7" hidden="1">{"PLANT BREAKUP",#N/A,FALSE,"E"}</definedName>
    <definedName name="T" hidden="1">{"PLANT BREAKUP",#N/A,FALSE,"E"}</definedName>
    <definedName name="Tabla" localSheetId="7">#REF!</definedName>
    <definedName name="Tabla" localSheetId="32">#REF!</definedName>
    <definedName name="Tabla">#REF!</definedName>
    <definedName name="TABLAS" localSheetId="7">#REF!</definedName>
    <definedName name="TABLAS" localSheetId="32">#REF!</definedName>
    <definedName name="TABLAS">#REF!</definedName>
    <definedName name="tac_crx" localSheetId="7">#REF!</definedName>
    <definedName name="tac_crx" localSheetId="32">#REF!</definedName>
    <definedName name="tac_crx">#REF!</definedName>
    <definedName name="TAFName">[26]Masters!$C$19</definedName>
    <definedName name="tally" localSheetId="7">#REF!</definedName>
    <definedName name="tally" localSheetId="32">#REF!</definedName>
    <definedName name="tally" localSheetId="26">#REF!</definedName>
    <definedName name="tally">#REF!</definedName>
    <definedName name="TAMNo">[26]Masters!$C$23</definedName>
    <definedName name="TAName">[26]Masters!$C$20</definedName>
    <definedName name="TAPlace">[26]Masters!$C$43</definedName>
    <definedName name="Tarifa" localSheetId="7">#REF!</definedName>
    <definedName name="Tarifa" localSheetId="32">#REF!</definedName>
    <definedName name="Tarifa">#REF!</definedName>
    <definedName name="Tax" localSheetId="7">Sheet1</definedName>
    <definedName name="Tax" localSheetId="23">Sheet1</definedName>
    <definedName name="Tax" localSheetId="24">Sheet1</definedName>
    <definedName name="Tax" localSheetId="32">Sheet1</definedName>
    <definedName name="Tax" localSheetId="30">Sheet1</definedName>
    <definedName name="Tax" localSheetId="29">Sheet1</definedName>
    <definedName name="Tax" localSheetId="19">Sheet1</definedName>
    <definedName name="Tax" localSheetId="26">Sheet1</definedName>
    <definedName name="Tax" localSheetId="21">Sheet1</definedName>
    <definedName name="Tax">Sheet1</definedName>
    <definedName name="TaxAudAdd">[26]Masters!$C$24</definedName>
    <definedName name="TaxAuditDate">[26]Masters!$C$40</definedName>
    <definedName name="Taxes" localSheetId="7">#REF!</definedName>
    <definedName name="Taxes" localSheetId="32">#REF!</definedName>
    <definedName name="Taxes">#REF!</definedName>
    <definedName name="TB" localSheetId="7">#REF!</definedName>
    <definedName name="TB" localSheetId="32">#REF!</definedName>
    <definedName name="TB" localSheetId="26">#REF!</definedName>
    <definedName name="TB">#REF!</definedName>
    <definedName name="TB0313R" localSheetId="7">#REF!</definedName>
    <definedName name="TB0313R" localSheetId="32">#REF!</definedName>
    <definedName name="TB0313R" localSheetId="26">#REF!</definedName>
    <definedName name="TB0313R">#REF!</definedName>
    <definedName name="tbb">'[14]TB PCDN-16'!$A$5:$K$224</definedName>
    <definedName name="TBC" localSheetId="7">#REF!</definedName>
    <definedName name="TBC" localSheetId="32">#REF!</definedName>
    <definedName name="TBC">#REF!</definedName>
    <definedName name="TBData" localSheetId="7">#REF!</definedName>
    <definedName name="TBData" localSheetId="32">#REF!</definedName>
    <definedName name="TBData">#REF!</definedName>
    <definedName name="tberp" localSheetId="7">#REF!</definedName>
    <definedName name="tberp" localSheetId="32">#REF!</definedName>
    <definedName name="tberp" localSheetId="26">#REF!</definedName>
    <definedName name="tberp">#REF!</definedName>
    <definedName name="tberp1" localSheetId="7">#REF!</definedName>
    <definedName name="tberp1" localSheetId="32">#REF!</definedName>
    <definedName name="tberp1" localSheetId="26">#REF!</definedName>
    <definedName name="tberp1">#REF!</definedName>
    <definedName name="tberp2" localSheetId="7">#REF!</definedName>
    <definedName name="tberp2" localSheetId="32">#REF!</definedName>
    <definedName name="tberp2" localSheetId="26">#REF!</definedName>
    <definedName name="tberp2">#REF!</definedName>
    <definedName name="tbl_ProdInfo" localSheetId="7" hidden="1">#REF!</definedName>
    <definedName name="tbl_ProdInfo" localSheetId="32" hidden="1">#REF!</definedName>
    <definedName name="tbl_ProdInfo" localSheetId="26" hidden="1">#REF!</definedName>
    <definedName name="tbl_ProdInfo" hidden="1">#REF!</definedName>
    <definedName name="TBPCDC" localSheetId="7">#REF!</definedName>
    <definedName name="TBPCDC" localSheetId="32">#REF!</definedName>
    <definedName name="TBPCDC" localSheetId="26">#REF!</definedName>
    <definedName name="TBPCDC">#REF!</definedName>
    <definedName name="tbpcdcb300615">'[14]TB PCDC-16'!$A:$K</definedName>
    <definedName name="tbpcdcn300615">'[14]TB PCDC-16'!$A:$J</definedName>
    <definedName name="TBPCDT" localSheetId="7">#REF!</definedName>
    <definedName name="TBPCDT" localSheetId="32">#REF!</definedName>
    <definedName name="TBPCDT" localSheetId="26">#REF!</definedName>
    <definedName name="TBPCDT">#REF!</definedName>
    <definedName name="tbpcdt2" localSheetId="7">#REF!</definedName>
    <definedName name="tbpcdt2" localSheetId="32">#REF!</definedName>
    <definedName name="tbpcdt2" localSheetId="26">#REF!</definedName>
    <definedName name="tbpcdt2">#REF!</definedName>
    <definedName name="TBSDC" localSheetId="7">#REF!</definedName>
    <definedName name="TBSDC" localSheetId="32">#REF!</definedName>
    <definedName name="TBSDC" localSheetId="26">#REF!</definedName>
    <definedName name="TBSDC">#REF!</definedName>
    <definedName name="TBSDCT" localSheetId="7">#REF!</definedName>
    <definedName name="TBSDCT" localSheetId="32">#REF!</definedName>
    <definedName name="TBSDCT" localSheetId="26">#REF!</definedName>
    <definedName name="TBSDCT">#REF!</definedName>
    <definedName name="tdskhil" localSheetId="7">#REF!</definedName>
    <definedName name="tdskhil" localSheetId="32">#REF!</definedName>
    <definedName name="tdskhil">#REF!</definedName>
    <definedName name="tdsml" localSheetId="7">#REF!</definedName>
    <definedName name="tdsml" localSheetId="32">#REF!</definedName>
    <definedName name="tdsml">#REF!</definedName>
    <definedName name="tdsphil" localSheetId="7">#REF!</definedName>
    <definedName name="tdsphil" localSheetId="32">#REF!</definedName>
    <definedName name="tdsphil">#REF!</definedName>
    <definedName name="tdsthpl" localSheetId="7">#REF!</definedName>
    <definedName name="tdsthpl" localSheetId="32">#REF!</definedName>
    <definedName name="tdsthpl">#REF!</definedName>
    <definedName name="tdstll" localSheetId="7">#REF!</definedName>
    <definedName name="tdstll" localSheetId="32">#REF!</definedName>
    <definedName name="tdstll">#REF!</definedName>
    <definedName name="tdswvl" localSheetId="7">#REF!</definedName>
    <definedName name="tdswvl" localSheetId="32">#REF!</definedName>
    <definedName name="tdswvl">#REF!</definedName>
    <definedName name="TE_upsell" localSheetId="7">#REF!</definedName>
    <definedName name="TE_upsell" localSheetId="32">#REF!</definedName>
    <definedName name="TE_upsell">#REF!</definedName>
    <definedName name="TE_upsellY3" localSheetId="7">#REF!</definedName>
    <definedName name="TE_upsellY3" localSheetId="32">#REF!</definedName>
    <definedName name="TE_upsellY3">#REF!</definedName>
    <definedName name="TEMO" localSheetId="7">#REF!</definedName>
    <definedName name="TEMO" localSheetId="32">#REF!</definedName>
    <definedName name="TEMO">#REF!</definedName>
    <definedName name="temp" localSheetId="7">#REF!</definedName>
    <definedName name="temp" localSheetId="32">#REF!</definedName>
    <definedName name="temp">#REF!</definedName>
    <definedName name="temp1" localSheetId="7">#REF!</definedName>
    <definedName name="temp1" localSheetId="32">#REF!</definedName>
    <definedName name="temp1">#REF!</definedName>
    <definedName name="ten" localSheetId="7">#REF!</definedName>
    <definedName name="ten" localSheetId="32">#REF!</definedName>
    <definedName name="ten">#REF!</definedName>
    <definedName name="Term_CE_BB" localSheetId="7">#REF!</definedName>
    <definedName name="Term_CE_BB" localSheetId="32">#REF!</definedName>
    <definedName name="Term_CE_BB">#REF!</definedName>
    <definedName name="termcb" localSheetId="7">#REF!</definedName>
    <definedName name="termcb" localSheetId="32">#REF!</definedName>
    <definedName name="termcb">#REF!</definedName>
    <definedName name="termcb1" localSheetId="7">#REF!</definedName>
    <definedName name="termcb1" localSheetId="32">#REF!</definedName>
    <definedName name="termcb1">#REF!</definedName>
    <definedName name="termhm" localSheetId="7">#REF!</definedName>
    <definedName name="termhm" localSheetId="32">#REF!</definedName>
    <definedName name="termhm">#REF!</definedName>
    <definedName name="termhm1" localSheetId="7">#REF!</definedName>
    <definedName name="termhm1" localSheetId="32">#REF!</definedName>
    <definedName name="termhm1">#REF!</definedName>
    <definedName name="termisdn" localSheetId="7">#REF!</definedName>
    <definedName name="termisdn" localSheetId="32">#REF!</definedName>
    <definedName name="termisdn">#REF!</definedName>
    <definedName name="termisdn1" localSheetId="7">#REF!</definedName>
    <definedName name="termisdn1" localSheetId="32">#REF!</definedName>
    <definedName name="termisdn1">#REF!</definedName>
    <definedName name="termord" localSheetId="7">#REF!</definedName>
    <definedName name="termord" localSheetId="32">#REF!</definedName>
    <definedName name="termord">#REF!</definedName>
    <definedName name="termord1" localSheetId="7">#REF!</definedName>
    <definedName name="termord1" localSheetId="32">#REF!</definedName>
    <definedName name="termord1">#REF!</definedName>
    <definedName name="termpbx" localSheetId="7">#REF!</definedName>
    <definedName name="termpbx" localSheetId="32">#REF!</definedName>
    <definedName name="termpbx">#REF!</definedName>
    <definedName name="termpbx1" localSheetId="7">#REF!</definedName>
    <definedName name="termpbx1" localSheetId="32">#REF!</definedName>
    <definedName name="termpbx1">#REF!</definedName>
    <definedName name="test" localSheetId="7">#REF!</definedName>
    <definedName name="test" localSheetId="32">#REF!</definedName>
    <definedName name="test">#REF!</definedName>
    <definedName name="TextRefCopyRangeCount" localSheetId="7" hidden="1">1</definedName>
    <definedName name="TextRefCopyRangeCount" hidden="1">6</definedName>
    <definedName name="TFormula" localSheetId="7">#REF!</definedName>
    <definedName name="TFormula" localSheetId="32">#REF!</definedName>
    <definedName name="TFormula">#REF!</definedName>
    <definedName name="TG_Margin_HAAC">[19]PC_Cost_Ku!$B$8</definedName>
    <definedName name="THAI_PLASTIC_in_KUSD" localSheetId="7">#REF!</definedName>
    <definedName name="THAI_PLASTIC_in_KUSD" localSheetId="32">#REF!</definedName>
    <definedName name="THAI_PLASTIC_in_KUSD">#REF!</definedName>
    <definedName name="Títulos_a_imprimir_IM" localSheetId="7">#REF!</definedName>
    <definedName name="Títulos_a_imprimir_IM" localSheetId="32">#REF!</definedName>
    <definedName name="Títulos_a_imprimir_IM">#REF!</definedName>
    <definedName name="tm" localSheetId="7">#REF!</definedName>
    <definedName name="tm" localSheetId="32">#REF!</definedName>
    <definedName name="tm">#REF!</definedName>
    <definedName name="tm_dms" localSheetId="7">#REF!</definedName>
    <definedName name="tm_dms" localSheetId="32">#REF!</definedName>
    <definedName name="tm_dms">#REF!</definedName>
    <definedName name="tm_sx" localSheetId="7">#REF!</definedName>
    <definedName name="tm_sx" localSheetId="32">#REF!</definedName>
    <definedName name="tm_sx">#REF!</definedName>
    <definedName name="tmorg" localSheetId="7">#REF!</definedName>
    <definedName name="tmorg" localSheetId="32">#REF!</definedName>
    <definedName name="tmorg">#REF!</definedName>
    <definedName name="tmterm" localSheetId="7">#REF!</definedName>
    <definedName name="tmterm" localSheetId="32">#REF!</definedName>
    <definedName name="tmterm">#REF!</definedName>
    <definedName name="TN164F" localSheetId="7">#REF!</definedName>
    <definedName name="TN164F" localSheetId="32">#REF!</definedName>
    <definedName name="TN164F">#REF!</definedName>
    <definedName name="TN16X" localSheetId="7">#REF!</definedName>
    <definedName name="TN16X" localSheetId="32">#REF!</definedName>
    <definedName name="TN16X">#REF!</definedName>
    <definedName name="TN16XE" localSheetId="7">#REF!</definedName>
    <definedName name="TN16XE" localSheetId="32">#REF!</definedName>
    <definedName name="TN16XE">#REF!</definedName>
    <definedName name="TN1C" localSheetId="7">#REF!</definedName>
    <definedName name="TN1C" localSheetId="32">#REF!</definedName>
    <definedName name="TN1C">#REF!</definedName>
    <definedName name="TN1P" localSheetId="7">#REF!</definedName>
    <definedName name="TN1P" localSheetId="32">#REF!</definedName>
    <definedName name="TN1P">#REF!</definedName>
    <definedName name="TN1X" localSheetId="7">#REF!</definedName>
    <definedName name="TN1X" localSheetId="32">#REF!</definedName>
    <definedName name="TN1X">#REF!</definedName>
    <definedName name="TN1XS" localSheetId="7">#REF!</definedName>
    <definedName name="TN1XS" localSheetId="32">#REF!</definedName>
    <definedName name="TN1XS">#REF!</definedName>
    <definedName name="TN4X" localSheetId="7">#REF!</definedName>
    <definedName name="TN4X" localSheetId="32">#REF!</definedName>
    <definedName name="TN4X">#REF!</definedName>
    <definedName name="TN4XE" localSheetId="7">#REF!</definedName>
    <definedName name="TN4XE" localSheetId="32">#REF!</definedName>
    <definedName name="TN4XE">#REF!</definedName>
    <definedName name="TN64X" localSheetId="7">#REF!</definedName>
    <definedName name="TN64X" localSheetId="32">#REF!</definedName>
    <definedName name="TN64X">#REF!</definedName>
    <definedName name="tomg" localSheetId="7">#REF!</definedName>
    <definedName name="tomg" localSheetId="32">#REF!</definedName>
    <definedName name="tomg">#REF!</definedName>
    <definedName name="TOP">[68]custmast!$E:$F</definedName>
    <definedName name="TOR_STEEL" localSheetId="7">'[24]#REF'!#REF!</definedName>
    <definedName name="TOR_STEEL" localSheetId="32">'[24]#REF'!#REF!</definedName>
    <definedName name="TOR_STEEL">'[24]#REF'!#REF!</definedName>
    <definedName name="Tot_PECount" localSheetId="7">#REF!</definedName>
    <definedName name="Tot_PECount" localSheetId="32">#REF!</definedName>
    <definedName name="Tot_PECount">#REF!</definedName>
    <definedName name="Total" localSheetId="7">#REF!</definedName>
    <definedName name="TOTAL" localSheetId="32">#REF!</definedName>
    <definedName name="TOTAL">#REF!</definedName>
    <definedName name="Total___of_Switches" localSheetId="7">#REF!</definedName>
    <definedName name="Total___of_Switches" localSheetId="32">#REF!</definedName>
    <definedName name="Total___of_Switches">#REF!</definedName>
    <definedName name="Total_Balances">'[61]AR Graphs'!$A$2:$I$58</definedName>
    <definedName name="Total_beg" localSheetId="7">#REF!</definedName>
    <definedName name="Total_beg" localSheetId="32">#REF!</definedName>
    <definedName name="Total_beg">#REF!</definedName>
    <definedName name="Total_Bermuda" localSheetId="7">#REF!</definedName>
    <definedName name="Total_Bermuda" localSheetId="32">#REF!</definedName>
    <definedName name="Total_Bermuda">#REF!</definedName>
    <definedName name="Total_China" localSheetId="7">#REF!</definedName>
    <definedName name="Total_China" localSheetId="32">#REF!</definedName>
    <definedName name="Total_China">#REF!</definedName>
    <definedName name="Total_Comm" localSheetId="7">#REF!</definedName>
    <definedName name="Total_Comm" localSheetId="32">#REF!</definedName>
    <definedName name="Total_Comm">#REF!</definedName>
    <definedName name="total_end" localSheetId="7">#REF!</definedName>
    <definedName name="total_end" localSheetId="32">#REF!</definedName>
    <definedName name="total_end">#REF!</definedName>
    <definedName name="Total_Inc" localSheetId="7">#REF!</definedName>
    <definedName name="Total_Inc" localSheetId="32">#REF!</definedName>
    <definedName name="Total_Inc">#REF!</definedName>
    <definedName name="Total_India" localSheetId="7">#REF!</definedName>
    <definedName name="Total_India" localSheetId="32">#REF!</definedName>
    <definedName name="Total_India">#REF!</definedName>
    <definedName name="total_other_revenue" localSheetId="7">#REF!</definedName>
    <definedName name="total_other_revenue" localSheetId="32">#REF!</definedName>
    <definedName name="total_other_revenue">#REF!</definedName>
    <definedName name="total_sales" localSheetId="7">#REF!</definedName>
    <definedName name="total_sales" localSheetId="32">#REF!</definedName>
    <definedName name="total_sales">#REF!</definedName>
    <definedName name="Total_Sing" localSheetId="7">#REF!</definedName>
    <definedName name="Total_Sing" localSheetId="32">#REF!</definedName>
    <definedName name="Total_Sing">#REF!</definedName>
    <definedName name="TotBW" localSheetId="7">#REF!</definedName>
    <definedName name="TotBW" localSheetId="32">#REF!</definedName>
    <definedName name="TotBW">#REF!</definedName>
    <definedName name="towin" localSheetId="7">#REF!</definedName>
    <definedName name="towin" localSheetId="32">#REF!</definedName>
    <definedName name="towin" localSheetId="26">#REF!</definedName>
    <definedName name="towin">#REF!</definedName>
    <definedName name="tphws" localSheetId="7">#REF!</definedName>
    <definedName name="tphws" localSheetId="32">#REF!</definedName>
    <definedName name="tphws">#REF!</definedName>
    <definedName name="Traffic_Excellence" localSheetId="7">#REF!</definedName>
    <definedName name="Traffic_Excellence" localSheetId="32">#REF!</definedName>
    <definedName name="Traffic_Excellence">#REF!</definedName>
    <definedName name="TRAN" localSheetId="7">#REF!</definedName>
    <definedName name="TRAN" localSheetId="32">#REF!</definedName>
    <definedName name="TRAN" localSheetId="26">#REF!</definedName>
    <definedName name="TRAN">#REF!</definedName>
    <definedName name="transportfillers" localSheetId="7">#REF!</definedName>
    <definedName name="transportfillers" localSheetId="32">#REF!</definedName>
    <definedName name="transportfillers">#REF!</definedName>
    <definedName name="trial" localSheetId="7">#REF!</definedName>
    <definedName name="trial" localSheetId="32">#REF!</definedName>
    <definedName name="trial">#REF!</definedName>
    <definedName name="TRIP">'[24]#REF'!$D$74</definedName>
    <definedName name="troub_tick" localSheetId="7">#REF!</definedName>
    <definedName name="troub_tick" localSheetId="32">#REF!</definedName>
    <definedName name="troub_tick">#REF!</definedName>
    <definedName name="tsc" localSheetId="7">#REF!</definedName>
    <definedName name="tsc" localSheetId="32">#REF!</definedName>
    <definedName name="tsc">#REF!</definedName>
    <definedName name="tt" localSheetId="7" hidden="1">{"FTS",#N/A,FALSE,"E"}</definedName>
    <definedName name="tt" hidden="1">{"FTS",#N/A,FALSE,"E"}</definedName>
    <definedName name="ty" localSheetId="7">#REF!</definedName>
    <definedName name="ty" localSheetId="32">#REF!</definedName>
    <definedName name="ty">#REF!</definedName>
    <definedName name="tyr" localSheetId="7" hidden="1">{"FTS",#N/A,FALSE,"E"}</definedName>
    <definedName name="tyr" hidden="1">{"FTS",#N/A,FALSE,"E"}</definedName>
    <definedName name="U" localSheetId="7">#REF!</definedName>
    <definedName name="U" localSheetId="32">#REF!</definedName>
    <definedName name="U" localSheetId="26">#REF!</definedName>
    <definedName name="U">#REF!</definedName>
    <definedName name="UDSL_NIC" localSheetId="7">#REF!</definedName>
    <definedName name="UDSL_NIC" localSheetId="32">#REF!</definedName>
    <definedName name="UDSL_NIC">#REF!</definedName>
    <definedName name="UFPrn20090103162043" localSheetId="7">#REF!</definedName>
    <definedName name="UFPrn20090103162043" localSheetId="32">#REF!</definedName>
    <definedName name="UFPrn20090103162043">#REF!</definedName>
    <definedName name="uhjk" localSheetId="7">#REF!</definedName>
    <definedName name="uhjk" localSheetId="32">#REF!</definedName>
    <definedName name="uhjk">#REF!</definedName>
    <definedName name="Unit_Price_Column" localSheetId="7">#REF!</definedName>
    <definedName name="Unit_Price_Column" localSheetId="32">#REF!</definedName>
    <definedName name="Unit_Price_Column">#REF!</definedName>
    <definedName name="Units" localSheetId="7">'[69]Old IS'!#REF!</definedName>
    <definedName name="Units" localSheetId="32">'[69]Old IS'!#REF!</definedName>
    <definedName name="Units">'[69]Old IS'!#REF!</definedName>
    <definedName name="UNO">#N/A</definedName>
    <definedName name="uot" localSheetId="7" hidden="1">{"SUMMARY",#N/A,FALSE,"C"}</definedName>
    <definedName name="uot" hidden="1">{"SUMMARY",#N/A,FALSE,"C"}</definedName>
    <definedName name="updown" localSheetId="7">#REF!</definedName>
    <definedName name="updown" localSheetId="32">#REF!</definedName>
    <definedName name="updown" localSheetId="26">#REF!</definedName>
    <definedName name="updown">#REF!</definedName>
    <definedName name="updown1" localSheetId="7">#REF!</definedName>
    <definedName name="updown1" localSheetId="32">#REF!</definedName>
    <definedName name="updown1" localSheetId="26">#REF!</definedName>
    <definedName name="updown1">#REF!</definedName>
    <definedName name="UPL" localSheetId="7">#REF!</definedName>
    <definedName name="UPL" localSheetId="32">#REF!</definedName>
    <definedName name="UPL">#REF!</definedName>
    <definedName name="USD" localSheetId="7">'[5]PL PBC'!#REF!</definedName>
    <definedName name="USD" localSheetId="32">'[5]PL PBC'!#REF!</definedName>
    <definedName name="USD" localSheetId="26">'[5]PL PBC'!#REF!</definedName>
    <definedName name="USD">'[5]PL PBC'!#REF!</definedName>
    <definedName name="USD_B" localSheetId="7">#REF!</definedName>
    <definedName name="USD_B" localSheetId="32">#REF!</definedName>
    <definedName name="USD_B">#REF!</definedName>
    <definedName name="USD_EX_SUMM" localSheetId="7">#REF!</definedName>
    <definedName name="USD_EX_SUMM" localSheetId="32">#REF!</definedName>
    <definedName name="USD_EX_SUMM">#REF!</definedName>
    <definedName name="USD.A" localSheetId="7">#REF!</definedName>
    <definedName name="USD.A" localSheetId="32">#REF!</definedName>
    <definedName name="USD.A">#REF!</definedName>
    <definedName name="USD.E" localSheetId="7">#REF!</definedName>
    <definedName name="USD.E" localSheetId="32">#REF!</definedName>
    <definedName name="USD.E">#REF!</definedName>
    <definedName name="useNotes" localSheetId="7">#REF!</definedName>
    <definedName name="useNotes" localSheetId="32">#REF!</definedName>
    <definedName name="useNotes">#REF!</definedName>
    <definedName name="Users" localSheetId="7">#REF!</definedName>
    <definedName name="Users" localSheetId="32">#REF!</definedName>
    <definedName name="Users">#REF!</definedName>
    <definedName name="useText" localSheetId="7">#REF!</definedName>
    <definedName name="useText" localSheetId="32">#REF!</definedName>
    <definedName name="useText">#REF!</definedName>
    <definedName name="usrCat" localSheetId="7">#REF!</definedName>
    <definedName name="usrCat" localSheetId="32">#REF!</definedName>
    <definedName name="usrCat">#REF!</definedName>
    <definedName name="usrNext1Period" localSheetId="7">#REF!</definedName>
    <definedName name="usrNext1Period" localSheetId="32">#REF!</definedName>
    <definedName name="usrNext1Period">#REF!</definedName>
    <definedName name="usrNext1Qtr" localSheetId="7">#REF!</definedName>
    <definedName name="usrNext1Qtr" localSheetId="32">#REF!</definedName>
    <definedName name="usrNext1Qtr">#REF!</definedName>
    <definedName name="usrNext1Year" localSheetId="7">#REF!</definedName>
    <definedName name="usrNext1Year" localSheetId="32">#REF!</definedName>
    <definedName name="usrNext1Year">#REF!</definedName>
    <definedName name="usrNext2Period" localSheetId="7">#REF!</definedName>
    <definedName name="usrNext2Period" localSheetId="32">#REF!</definedName>
    <definedName name="usrNext2Period">#REF!</definedName>
    <definedName name="usrNext2Qtr" localSheetId="7">#REF!</definedName>
    <definedName name="usrNext2Qtr" localSheetId="32">#REF!</definedName>
    <definedName name="usrNext2Qtr">#REF!</definedName>
    <definedName name="usrNext2Year" localSheetId="7">#REF!</definedName>
    <definedName name="usrNext2Year" localSheetId="32">#REF!</definedName>
    <definedName name="usrNext2Year">#REF!</definedName>
    <definedName name="usrNext3Period" localSheetId="7">#REF!</definedName>
    <definedName name="usrNext3Period" localSheetId="32">#REF!</definedName>
    <definedName name="usrNext3Period">#REF!</definedName>
    <definedName name="usrNext3Qtr" localSheetId="7">#REF!</definedName>
    <definedName name="usrNext3Qtr" localSheetId="32">#REF!</definedName>
    <definedName name="usrNext3Qtr">#REF!</definedName>
    <definedName name="usrNext3Year" localSheetId="7">#REF!</definedName>
    <definedName name="usrNext3Year" localSheetId="32">#REF!</definedName>
    <definedName name="usrNext3Year">#REF!</definedName>
    <definedName name="usrNext4Period" localSheetId="7">#REF!</definedName>
    <definedName name="usrNext4Period" localSheetId="32">#REF!</definedName>
    <definedName name="usrNext4Period">#REF!</definedName>
    <definedName name="usrNext4Qtr" localSheetId="7">#REF!</definedName>
    <definedName name="usrNext4Qtr" localSheetId="32">#REF!</definedName>
    <definedName name="usrNext4Qtr">#REF!</definedName>
    <definedName name="usrNext4Year" localSheetId="7">#REF!</definedName>
    <definedName name="usrNext4Year" localSheetId="32">#REF!</definedName>
    <definedName name="usrNext4Year">#REF!</definedName>
    <definedName name="usrNext5Period" localSheetId="7">#REF!</definedName>
    <definedName name="usrNext5Period" localSheetId="32">#REF!</definedName>
    <definedName name="usrNext5Period">#REF!</definedName>
    <definedName name="usrNext5Year" localSheetId="7">#REF!</definedName>
    <definedName name="usrNext5Year" localSheetId="32">#REF!</definedName>
    <definedName name="usrNext5Year">#REF!</definedName>
    <definedName name="usrNoteFlag" localSheetId="7">#REF!</definedName>
    <definedName name="usrNoteFlag" localSheetId="32">#REF!</definedName>
    <definedName name="usrNoteFlag">#REF!</definedName>
    <definedName name="usrNoteRange" localSheetId="7">#REF!</definedName>
    <definedName name="usrNoteRange" localSheetId="32">#REF!</definedName>
    <definedName name="usrNoteRange">#REF!</definedName>
    <definedName name="usrPrior10Period" localSheetId="7">#REF!</definedName>
    <definedName name="usrPrior10Period" localSheetId="32">#REF!</definedName>
    <definedName name="usrPrior10Period">#REF!</definedName>
    <definedName name="usrPrior11Period" localSheetId="7">#REF!</definedName>
    <definedName name="usrPrior11Period" localSheetId="32">#REF!</definedName>
    <definedName name="usrPrior11Period">#REF!</definedName>
    <definedName name="usrPrior1Qtr" localSheetId="7">#REF!</definedName>
    <definedName name="usrPrior1Qtr" localSheetId="32">#REF!</definedName>
    <definedName name="usrPrior1Qtr">#REF!</definedName>
    <definedName name="usrPrior2Qtr" localSheetId="7">#REF!</definedName>
    <definedName name="usrPrior2Qtr" localSheetId="32">#REF!</definedName>
    <definedName name="usrPrior2Qtr">#REF!</definedName>
    <definedName name="usrPrior2Year" localSheetId="7">#REF!</definedName>
    <definedName name="usrPrior2Year" localSheetId="32">#REF!</definedName>
    <definedName name="usrPrior2Year">#REF!</definedName>
    <definedName name="usrPrior3Qtr" localSheetId="7">#REF!</definedName>
    <definedName name="usrPrior3Qtr" localSheetId="32">#REF!</definedName>
    <definedName name="usrPrior3Qtr">#REF!</definedName>
    <definedName name="usrPrior3Year" localSheetId="7">#REF!</definedName>
    <definedName name="usrPrior3Year" localSheetId="32">#REF!</definedName>
    <definedName name="usrPrior3Year">#REF!</definedName>
    <definedName name="usrPrior4Period" localSheetId="7">#REF!</definedName>
    <definedName name="usrPrior4Period" localSheetId="32">#REF!</definedName>
    <definedName name="usrPrior4Period">#REF!</definedName>
    <definedName name="usrPrior4Year" localSheetId="7">#REF!</definedName>
    <definedName name="usrPrior4Year" localSheetId="32">#REF!</definedName>
    <definedName name="usrPrior4Year">#REF!</definedName>
    <definedName name="usrPrior5Period" localSheetId="7">#REF!</definedName>
    <definedName name="usrPrior5Period" localSheetId="32">#REF!</definedName>
    <definedName name="usrPrior5Period">#REF!</definedName>
    <definedName name="usrPrior5Year" localSheetId="7">#REF!</definedName>
    <definedName name="usrPrior5Year" localSheetId="32">#REF!</definedName>
    <definedName name="usrPrior5Year">#REF!</definedName>
    <definedName name="usrPrior6Period" localSheetId="7">#REF!</definedName>
    <definedName name="usrPrior6Period" localSheetId="32">#REF!</definedName>
    <definedName name="usrPrior6Period">#REF!</definedName>
    <definedName name="usrPrior7Period" localSheetId="7">#REF!</definedName>
    <definedName name="usrPrior7Period" localSheetId="32">#REF!</definedName>
    <definedName name="usrPrior7Period">#REF!</definedName>
    <definedName name="usrPrior8Period" localSheetId="7">#REF!</definedName>
    <definedName name="usrPrior8Period" localSheetId="32">#REF!</definedName>
    <definedName name="usrPrior8Period">#REF!</definedName>
    <definedName name="usrPrior9Period" localSheetId="7">#REF!</definedName>
    <definedName name="usrPrior9Period" localSheetId="32">#REF!</definedName>
    <definedName name="usrPrior9Period">#REF!</definedName>
    <definedName name="usrQtr" localSheetId="7">#REF!</definedName>
    <definedName name="usrQtr" localSheetId="32">#REF!</definedName>
    <definedName name="usrQtr">#REF!</definedName>
    <definedName name="usrUnitDesc" localSheetId="7">#REF!</definedName>
    <definedName name="usrUnitDesc" localSheetId="32">#REF!</definedName>
    <definedName name="usrUnitDesc">#REF!</definedName>
    <definedName name="UsrVin" localSheetId="7">#REF!</definedName>
    <definedName name="UsrVin" localSheetId="32">#REF!</definedName>
    <definedName name="UsrVin">#REF!</definedName>
    <definedName name="usrWholeYear" localSheetId="7">#REF!</definedName>
    <definedName name="usrWholeYear" localSheetId="32">#REF!</definedName>
    <definedName name="usrWholeYear">#REF!</definedName>
    <definedName name="v" localSheetId="7" hidden="1">{"CASH FLOW",#N/A,FALSE,"A"}</definedName>
    <definedName name="v" hidden="1">{"CASH FLOW",#N/A,FALSE,"A"}</definedName>
    <definedName name="vari" localSheetId="7">#REF!</definedName>
    <definedName name="vari" localSheetId="32">#REF!</definedName>
    <definedName name="vari" localSheetId="26">#REF!</definedName>
    <definedName name="vari">#REF!</definedName>
    <definedName name="vbnm" localSheetId="7">#REF!</definedName>
    <definedName name="vbnm" localSheetId="32">#REF!</definedName>
    <definedName name="vbnm">#REF!</definedName>
    <definedName name="vc" localSheetId="7">#REF!</definedName>
    <definedName name="vc" localSheetId="32">#REF!</definedName>
    <definedName name="vc">#REF!</definedName>
    <definedName name="Venfin" localSheetId="7">#REF!</definedName>
    <definedName name="Venfin" localSheetId="32">#REF!</definedName>
    <definedName name="Venfin">#REF!</definedName>
    <definedName name="VFDG" localSheetId="7" hidden="1">{"CASH FLOW",#N/A,FALSE,"A"}</definedName>
    <definedName name="VFDG" hidden="1">{"CASH FLOW",#N/A,FALSE,"A"}</definedName>
    <definedName name="VFormula" localSheetId="7">#REF!</definedName>
    <definedName name="VFormula" localSheetId="32">#REF!</definedName>
    <definedName name="VFormula">#REF!</definedName>
    <definedName name="vi" localSheetId="7">'[52]Sub Sch BS ROUGH'!#REF!</definedName>
    <definedName name="vi" localSheetId="32">'[52]Sub Sch BS ROUGH'!#REF!</definedName>
    <definedName name="vi">'[52]Sub Sch BS ROUGH'!#REF!</definedName>
    <definedName name="VINAY" localSheetId="7">#REF!</definedName>
    <definedName name="VINAY" localSheetId="32">#REF!</definedName>
    <definedName name="VINAY" localSheetId="26">#REF!</definedName>
    <definedName name="VINAY">#REF!</definedName>
    <definedName name="Volume_Graphs" localSheetId="7">#REF!</definedName>
    <definedName name="Volume_Graphs" localSheetId="32">#REF!</definedName>
    <definedName name="Volume_Graphs">#REF!</definedName>
    <definedName name="VPOPO" localSheetId="7" hidden="1">{"PLANT BREAKUP",#N/A,FALSE,"E"}</definedName>
    <definedName name="VPOPO" hidden="1">{"PLANT BREAKUP",#N/A,FALSE,"E"}</definedName>
    <definedName name="vsa_entry" localSheetId="7">#REF!</definedName>
    <definedName name="vsa_entry" localSheetId="32">#REF!</definedName>
    <definedName name="vsa_entry" localSheetId="26">#REF!</definedName>
    <definedName name="vsa_entry">#REF!</definedName>
    <definedName name="W" localSheetId="7" hidden="1">{"PLANT BREAKUP",#N/A,FALSE,"E"}</definedName>
    <definedName name="W" hidden="1">{"PLANT BREAKUP",#N/A,FALSE,"E"}</definedName>
    <definedName name="w1_w2" localSheetId="7">#REF!</definedName>
    <definedName name="w1_w2" localSheetId="32">#REF!</definedName>
    <definedName name="w1_w2">#REF!</definedName>
    <definedName name="WBname" localSheetId="7">#REF!</definedName>
    <definedName name="WBname" localSheetId="32">#REF!</definedName>
    <definedName name="WBname">#REF!</definedName>
    <definedName name="wdvcy" localSheetId="7">#REF!</definedName>
    <definedName name="wdvcy" localSheetId="32">#REF!</definedName>
    <definedName name="wdvcy">#REF!</definedName>
    <definedName name="wdvly" localSheetId="7">#REF!</definedName>
    <definedName name="wdvly" localSheetId="32">#REF!</definedName>
    <definedName name="wdvly">#REF!</definedName>
    <definedName name="WE" localSheetId="7" hidden="1">{#N/A,#N/A,FALSE,"MODULE3"}</definedName>
    <definedName name="WE" hidden="1">{#N/A,#N/A,FALSE,"MODULE3"}</definedName>
    <definedName name="WFD" localSheetId="7">#REF!</definedName>
    <definedName name="WFD" localSheetId="32">#REF!</definedName>
    <definedName name="WFD">#REF!</definedName>
    <definedName name="WFDMRM" localSheetId="7">#REF!</definedName>
    <definedName name="WFDMRM" localSheetId="32">#REF!</definedName>
    <definedName name="WFDMRM">#REF!</definedName>
    <definedName name="WFDMUS" localSheetId="7">#REF!</definedName>
    <definedName name="WFDMUS" localSheetId="32">#REF!</definedName>
    <definedName name="WFDMUS">#REF!</definedName>
    <definedName name="wfqhofoo" localSheetId="7" hidden="1">{"PLANT BREAKUP",#N/A,FALSE,"E"}</definedName>
    <definedName name="wfqhofoo" hidden="1">{"PLANT BREAKUP",#N/A,FALSE,"E"}</definedName>
    <definedName name="WFUS" localSheetId="7">#REF!</definedName>
    <definedName name="WFUS" localSheetId="32">#REF!</definedName>
    <definedName name="WFUS">#REF!</definedName>
    <definedName name="WFUSDM" localSheetId="7">#REF!</definedName>
    <definedName name="WFUSDM" localSheetId="32">#REF!</definedName>
    <definedName name="WFUSDM">#REF!</definedName>
    <definedName name="WFUSRM" localSheetId="7">#REF!</definedName>
    <definedName name="WFUSRM" localSheetId="32">#REF!</definedName>
    <definedName name="WFUSRM">#REF!</definedName>
    <definedName name="wgkjqklgw" localSheetId="7" hidden="1">{"PLANT BREAKUP",#N/A,FALSE,"E"}</definedName>
    <definedName name="wgkjqklgw" hidden="1">{"PLANT BREAKUP",#N/A,FALSE,"E"}</definedName>
    <definedName name="wih" localSheetId="7">#REF!</definedName>
    <definedName name="wih" localSheetId="32">#REF!</definedName>
    <definedName name="wih" localSheetId="26">#REF!</definedName>
    <definedName name="wih">#REF!</definedName>
    <definedName name="wipmajor" localSheetId="7">#REF!</definedName>
    <definedName name="wipmajor" localSheetId="32">#REF!</definedName>
    <definedName name="wipmajor" localSheetId="26">#REF!</definedName>
    <definedName name="wipmajor">#REF!</definedName>
    <definedName name="wipnorth" localSheetId="7">#REF!</definedName>
    <definedName name="wipnorth" localSheetId="32">#REF!</definedName>
    <definedName name="wipnorth" localSheetId="26">#REF!</definedName>
    <definedName name="wipnorth">#REF!</definedName>
    <definedName name="wipsouth" localSheetId="7">#REF!</definedName>
    <definedName name="wipsouth" localSheetId="32">#REF!</definedName>
    <definedName name="wipsouth" localSheetId="26">#REF!</definedName>
    <definedName name="wipsouth">#REF!</definedName>
    <definedName name="wipsum" localSheetId="7">#REF!</definedName>
    <definedName name="wipsum" localSheetId="32">#REF!</definedName>
    <definedName name="wipsum" localSheetId="26">#REF!</definedName>
    <definedName name="wipsum">#REF!</definedName>
    <definedName name="wipthcm" localSheetId="7">#REF!</definedName>
    <definedName name="wipthcm" localSheetId="32">#REF!</definedName>
    <definedName name="wipthcm" localSheetId="26">#REF!</definedName>
    <definedName name="wipthcm">#REF!</definedName>
    <definedName name="wipwater" localSheetId="7">#REF!</definedName>
    <definedName name="wipwater" localSheetId="32">#REF!</definedName>
    <definedName name="wipwater" localSheetId="26">#REF!</definedName>
    <definedName name="wipwater">#REF!</definedName>
    <definedName name="wladvtaxmar98" localSheetId="7">#REF!</definedName>
    <definedName name="wladvtaxmar98" localSheetId="32">#REF!</definedName>
    <definedName name="wladvtaxmar98">#REF!</definedName>
    <definedName name="wldec97" localSheetId="7">#REF!</definedName>
    <definedName name="wldec97" localSheetId="32">#REF!</definedName>
    <definedName name="wldec97">#REF!</definedName>
    <definedName name="wock" localSheetId="7">#REF!</definedName>
    <definedName name="wock" localSheetId="32">#REF!</definedName>
    <definedName name="wock">#REF!</definedName>
    <definedName name="Wolfgang" localSheetId="7">#REF!</definedName>
    <definedName name="Wolfgang" localSheetId="32">#REF!</definedName>
    <definedName name="Wolfgang">#REF!</definedName>
    <definedName name="wqdqwdqwd" hidden="1">{#N/A,#N/A,FALSE,"Staffnos &amp; cost"}</definedName>
    <definedName name="wrn.abc." localSheetId="7" hidden="1">{"Execavation",#N/A,FALSE,"furniture (employer)"}</definedName>
    <definedName name="wrn.abc." hidden="1">{"Execavation",#N/A,FALSE,"furniture (employer)"}</definedName>
    <definedName name="wrn.ALL." localSheetId="7" hidden="1">{#N/A,#N/A,FALSE,"INPUTS";#N/A,#N/A,FALSE,"PROFORMA BSHEET";#N/A,#N/A,FALSE,"COMBINED";#N/A,#N/A,FALSE,"ACQUIROR";#N/A,#N/A,FALSE,"TARGET 1";#N/A,#N/A,FALSE,"TARGET 2";#N/A,#N/A,FALSE,"HIGH YIELD";#N/A,#N/A,FALSE,"OVERFUND"}</definedName>
    <definedName name="wrn.ALL." hidden="1">{#N/A,#N/A,FALSE,"INPUTS";#N/A,#N/A,FALSE,"PROFORMA BSHEET";#N/A,#N/A,FALSE,"COMBINED";#N/A,#N/A,FALSE,"ACQUIROR";#N/A,#N/A,FALSE,"TARGET 1";#N/A,#N/A,FALSE,"TARGET 2";#N/A,#N/A,FALSE,"HIGH YIELD";#N/A,#N/A,FALSE,"OVERFUND"}</definedName>
    <definedName name="wrn.All._.Pages." localSheetId="7"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budget." localSheetId="7" hidden="1">{"form-D1",#N/A,FALSE,"FORM-D1";"form-D1_amt",#N/A,FALSE,"FORM-D1"}</definedName>
    <definedName name="wrn.budget." hidden="1">{"form-D1",#N/A,FALSE,"FORM-D1";"form-D1_amt",#N/A,FALSE,"FORM-D1"}</definedName>
    <definedName name="wrn.CASH._.FLOW." localSheetId="7" hidden="1">{"CASH FLOW",#N/A,FALSE,"A"}</definedName>
    <definedName name="wrn.CASH._.FLOW." hidden="1">{"CASH FLOW",#N/A,FALSE,"A"}</definedName>
    <definedName name="wrn.COMBINED." localSheetId="7" hidden="1">{#N/A,#N/A,FALSE,"INPUTS";#N/A,#N/A,FALSE,"PROFORMA BSHEET";#N/A,#N/A,FALSE,"COMBINED";#N/A,#N/A,FALSE,"HIGH YIELD";#N/A,#N/A,FALSE,"COMB_GRAPHS"}</definedName>
    <definedName name="wrn.COMBINED." hidden="1">{#N/A,#N/A,FALSE,"INPUTS";#N/A,#N/A,FALSE,"PROFORMA BSHEET";#N/A,#N/A,FALSE,"COMBINED";#N/A,#N/A,FALSE,"HIGH YIELD";#N/A,#N/A,FALSE,"COMB_GRAPHS"}</definedName>
    <definedName name="wrn.DRB._.CLAIMS._.FOR._.BILL._.A3._.SIZE." localSheetId="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3._.SIZE."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4._.SIZE." localSheetId="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DRB._.CLAIMS._.FOR._.BILL._.A4._.SIZE."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FTS." localSheetId="7" hidden="1">{"FTS",#N/A,FALSE,"E"}</definedName>
    <definedName name="wrn.FTS." hidden="1">{"FTS",#N/A,FALSE,"E"}</definedName>
    <definedName name="wrn.FTS._.PLANT._.BREAKUP." localSheetId="7" hidden="1">{"PLANT BREAKUP",#N/A,FALSE,"E"}</definedName>
    <definedName name="wrn.FTS._.PLANT._.BREAKUP." hidden="1">{"PLANT BREAKUP",#N/A,FALSE,"E"}</definedName>
    <definedName name="wrn.full." localSheetId="7" hidden="1">{#N/A,#N/A,FALSE,"Cover";#N/A,#N/A,FALSE,"Pres ";#N/A,#N/A,FALSE,"Output";#N/A,#N/A,FALSE,"Sensit";#N/A,#N/A,FALSE,"DCF";#N/A,#N/A,FALSE,"Graphs";#N/A,#N/A,FALSE,"Control (In)";#N/A,#N/A,FALSE,"Broker (In)";#N/A,#N/A,FALSE,"In-House (In)";#N/A,#N/A,FALSE,"Assumptions";#N/A,#N/A,FALSE,"WACC";#N/A,#N/A,FALSE,"Check (In)"}</definedName>
    <definedName name="wrn.full." hidden="1">{#N/A,#N/A,FALSE,"Cover";#N/A,#N/A,FALSE,"Pres ";#N/A,#N/A,FALSE,"Output";#N/A,#N/A,FALSE,"Sensit";#N/A,#N/A,FALSE,"DCF";#N/A,#N/A,FALSE,"Graphs";#N/A,#N/A,FALSE,"Control (In)";#N/A,#N/A,FALSE,"Broker (In)";#N/A,#N/A,FALSE,"In-House (In)";#N/A,#N/A,FALSE,"Assumptions";#N/A,#N/A,FALSE,"WACC";#N/A,#N/A,FALSE,"Check (In)"}</definedName>
    <definedName name="wrn.Full._.Model." localSheetId="7" hidden="1">{#N/A,#N/A,TRUE,"Cover Sheet ";#N/A,#N/A,TRUE,"INPUTS";#N/A,#N/A,TRUE,"OUTPUTS"}</definedName>
    <definedName name="wrn.Full._.Model." hidden="1">{#N/A,#N/A,TRUE,"Cover Sheet ";#N/A,#N/A,TRUE,"INPUTS";#N/A,#N/A,TRUE,"OUTPUTS"}</definedName>
    <definedName name="wrn.GRAPHS." localSheetId="7" hidden="1">{#N/A,#N/A,FALSE,"ACQ_GRAPHS";#N/A,#N/A,FALSE,"T_1 GRAPHS";#N/A,#N/A,FALSE,"T_2 GRAPHS";#N/A,#N/A,FALSE,"COMB_GRAPHS"}</definedName>
    <definedName name="wrn.GRAPHS." hidden="1">{#N/A,#N/A,FALSE,"ACQ_GRAPHS";#N/A,#N/A,FALSE,"T_1 GRAPHS";#N/A,#N/A,FALSE,"T_2 GRAPHS";#N/A,#N/A,FALSE,"COMB_GRAPHS"}</definedName>
    <definedName name="wrn.imprim."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tem1." localSheetId="7" hidden="1">{#N/A,#N/A,FALSE,"Wadhal";#N/A,#N/A,FALSE,"Manglad U-S";#N/A,#N/A,FALSE,"Manglad D-S";#N/A,#N/A,FALSE,"Ratanpur U-S";#N/A,#N/A,FALSE,"Ratanpur D-S";#N/A,#N/A,FALSE,"VI Face"}</definedName>
    <definedName name="wrn.item1." hidden="1">{#N/A,#N/A,FALSE,"Wadhal";#N/A,#N/A,FALSE,"Manglad U-S";#N/A,#N/A,FALSE,"Manglad D-S";#N/A,#N/A,FALSE,"Ratanpur U-S";#N/A,#N/A,FALSE,"Ratanpur D-S";#N/A,#N/A,FALSE,"VI Face"}</definedName>
    <definedName name="wrn.PLANNING." localSheetId="7" hidden="1">{"PLANNING",#N/A,FALSE,"A"}</definedName>
    <definedName name="wrn.PLANNING." hidden="1">{"PLANNING",#N/A,FALSE,"A"}</definedName>
    <definedName name="wrn.Print." localSheetId="7" hidden="1">{"vi1",#N/A,FALSE,"Financial Statements";"vi2",#N/A,FALSE,"Financial Statements";#N/A,#N/A,FALSE,"DCF"}</definedName>
    <definedName name="wrn.Print." hidden="1">{"vi1",#N/A,FALSE,"Financial Statements";"vi2",#N/A,FALSE,"Financial Statements";#N/A,#N/A,FALSE,"DCF"}</definedName>
    <definedName name="wrn.ss." localSheetId="7" hidden="1">{#N/A,#N/A,FALSE,"MODULE3"}</definedName>
    <definedName name="wrn.ss." hidden="1">{#N/A,#N/A,FALSE,"MODULE3"}</definedName>
    <definedName name="wrn.ss1." localSheetId="7" hidden="1">{"ss",#N/A,FALSE,"MODULE3"}</definedName>
    <definedName name="wrn.ss1." hidden="1">{"ss",#N/A,FALSE,"MODULE3"}</definedName>
    <definedName name="wrn.Staff._.cost1998." hidden="1">{#N/A,#N/A,TRUE,"Staffnos &amp; cost"}</definedName>
    <definedName name="wrn.Staffcost." hidden="1">{#N/A,#N/A,FALSE,"Staffnos &amp; cost"}</definedName>
    <definedName name="wrn.summary." localSheetId="7" hidden="1">{"SUMMARY",#N/A,FALSE,"C"}</definedName>
    <definedName name="wrn.summary." hidden="1">{"SUMMARY",#N/A,FALSE,"C"}</definedName>
    <definedName name="wrn.VALUATION." localSheetId="7" hidden="1">{#N/A,#N/A,FALSE,"Valuation Assumptions";#N/A,#N/A,FALSE,"Summary";#N/A,#N/A,FALSE,"DCF";#N/A,#N/A,FALSE,"Valuation";#N/A,#N/A,FALSE,"WACC";#N/A,#N/A,FALSE,"UBVH";#N/A,#N/A,FALSE,"Free Cash Flow"}</definedName>
    <definedName name="wrn.VALUATION." hidden="1">{#N/A,#N/A,FALSE,"Valuation Assumptions";#N/A,#N/A,FALSE,"Summary";#N/A,#N/A,FALSE,"DCF";#N/A,#N/A,FALSE,"Valuation";#N/A,#N/A,FALSE,"WACC";#N/A,#N/A,FALSE,"UBVH";#N/A,#N/A,FALSE,"Free Cash Flow"}</definedName>
    <definedName name="wsedfrtghyj" localSheetId="7">#REF!</definedName>
    <definedName name="wsedfrtghyj" localSheetId="32">#REF!</definedName>
    <definedName name="wsedfrtghyj">#REF!</definedName>
    <definedName name="WSname" localSheetId="7">#REF!</definedName>
    <definedName name="WSname" localSheetId="32">#REF!</definedName>
    <definedName name="WSname">#REF!</definedName>
    <definedName name="WWW" localSheetId="7" hidden="1">{"PLANNING",#N/A,FALSE,"A"}</definedName>
    <definedName name="WWW" hidden="1">{"PLANNING",#N/A,FALSE,"A"}</definedName>
    <definedName name="x" localSheetId="7">#REF!</definedName>
    <definedName name="x" localSheetId="32">#REF!</definedName>
    <definedName name="x" localSheetId="26">#REF!</definedName>
    <definedName name="x">#REF!</definedName>
    <definedName name="X_Terms" localSheetId="7">#REF!</definedName>
    <definedName name="X_Terms" localSheetId="32">#REF!</definedName>
    <definedName name="X_Terms">#REF!</definedName>
    <definedName name="x_users" localSheetId="7">#REF!</definedName>
    <definedName name="x_users" localSheetId="32">#REF!</definedName>
    <definedName name="x_users">#REF!</definedName>
    <definedName name="XFormula" localSheetId="7">#REF!</definedName>
    <definedName name="XFormula" localSheetId="32">#REF!</definedName>
    <definedName name="XFormula">#REF!</definedName>
    <definedName name="xx" localSheetId="7">'[70]TRIAL BALANCE'!#REF!</definedName>
    <definedName name="xx" localSheetId="32">'[70]TRIAL BALANCE'!#REF!</definedName>
    <definedName name="xx">'[70]TRIAL BALANCE'!#REF!</definedName>
    <definedName name="XXXXX" localSheetId="7">#REF!</definedName>
    <definedName name="XXXXX" localSheetId="32">#REF!</definedName>
    <definedName name="XXXXX" localSheetId="26">#REF!</definedName>
    <definedName name="XXXXX">#REF!</definedName>
    <definedName name="xyz" localSheetId="7">#REF!</definedName>
    <definedName name="xyz" localSheetId="32">#REF!</definedName>
    <definedName name="xyz">#REF!</definedName>
    <definedName name="Y" localSheetId="7">#REF!</definedName>
    <definedName name="Y" localSheetId="32">#REF!</definedName>
    <definedName name="Y">#REF!</definedName>
    <definedName name="Y3OPSauto_upsell" localSheetId="7">#REF!</definedName>
    <definedName name="Y3OPSauto_upsell" localSheetId="32">#REF!</definedName>
    <definedName name="Y3OPSauto_upsell">#REF!</definedName>
    <definedName name="Y3Res_upsell" localSheetId="7">#REF!</definedName>
    <definedName name="Y3Res_upsell" localSheetId="32">#REF!</definedName>
    <definedName name="Y3Res_upsell">#REF!</definedName>
    <definedName name="year" localSheetId="7">#REF!</definedName>
    <definedName name="year" localSheetId="32">#REF!</definedName>
    <definedName name="year">#REF!</definedName>
    <definedName name="Years">'[56]LSL at 31 Dec 01 Problem'!$F$27:$F$37</definedName>
    <definedName name="Years_also">'[56]LSL at 31 Dec 01'!$F$27:$F$37</definedName>
    <definedName name="Years_service">'[56]LSL at 31 Dec 01 Problem'!$F$27:$G$37</definedName>
    <definedName name="YFormula" localSheetId="7">#REF!</definedName>
    <definedName name="YFormula" localSheetId="32">#REF!</definedName>
    <definedName name="YFormula">#REF!</definedName>
    <definedName name="YOPSauto_upsell" localSheetId="7">#REF!</definedName>
    <definedName name="YOPSauto_upsell" localSheetId="32">#REF!</definedName>
    <definedName name="YOPSauto_upsell">#REF!</definedName>
    <definedName name="York_Graphs" localSheetId="7">#REF!</definedName>
    <definedName name="York_Graphs" localSheetId="32">#REF!</definedName>
    <definedName name="York_Graphs">#REF!</definedName>
    <definedName name="YTD_ACTL_GRF">'[22]IS Mo'!$AH$77:$AS$129</definedName>
    <definedName name="YTD_ACTL_INN">'[22]IS Mo'!$BL$77:$BW$129</definedName>
    <definedName name="YTD_ACTL_PUB">'[22]IS Mo'!$AW$77:$BH$129</definedName>
    <definedName name="YTD_BGT_GRF">'[22]IS Mo'!$AH$200:$AS$252</definedName>
    <definedName name="YTD_BGT_INN">'[22]IS Mo'!$BL$200:$BW$252</definedName>
    <definedName name="YTD_BGT_PUB">'[22]IS Mo'!$AW$200:$BH$252</definedName>
    <definedName name="YTD_FCST_GRF">'[22]IS Mo'!$CP$77:$DA$129</definedName>
    <definedName name="YTD_FCST_INN">'[22]IS Mo'!$DT$77:$EE$129</definedName>
    <definedName name="YTD_FCST_PUB">'[22]IS Mo'!$DE$77:$DP$129</definedName>
    <definedName name="YTD_PREV_GRF">'[22]IS Mo'!$EX$77:$FI$129</definedName>
    <definedName name="YTD_PREV_INN">'[22]IS Mo'!$GB$77:$GM$129</definedName>
    <definedName name="YTD_PREV_PUB">'[22]IS Mo'!$FM$77:$FX$129</definedName>
    <definedName name="z" localSheetId="7">[71]CSCCincSKR!#REF!</definedName>
    <definedName name="z" localSheetId="32">[71]CSCCincSKR!#REF!</definedName>
    <definedName name="z" localSheetId="26">[71]CSCCincSKR!#REF!</definedName>
    <definedName name="z">[71]CSCCincSKR!#REF!</definedName>
    <definedName name="Z_29D0F0EC_9D78_11D8_966D_0010DCD29A52_.wvu.FilterData" localSheetId="7" hidden="1">'[72]4. TOP 25 QTY &amp; VALUE WISE '!$C$5:$E$5</definedName>
    <definedName name="Z_29D0F0EC_9D78_11D8_966D_0010DCD29A52_.wvu.FilterData" hidden="1">'[72]4. TOP 25 QTY &amp; VALUE WISE '!$C$5:$E$5</definedName>
    <definedName name="Z_29D0F0EC_9D78_11D8_966D_0010DCD29A52_.wvu.Rows" localSheetId="7" hidden="1">'[72]INDIVIDUAL GRAPH DATA'!#REF!,'[72]INDIVIDUAL GRAPH DATA'!#REF!,'[72]INDIVIDUAL GRAPH DATA'!#REF!,'[72]INDIVIDUAL GRAPH DATA'!#REF!</definedName>
    <definedName name="Z_29D0F0EC_9D78_11D8_966D_0010DCD29A52_.wvu.Rows" localSheetId="32" hidden="1">'[72]INDIVIDUAL GRAPH DATA'!#REF!,'[72]INDIVIDUAL GRAPH DATA'!#REF!,'[72]INDIVIDUAL GRAPH DATA'!#REF!,'[72]INDIVIDUAL GRAPH DATA'!#REF!</definedName>
    <definedName name="Z_29D0F0EC_9D78_11D8_966D_0010DCD29A52_.wvu.Rows" localSheetId="26" hidden="1">'[72]INDIVIDUAL GRAPH DATA'!#REF!,'[72]INDIVIDUAL GRAPH DATA'!#REF!,'[72]INDIVIDUAL GRAPH DATA'!#REF!,'[72]INDIVIDUAL GRAPH DATA'!#REF!</definedName>
    <definedName name="Z_29D0F0EC_9D78_11D8_966D_0010DCD29A52_.wvu.Rows" hidden="1">'[72]INDIVIDUAL GRAPH DATA'!#REF!,'[72]INDIVIDUAL GRAPH DATA'!#REF!,'[72]INDIVIDUAL GRAPH DATA'!#REF!,'[72]INDIVIDUAL GRAPH DATA'!#REF!</definedName>
    <definedName name="Z_87FC2C73_120F_4A0A_A49E_0CF96AAB3E9C_.wvu.FilterData" localSheetId="7" hidden="1">#REF!</definedName>
    <definedName name="Z_87FC2C73_120F_4A0A_A49E_0CF96AAB3E9C_.wvu.FilterData" localSheetId="32" hidden="1">#REF!</definedName>
    <definedName name="Z_87FC2C73_120F_4A0A_A49E_0CF96AAB3E9C_.wvu.FilterData" localSheetId="26" hidden="1">#REF!</definedName>
    <definedName name="Z_87FC2C73_120F_4A0A_A49E_0CF96AAB3E9C_.wvu.FilterData" hidden="1">#REF!</definedName>
    <definedName name="Z_B42642A0_9DD9_11D8_B59F_0050BA8C98A5_.wvu.FilterData" localSheetId="7" hidden="1">'[72]4. TOP 25 QTY &amp; VALUE WISE '!$C$5:$E$5</definedName>
    <definedName name="Z_B42642A0_9DD9_11D8_B59F_0050BA8C98A5_.wvu.FilterData" hidden="1">'[72]4. TOP 25 QTY &amp; VALUE WISE '!$C$5:$E$5</definedName>
    <definedName name="Z_B42642A0_9DD9_11D8_B59F_0050BA8C98A5_.wvu.Rows" localSheetId="7" hidden="1">'[72]INDIVIDUAL GRAPH DATA'!#REF!,'[72]INDIVIDUAL GRAPH DATA'!#REF!,'[72]INDIVIDUAL GRAPH DATA'!#REF!,'[72]INDIVIDUAL GRAPH DATA'!#REF!</definedName>
    <definedName name="Z_B42642A0_9DD9_11D8_B59F_0050BA8C98A5_.wvu.Rows" localSheetId="32" hidden="1">'[72]INDIVIDUAL GRAPH DATA'!#REF!,'[72]INDIVIDUAL GRAPH DATA'!#REF!,'[72]INDIVIDUAL GRAPH DATA'!#REF!,'[72]INDIVIDUAL GRAPH DATA'!#REF!</definedName>
    <definedName name="Z_B42642A0_9DD9_11D8_B59F_0050BA8C98A5_.wvu.Rows" localSheetId="26" hidden="1">'[72]INDIVIDUAL GRAPH DATA'!#REF!,'[72]INDIVIDUAL GRAPH DATA'!#REF!,'[72]INDIVIDUAL GRAPH DATA'!#REF!,'[72]INDIVIDUAL GRAPH DATA'!#REF!</definedName>
    <definedName name="Z_B42642A0_9DD9_11D8_B59F_0050BA8C98A5_.wvu.Rows" hidden="1">'[72]INDIVIDUAL GRAPH DATA'!#REF!,'[72]INDIVIDUAL GRAPH DATA'!#REF!,'[72]INDIVIDUAL GRAPH DATA'!#REF!,'[72]INDIVIDUAL GRAPH DATA'!#REF!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24" i="35" l="1"/>
  <c r="C26" i="35" s="1"/>
  <c r="C18" i="35"/>
  <c r="C34" i="35"/>
  <c r="D40" i="35"/>
  <c r="E18" i="23"/>
  <c r="D496" i="5"/>
  <c r="C353" i="5"/>
  <c r="D175" i="5" l="1"/>
  <c r="D304" i="5"/>
  <c r="D301" i="5"/>
  <c r="C381" i="5"/>
  <c r="D27" i="1"/>
  <c r="C24" i="5"/>
  <c r="D26" i="1"/>
  <c r="E52" i="2"/>
  <c r="D374" i="5"/>
  <c r="C158" i="5"/>
  <c r="C160" i="5"/>
  <c r="D19" i="1"/>
  <c r="C455" i="5"/>
  <c r="D416" i="5"/>
  <c r="C328" i="5"/>
  <c r="C322" i="5"/>
  <c r="E28" i="2"/>
  <c r="C63" i="5"/>
  <c r="A3" i="108"/>
  <c r="C374" i="5"/>
  <c r="C15" i="5"/>
  <c r="D9" i="5"/>
  <c r="C38" i="5"/>
  <c r="C40" i="5"/>
  <c r="C52" i="5"/>
  <c r="C114" i="5"/>
  <c r="C107" i="5"/>
  <c r="C106" i="5"/>
  <c r="C105" i="5"/>
  <c r="C104" i="5"/>
  <c r="C298" i="5"/>
  <c r="C373" i="5"/>
  <c r="C359" i="5"/>
  <c r="E39" i="2"/>
  <c r="D39" i="2"/>
  <c r="E45" i="2"/>
  <c r="C312" i="5"/>
  <c r="D45" i="2" s="1"/>
  <c r="C311" i="5"/>
  <c r="B26" i="10"/>
  <c r="B36" i="10"/>
  <c r="D9" i="2"/>
  <c r="D13" i="107" l="1"/>
  <c r="E13" i="107"/>
  <c r="E17" i="107"/>
  <c r="E9" i="107"/>
  <c r="D9" i="107"/>
  <c r="E8" i="107"/>
  <c r="D8" i="107"/>
  <c r="D389" i="5"/>
  <c r="C389" i="5"/>
  <c r="D394" i="5"/>
  <c r="D393" i="5"/>
  <c r="D395" i="5" s="1"/>
  <c r="C393" i="5"/>
  <c r="D399" i="5"/>
  <c r="C399" i="5"/>
  <c r="J355" i="5"/>
  <c r="D160" i="5" l="1"/>
  <c r="D159" i="5" s="1"/>
  <c r="C159" i="5"/>
  <c r="D130" i="5"/>
  <c r="C130" i="5"/>
  <c r="D487" i="5"/>
  <c r="D39" i="5"/>
  <c r="C39" i="112" l="1"/>
  <c r="C10" i="112"/>
  <c r="M60" i="71" l="1"/>
  <c r="L60" i="71"/>
  <c r="I60" i="71"/>
  <c r="H60" i="71"/>
  <c r="G60" i="71"/>
  <c r="F60" i="71"/>
  <c r="E60" i="71"/>
  <c r="C59" i="71"/>
  <c r="J59" i="71" s="1"/>
  <c r="C58" i="71"/>
  <c r="K58" i="71" s="1"/>
  <c r="N58" i="71" s="1"/>
  <c r="K57" i="71"/>
  <c r="N57" i="71" s="1"/>
  <c r="J57" i="71"/>
  <c r="C57" i="71"/>
  <c r="C56" i="71"/>
  <c r="C60" i="71" s="1"/>
  <c r="F82" i="112"/>
  <c r="G81" i="112"/>
  <c r="E81" i="112"/>
  <c r="E82" i="112" s="1"/>
  <c r="D81" i="112"/>
  <c r="G79" i="112"/>
  <c r="G82" i="112" s="1"/>
  <c r="P53" i="112"/>
  <c r="K46" i="112"/>
  <c r="C44" i="112"/>
  <c r="C43" i="112"/>
  <c r="C38" i="112"/>
  <c r="C37" i="112"/>
  <c r="C36" i="112"/>
  <c r="I27" i="112"/>
  <c r="L23" i="112"/>
  <c r="L24" i="112" s="1"/>
  <c r="K4" i="112"/>
  <c r="J8" i="112" s="1"/>
  <c r="C484" i="5"/>
  <c r="H167" i="102"/>
  <c r="D167" i="102"/>
  <c r="C41" i="112" l="1"/>
  <c r="O57" i="71"/>
  <c r="K59" i="71"/>
  <c r="N59" i="71" s="1"/>
  <c r="O59" i="71" s="1"/>
  <c r="J56" i="71"/>
  <c r="K56" i="71"/>
  <c r="J58" i="71"/>
  <c r="O58" i="71" s="1"/>
  <c r="L25" i="112"/>
  <c r="N24" i="112"/>
  <c r="K5" i="112"/>
  <c r="N23" i="112"/>
  <c r="D79" i="112"/>
  <c r="D82" i="112" s="1"/>
  <c r="J65" i="101"/>
  <c r="K244" i="102"/>
  <c r="J60" i="71" l="1"/>
  <c r="N56" i="71"/>
  <c r="N60" i="71" s="1"/>
  <c r="K60" i="71"/>
  <c r="M25" i="112"/>
  <c r="L26" i="112"/>
  <c r="N25" i="112"/>
  <c r="L27" i="112"/>
  <c r="J163" i="102"/>
  <c r="J162" i="102"/>
  <c r="J161" i="102"/>
  <c r="J160" i="102"/>
  <c r="G344" i="5"/>
  <c r="D93" i="5"/>
  <c r="G93" i="5"/>
  <c r="C108" i="5"/>
  <c r="H119" i="5"/>
  <c r="H120" i="5" s="1"/>
  <c r="C109" i="5" l="1"/>
  <c r="C93" i="5" s="1"/>
  <c r="O56" i="71"/>
  <c r="O60" i="71" s="1"/>
  <c r="M26" i="112"/>
  <c r="N26" i="112" s="1"/>
  <c r="N27" i="112" s="1"/>
  <c r="M27" i="112"/>
  <c r="H52" i="5"/>
  <c r="C55" i="5"/>
  <c r="D14" i="2" s="1"/>
  <c r="J89" i="102"/>
  <c r="J152" i="101"/>
  <c r="B12" i="40"/>
  <c r="J41" i="110"/>
  <c r="C338" i="102"/>
  <c r="B3" i="40"/>
  <c r="C334" i="102"/>
  <c r="J19" i="6"/>
  <c r="I19" i="6"/>
  <c r="J15" i="6"/>
  <c r="J13" i="6"/>
  <c r="I13" i="6"/>
  <c r="E69" i="112" l="1"/>
  <c r="G22" i="112"/>
  <c r="D55" i="5"/>
  <c r="C33" i="102"/>
  <c r="L37" i="104"/>
  <c r="F19" i="46" l="1"/>
  <c r="I74" i="46"/>
  <c r="I73" i="46"/>
  <c r="I72" i="46"/>
  <c r="I71" i="46"/>
  <c r="I70" i="46"/>
  <c r="I69" i="46"/>
  <c r="I68" i="46"/>
  <c r="I67" i="46"/>
  <c r="I66" i="46"/>
  <c r="I65" i="46"/>
  <c r="D244" i="5"/>
  <c r="C209" i="5"/>
  <c r="C208" i="5"/>
  <c r="C188" i="5"/>
  <c r="I58" i="2" l="1"/>
  <c r="H58" i="2"/>
  <c r="F52" i="2"/>
  <c r="G52" i="2"/>
  <c r="G42" i="2"/>
  <c r="G54" i="2" s="1"/>
  <c r="G35" i="2"/>
  <c r="G26" i="2"/>
  <c r="G18" i="2"/>
  <c r="G28" i="2" s="1"/>
  <c r="I57" i="35"/>
  <c r="I56" i="35"/>
  <c r="I55" i="35"/>
  <c r="I54" i="35"/>
  <c r="I53" i="35"/>
  <c r="I52" i="35"/>
  <c r="I51" i="35"/>
  <c r="I50" i="35"/>
  <c r="I46" i="35"/>
  <c r="I45" i="35"/>
  <c r="I43" i="35"/>
  <c r="I41" i="35"/>
  <c r="I37" i="35"/>
  <c r="I36" i="35"/>
  <c r="I35" i="35"/>
  <c r="I29" i="35"/>
  <c r="I27" i="35"/>
  <c r="I20" i="35"/>
  <c r="I19" i="35"/>
  <c r="I9" i="35"/>
  <c r="I74" i="6"/>
  <c r="H74" i="6"/>
  <c r="D462" i="5"/>
  <c r="C38" i="35" l="1"/>
  <c r="J78" i="102"/>
  <c r="J181" i="102" s="1"/>
  <c r="V89" i="102"/>
  <c r="W90" i="102" s="1"/>
  <c r="J187" i="101"/>
  <c r="J64" i="101"/>
  <c r="I3" i="102"/>
  <c r="J38" i="102"/>
  <c r="J47" i="102"/>
  <c r="J190" i="102"/>
  <c r="J211" i="102"/>
  <c r="M89" i="102" l="1"/>
  <c r="F93" i="102" s="1"/>
  <c r="D143" i="101" l="1"/>
  <c r="D200" i="101" s="1"/>
  <c r="G6" i="45"/>
  <c r="F6" i="45"/>
  <c r="C528" i="5"/>
  <c r="C527" i="5"/>
  <c r="J383" i="5"/>
  <c r="J384" i="5"/>
  <c r="K143" i="101" l="1"/>
  <c r="B9" i="40"/>
  <c r="B8" i="40"/>
  <c r="D130" i="102"/>
  <c r="I14" i="101"/>
  <c r="G14" i="101"/>
  <c r="E14" i="101"/>
  <c r="D57" i="101"/>
  <c r="D58" i="101" s="1"/>
  <c r="D19" i="101"/>
  <c r="S58" i="101"/>
  <c r="R58" i="101"/>
  <c r="Q58" i="101"/>
  <c r="P58" i="101"/>
  <c r="O58" i="101"/>
  <c r="N58" i="101"/>
  <c r="M58" i="101"/>
  <c r="L58" i="101"/>
  <c r="J58" i="101"/>
  <c r="I58" i="101"/>
  <c r="H58" i="101"/>
  <c r="G58" i="101"/>
  <c r="F58" i="101"/>
  <c r="E58" i="101"/>
  <c r="C58" i="101"/>
  <c r="D63" i="101"/>
  <c r="H20" i="111"/>
  <c r="C13" i="111" s="1"/>
  <c r="D41" i="101"/>
  <c r="K41" i="101" s="1"/>
  <c r="D101" i="101"/>
  <c r="K101" i="101" s="1"/>
  <c r="D37" i="101"/>
  <c r="K37" i="101" s="1"/>
  <c r="D36" i="101"/>
  <c r="D343" i="102"/>
  <c r="D124" i="102"/>
  <c r="K124" i="102" s="1"/>
  <c r="D5" i="111"/>
  <c r="C3" i="111"/>
  <c r="C4" i="111"/>
  <c r="I9" i="111"/>
  <c r="H9" i="111"/>
  <c r="D10" i="111"/>
  <c r="C162" i="101"/>
  <c r="C48" i="101"/>
  <c r="L48" i="101"/>
  <c r="T48" i="101" s="1"/>
  <c r="E48" i="101"/>
  <c r="G48" i="101"/>
  <c r="I48" i="101"/>
  <c r="D20" i="111"/>
  <c r="D312" i="5"/>
  <c r="D311" i="5"/>
  <c r="C66" i="5"/>
  <c r="D66" i="5" s="1"/>
  <c r="D105" i="101" l="1"/>
  <c r="K105" i="101" s="1"/>
  <c r="D40" i="101"/>
  <c r="D14" i="111"/>
  <c r="K48" i="101"/>
  <c r="C463" i="5" l="1"/>
  <c r="F13" i="40"/>
  <c r="F12" i="40"/>
  <c r="F9" i="40"/>
  <c r="F8" i="40"/>
  <c r="F7" i="40"/>
  <c r="F132" i="101"/>
  <c r="K132" i="101" s="1"/>
  <c r="D242" i="102"/>
  <c r="K242" i="102" s="1"/>
  <c r="B6" i="40"/>
  <c r="F6" i="40" s="1"/>
  <c r="B4" i="40"/>
  <c r="D113" i="101"/>
  <c r="D20" i="101"/>
  <c r="D166" i="102"/>
  <c r="K166" i="102" s="1"/>
  <c r="M166" i="102"/>
  <c r="T166" i="102" s="1"/>
  <c r="D245" i="102"/>
  <c r="A1" i="102"/>
  <c r="C4" i="32"/>
  <c r="F4" i="32"/>
  <c r="C5" i="32"/>
  <c r="E5" i="32"/>
  <c r="D12" i="32" s="1"/>
  <c r="C6" i="32"/>
  <c r="D7" i="32"/>
  <c r="F7" i="32"/>
  <c r="G7" i="32"/>
  <c r="H7" i="32"/>
  <c r="I7" i="32"/>
  <c r="P7" i="32"/>
  <c r="Q7" i="32"/>
  <c r="R7" i="32"/>
  <c r="S7" i="32"/>
  <c r="T7" i="32"/>
  <c r="P10" i="32"/>
  <c r="Q10" i="32"/>
  <c r="R10" i="32"/>
  <c r="S10" i="32"/>
  <c r="D11" i="32"/>
  <c r="E11" i="32"/>
  <c r="F11" i="32"/>
  <c r="G11" i="32"/>
  <c r="G14" i="32" s="1"/>
  <c r="L11" i="32"/>
  <c r="M11" i="32"/>
  <c r="N11" i="32"/>
  <c r="O11" i="32"/>
  <c r="P11" i="32" s="1"/>
  <c r="P14" i="32" s="1"/>
  <c r="F12" i="32"/>
  <c r="G12" i="32"/>
  <c r="P12" i="32"/>
  <c r="Q12" i="32"/>
  <c r="R12" i="32"/>
  <c r="S12" i="32"/>
  <c r="D13" i="32"/>
  <c r="P13" i="32"/>
  <c r="F14" i="32"/>
  <c r="H14" i="32"/>
  <c r="T14" i="32"/>
  <c r="S19" i="32" s="1"/>
  <c r="S22" i="32" s="1"/>
  <c r="P17" i="32"/>
  <c r="Q17" i="32"/>
  <c r="R17" i="32"/>
  <c r="S17" i="32"/>
  <c r="T17" i="32"/>
  <c r="F19" i="32"/>
  <c r="T19" i="32"/>
  <c r="R20" i="32"/>
  <c r="S20" i="32"/>
  <c r="T20" i="32"/>
  <c r="T22" i="32" s="1"/>
  <c r="D144" i="101"/>
  <c r="S59" i="102"/>
  <c r="R59" i="102"/>
  <c r="Q59" i="102"/>
  <c r="P59" i="102"/>
  <c r="O59" i="102"/>
  <c r="N59" i="102"/>
  <c r="M59" i="102"/>
  <c r="J59" i="102"/>
  <c r="H59" i="102"/>
  <c r="F59" i="102"/>
  <c r="K56" i="102"/>
  <c r="D56" i="102"/>
  <c r="D59" i="102" s="1"/>
  <c r="F144" i="101"/>
  <c r="D136" i="101"/>
  <c r="T334" i="102"/>
  <c r="T14" i="101"/>
  <c r="S15" i="101"/>
  <c r="R15" i="101"/>
  <c r="Q15" i="101"/>
  <c r="P15" i="101"/>
  <c r="O15" i="101"/>
  <c r="N15" i="101"/>
  <c r="M15" i="101"/>
  <c r="L15" i="101"/>
  <c r="B5" i="40" l="1"/>
  <c r="F5" i="40" s="1"/>
  <c r="B10" i="40"/>
  <c r="F10" i="40" s="1"/>
  <c r="D14" i="32"/>
  <c r="D15" i="32" s="1"/>
  <c r="E20" i="32"/>
  <c r="D20" i="32"/>
  <c r="P15" i="32"/>
  <c r="S11" i="32"/>
  <c r="S14" i="32" s="1"/>
  <c r="R11" i="32"/>
  <c r="R14" i="32" s="1"/>
  <c r="E7" i="32"/>
  <c r="E12" i="32"/>
  <c r="E14" i="32" s="1"/>
  <c r="Q11" i="32"/>
  <c r="Q14" i="32" s="1"/>
  <c r="P19" i="32" s="1"/>
  <c r="M13" i="40"/>
  <c r="M12" i="40"/>
  <c r="M11" i="40"/>
  <c r="M10" i="40"/>
  <c r="M9" i="40"/>
  <c r="M8" i="40"/>
  <c r="M7" i="40"/>
  <c r="M6" i="40"/>
  <c r="M5" i="40"/>
  <c r="M4" i="40"/>
  <c r="I11" i="40"/>
  <c r="A1" i="101"/>
  <c r="P20" i="32" l="1"/>
  <c r="P22" i="32" s="1"/>
  <c r="Q19" i="32"/>
  <c r="Q22" i="32" s="1"/>
  <c r="R19" i="32"/>
  <c r="R22" i="32" s="1"/>
  <c r="Q20" i="32"/>
  <c r="E19" i="32"/>
  <c r="E22" i="32" s="1"/>
  <c r="D19" i="32"/>
  <c r="D22" i="32" s="1"/>
  <c r="B2" i="40"/>
  <c r="K52" i="102"/>
  <c r="T367" i="102" l="1"/>
  <c r="T259" i="102" l="1"/>
  <c r="T164" i="102"/>
  <c r="T133" i="102"/>
  <c r="T93" i="102"/>
  <c r="T28" i="102"/>
  <c r="T12" i="102"/>
  <c r="K245" i="102"/>
  <c r="K167" i="102"/>
  <c r="K133" i="102"/>
  <c r="K89" i="102"/>
  <c r="K12" i="102"/>
  <c r="E2" i="40"/>
  <c r="E14" i="40" s="1"/>
  <c r="D2" i="40"/>
  <c r="C2" i="40"/>
  <c r="L316" i="102"/>
  <c r="T316" i="102" s="1"/>
  <c r="E197" i="101"/>
  <c r="E196" i="101"/>
  <c r="E195" i="101"/>
  <c r="E194" i="101"/>
  <c r="E193" i="101"/>
  <c r="E192" i="101"/>
  <c r="E191" i="101"/>
  <c r="E190" i="101"/>
  <c r="E189" i="101"/>
  <c r="E188" i="101"/>
  <c r="E187" i="101"/>
  <c r="E183" i="101"/>
  <c r="E179" i="101"/>
  <c r="E175" i="101"/>
  <c r="E167" i="101"/>
  <c r="E164" i="101"/>
  <c r="E163" i="101"/>
  <c r="E162" i="101"/>
  <c r="E161" i="101"/>
  <c r="E157" i="101"/>
  <c r="E156" i="101"/>
  <c r="E155" i="101"/>
  <c r="E154" i="101"/>
  <c r="E153" i="101"/>
  <c r="E152" i="101"/>
  <c r="E144" i="101"/>
  <c r="E139" i="101"/>
  <c r="E136" i="101"/>
  <c r="E131" i="101"/>
  <c r="E126" i="101"/>
  <c r="E122" i="101"/>
  <c r="E118" i="101"/>
  <c r="E113" i="101"/>
  <c r="E109" i="101"/>
  <c r="E97" i="101"/>
  <c r="E92" i="101"/>
  <c r="E86" i="101"/>
  <c r="E85" i="101"/>
  <c r="E77" i="101"/>
  <c r="E76" i="101"/>
  <c r="E75" i="101"/>
  <c r="E74" i="101"/>
  <c r="E73" i="101"/>
  <c r="E72" i="101"/>
  <c r="E71" i="101"/>
  <c r="E70" i="101"/>
  <c r="E64" i="101"/>
  <c r="E53" i="101"/>
  <c r="E47" i="101"/>
  <c r="E40" i="101"/>
  <c r="E36" i="101"/>
  <c r="E30" i="101"/>
  <c r="E25" i="101"/>
  <c r="E20" i="101"/>
  <c r="E13" i="101"/>
  <c r="E10" i="101"/>
  <c r="E9" i="101"/>
  <c r="E8" i="101"/>
  <c r="E7" i="101"/>
  <c r="E2" i="101"/>
  <c r="G2" i="101"/>
  <c r="L22" i="110"/>
  <c r="H22" i="110"/>
  <c r="D22" i="110"/>
  <c r="E8" i="110"/>
  <c r="E1" i="110"/>
  <c r="C193" i="101"/>
  <c r="G193" i="101"/>
  <c r="L193" i="101"/>
  <c r="T193" i="101" s="1"/>
  <c r="M53" i="110"/>
  <c r="I53" i="110"/>
  <c r="E53" i="110"/>
  <c r="G197" i="101"/>
  <c r="G196" i="101"/>
  <c r="G195" i="101"/>
  <c r="G194" i="101"/>
  <c r="G192" i="101"/>
  <c r="G191" i="101"/>
  <c r="G190" i="101"/>
  <c r="G189" i="101"/>
  <c r="G188" i="101"/>
  <c r="G187" i="101"/>
  <c r="G183" i="101"/>
  <c r="G179" i="101"/>
  <c r="G175" i="101"/>
  <c r="G167" i="101"/>
  <c r="G164" i="101"/>
  <c r="G163" i="101"/>
  <c r="G162" i="101"/>
  <c r="G161" i="101"/>
  <c r="G157" i="101"/>
  <c r="G156" i="101"/>
  <c r="G155" i="101"/>
  <c r="G154" i="101"/>
  <c r="G153" i="101"/>
  <c r="G152" i="101"/>
  <c r="G144" i="101"/>
  <c r="G139" i="101"/>
  <c r="G136" i="101"/>
  <c r="G131" i="101"/>
  <c r="G126" i="101"/>
  <c r="G122" i="101"/>
  <c r="G118" i="101"/>
  <c r="G113" i="101"/>
  <c r="G109" i="101"/>
  <c r="G97" i="101"/>
  <c r="G92" i="101"/>
  <c r="G86" i="101"/>
  <c r="G85" i="101"/>
  <c r="G77" i="101"/>
  <c r="G76" i="101"/>
  <c r="G75" i="101"/>
  <c r="G74" i="101"/>
  <c r="G73" i="101"/>
  <c r="G72" i="101"/>
  <c r="G71" i="101"/>
  <c r="G70" i="101"/>
  <c r="G64" i="101"/>
  <c r="G53" i="101"/>
  <c r="G47" i="101"/>
  <c r="G40" i="101"/>
  <c r="G36" i="101"/>
  <c r="G30" i="101"/>
  <c r="G25" i="101"/>
  <c r="G20" i="101"/>
  <c r="G13" i="101"/>
  <c r="G10" i="101"/>
  <c r="G9" i="101"/>
  <c r="G8" i="101"/>
  <c r="G7" i="101"/>
  <c r="I2" i="101"/>
  <c r="I197" i="101"/>
  <c r="I196" i="101"/>
  <c r="I195" i="101"/>
  <c r="I194" i="101"/>
  <c r="I191" i="101"/>
  <c r="I190" i="101"/>
  <c r="I189" i="101"/>
  <c r="I188" i="101"/>
  <c r="I183" i="101"/>
  <c r="I185" i="101" s="1"/>
  <c r="I179" i="101"/>
  <c r="I181" i="101" s="1"/>
  <c r="I175" i="101"/>
  <c r="I177" i="101" s="1"/>
  <c r="I167" i="101"/>
  <c r="I169" i="101" s="1"/>
  <c r="I164" i="101"/>
  <c r="I163" i="101"/>
  <c r="I162" i="101"/>
  <c r="I161" i="101"/>
  <c r="I157" i="101"/>
  <c r="I156" i="101"/>
  <c r="I155" i="101"/>
  <c r="I154" i="101"/>
  <c r="I153" i="101"/>
  <c r="I152" i="101"/>
  <c r="I144" i="101"/>
  <c r="I145" i="101" s="1"/>
  <c r="I139" i="101"/>
  <c r="I141" i="101" s="1"/>
  <c r="I136" i="101"/>
  <c r="I137" i="101" s="1"/>
  <c r="I131" i="101"/>
  <c r="I133" i="101" s="1"/>
  <c r="I126" i="101"/>
  <c r="I128" i="101" s="1"/>
  <c r="I122" i="101"/>
  <c r="I124" i="101" s="1"/>
  <c r="I118" i="101"/>
  <c r="I120" i="101" s="1"/>
  <c r="I113" i="101"/>
  <c r="I115" i="101" s="1"/>
  <c r="I109" i="101"/>
  <c r="I111" i="101" s="1"/>
  <c r="I97" i="101"/>
  <c r="I99" i="101" s="1"/>
  <c r="I92" i="101"/>
  <c r="I94" i="101" s="1"/>
  <c r="I86" i="101"/>
  <c r="I85" i="101"/>
  <c r="I77" i="101"/>
  <c r="I76" i="101"/>
  <c r="I75" i="101"/>
  <c r="I74" i="101"/>
  <c r="I73" i="101"/>
  <c r="I72" i="101"/>
  <c r="I71" i="101"/>
  <c r="I70" i="101"/>
  <c r="I53" i="101"/>
  <c r="I55" i="101" s="1"/>
  <c r="I47" i="101"/>
  <c r="I50" i="101" s="1"/>
  <c r="I40" i="101"/>
  <c r="I42" i="101" s="1"/>
  <c r="I36" i="101"/>
  <c r="I38" i="101" s="1"/>
  <c r="I30" i="101"/>
  <c r="I32" i="101" s="1"/>
  <c r="I25" i="101"/>
  <c r="I27" i="101" s="1"/>
  <c r="I20" i="101"/>
  <c r="I21" i="101" s="1"/>
  <c r="I13" i="101"/>
  <c r="I10" i="101"/>
  <c r="I9" i="101"/>
  <c r="I8" i="101"/>
  <c r="I7" i="101"/>
  <c r="L157" i="101"/>
  <c r="T157" i="101" s="1"/>
  <c r="C157" i="101"/>
  <c r="T200" i="101"/>
  <c r="T171" i="101"/>
  <c r="T135" i="101"/>
  <c r="T104" i="101"/>
  <c r="T100" i="101"/>
  <c r="T80" i="101"/>
  <c r="T61" i="101"/>
  <c r="T57" i="101"/>
  <c r="T58" i="101" s="1"/>
  <c r="T19" i="101"/>
  <c r="K171" i="101"/>
  <c r="K135" i="101"/>
  <c r="K104" i="101"/>
  <c r="K100" i="101"/>
  <c r="K80" i="101"/>
  <c r="K61" i="101"/>
  <c r="K57" i="101"/>
  <c r="K58" i="101" s="1"/>
  <c r="K19" i="101"/>
  <c r="T144" i="101"/>
  <c r="T36" i="101"/>
  <c r="T13" i="101"/>
  <c r="T15" i="101" s="1"/>
  <c r="S202" i="101"/>
  <c r="R202" i="101"/>
  <c r="S198" i="101"/>
  <c r="R198" i="101"/>
  <c r="S185" i="101"/>
  <c r="R185" i="101"/>
  <c r="S181" i="101"/>
  <c r="R181" i="101"/>
  <c r="S177" i="101"/>
  <c r="R177" i="101"/>
  <c r="S173" i="101"/>
  <c r="R173" i="101"/>
  <c r="S169" i="101"/>
  <c r="R169" i="101"/>
  <c r="S165" i="101"/>
  <c r="R165" i="101"/>
  <c r="S158" i="101"/>
  <c r="R158" i="101"/>
  <c r="S145" i="101"/>
  <c r="R145" i="101"/>
  <c r="S141" i="101"/>
  <c r="R141" i="101"/>
  <c r="S137" i="101"/>
  <c r="R137" i="101"/>
  <c r="S133" i="101"/>
  <c r="R133" i="101"/>
  <c r="S128" i="101"/>
  <c r="R128" i="101"/>
  <c r="S124" i="101"/>
  <c r="R124" i="101"/>
  <c r="S120" i="101"/>
  <c r="R120" i="101"/>
  <c r="S115" i="101"/>
  <c r="R115" i="101"/>
  <c r="S111" i="101"/>
  <c r="R111" i="101"/>
  <c r="S106" i="101"/>
  <c r="R106" i="101"/>
  <c r="S102" i="101"/>
  <c r="R102" i="101"/>
  <c r="S99" i="101"/>
  <c r="R99" i="101"/>
  <c r="S94" i="101"/>
  <c r="R94" i="101"/>
  <c r="S88" i="101"/>
  <c r="R88" i="101"/>
  <c r="S82" i="101"/>
  <c r="R82" i="101"/>
  <c r="S78" i="101"/>
  <c r="R78" i="101"/>
  <c r="S67" i="101"/>
  <c r="R67" i="101"/>
  <c r="S63" i="101"/>
  <c r="R63" i="101"/>
  <c r="S55" i="101"/>
  <c r="R55" i="101"/>
  <c r="S50" i="101"/>
  <c r="R50" i="101"/>
  <c r="S42" i="101"/>
  <c r="R42" i="101"/>
  <c r="S38" i="101"/>
  <c r="R38" i="101"/>
  <c r="S32" i="101"/>
  <c r="R32" i="101"/>
  <c r="S27" i="101"/>
  <c r="R27" i="101"/>
  <c r="S21" i="101"/>
  <c r="R21" i="101"/>
  <c r="S11" i="101"/>
  <c r="R11" i="101"/>
  <c r="J202" i="101"/>
  <c r="I202" i="101"/>
  <c r="J198" i="101"/>
  <c r="J185" i="101"/>
  <c r="J181" i="101"/>
  <c r="J177" i="101"/>
  <c r="J173" i="101"/>
  <c r="I173" i="101"/>
  <c r="J169" i="101"/>
  <c r="J165" i="101"/>
  <c r="J158" i="101"/>
  <c r="J145" i="101"/>
  <c r="J141" i="101"/>
  <c r="J137" i="101"/>
  <c r="J133" i="101"/>
  <c r="J128" i="101"/>
  <c r="J124" i="101"/>
  <c r="J120" i="101"/>
  <c r="J115" i="101"/>
  <c r="J111" i="101"/>
  <c r="J106" i="101"/>
  <c r="I106" i="101"/>
  <c r="J102" i="101"/>
  <c r="I102" i="101"/>
  <c r="J99" i="101"/>
  <c r="J94" i="101"/>
  <c r="J88" i="101"/>
  <c r="J82" i="101"/>
  <c r="I82" i="101"/>
  <c r="J78" i="101"/>
  <c r="J67" i="101"/>
  <c r="J63" i="101"/>
  <c r="I63" i="101"/>
  <c r="J55" i="101"/>
  <c r="J50" i="101"/>
  <c r="J42" i="101"/>
  <c r="J38" i="101"/>
  <c r="J32" i="101"/>
  <c r="J27" i="101"/>
  <c r="J21" i="101"/>
  <c r="J11" i="101"/>
  <c r="R221" i="101" l="1"/>
  <c r="S221" i="101"/>
  <c r="F2" i="40"/>
  <c r="K193" i="101"/>
  <c r="I165" i="101"/>
  <c r="I15" i="101"/>
  <c r="I88" i="101"/>
  <c r="I11" i="101"/>
  <c r="I78" i="101"/>
  <c r="I198" i="101"/>
  <c r="I158" i="101"/>
  <c r="K157" i="101"/>
  <c r="L53" i="110"/>
  <c r="L52" i="110"/>
  <c r="L51" i="110"/>
  <c r="L50" i="110"/>
  <c r="I323" i="102" s="1"/>
  <c r="L49" i="110"/>
  <c r="L48" i="110"/>
  <c r="L47" i="110"/>
  <c r="L46" i="110"/>
  <c r="L45" i="110"/>
  <c r="L44" i="110"/>
  <c r="L43" i="110"/>
  <c r="L42" i="110"/>
  <c r="L41" i="110"/>
  <c r="L40" i="110"/>
  <c r="L39" i="110"/>
  <c r="L38" i="110"/>
  <c r="L37" i="110"/>
  <c r="M35" i="110"/>
  <c r="L33" i="110"/>
  <c r="L32" i="110"/>
  <c r="L31" i="110"/>
  <c r="L30" i="110"/>
  <c r="M29" i="110"/>
  <c r="M28" i="110"/>
  <c r="M27" i="110"/>
  <c r="M26" i="110"/>
  <c r="M25" i="110"/>
  <c r="M24" i="110"/>
  <c r="M23" i="110"/>
  <c r="L20" i="110"/>
  <c r="L19" i="110"/>
  <c r="L18" i="110"/>
  <c r="L17" i="110"/>
  <c r="L16" i="110"/>
  <c r="L15" i="110"/>
  <c r="L13" i="110"/>
  <c r="L7" i="110"/>
  <c r="M8" i="110"/>
  <c r="I64" i="101" s="1"/>
  <c r="I67" i="101" s="1"/>
  <c r="H52" i="110"/>
  <c r="H51" i="110"/>
  <c r="H50" i="110"/>
  <c r="H49" i="110"/>
  <c r="H48" i="110"/>
  <c r="H47" i="110"/>
  <c r="H46" i="110"/>
  <c r="H45" i="110"/>
  <c r="H44" i="110"/>
  <c r="H43" i="110"/>
  <c r="H42" i="110"/>
  <c r="H41" i="110"/>
  <c r="H40" i="110"/>
  <c r="H39" i="110"/>
  <c r="H38" i="110"/>
  <c r="H37" i="110"/>
  <c r="I35" i="110"/>
  <c r="I34" i="110"/>
  <c r="H33" i="110"/>
  <c r="H32" i="110"/>
  <c r="H31" i="110"/>
  <c r="H30" i="110"/>
  <c r="I29" i="110"/>
  <c r="I28" i="110"/>
  <c r="I27" i="110"/>
  <c r="I26" i="110"/>
  <c r="I23" i="110"/>
  <c r="H20" i="110"/>
  <c r="H19" i="110"/>
  <c r="H18" i="110"/>
  <c r="H17" i="110"/>
  <c r="H16" i="110"/>
  <c r="H7" i="110"/>
  <c r="I343" i="102"/>
  <c r="I345" i="102" s="1"/>
  <c r="I338" i="102"/>
  <c r="I340" i="102" s="1"/>
  <c r="I333" i="102"/>
  <c r="I332" i="102"/>
  <c r="I331" i="102"/>
  <c r="I330" i="102"/>
  <c r="I329" i="102"/>
  <c r="I328" i="102"/>
  <c r="I327" i="102"/>
  <c r="I326" i="102"/>
  <c r="I325" i="102"/>
  <c r="I324" i="102"/>
  <c r="I322" i="102"/>
  <c r="I321" i="102"/>
  <c r="I320" i="102"/>
  <c r="I319" i="102"/>
  <c r="I318" i="102"/>
  <c r="I317" i="102"/>
  <c r="I316" i="102"/>
  <c r="I315" i="102"/>
  <c r="I314" i="102"/>
  <c r="I313" i="102"/>
  <c r="I312" i="102"/>
  <c r="I311" i="102"/>
  <c r="I310" i="102"/>
  <c r="I309" i="102"/>
  <c r="I308" i="102"/>
  <c r="I307" i="102"/>
  <c r="I306" i="102"/>
  <c r="I302" i="102"/>
  <c r="I301" i="102"/>
  <c r="I300" i="102"/>
  <c r="I299" i="102"/>
  <c r="I298" i="102"/>
  <c r="I297" i="102"/>
  <c r="I296" i="102"/>
  <c r="I292" i="102"/>
  <c r="I294" i="102" s="1"/>
  <c r="I288" i="102"/>
  <c r="I290" i="102" s="1"/>
  <c r="I285" i="102"/>
  <c r="I284" i="102"/>
  <c r="I283" i="102"/>
  <c r="I279" i="102"/>
  <c r="I281" i="102" s="1"/>
  <c r="I276" i="102"/>
  <c r="I275" i="102"/>
  <c r="I274" i="102"/>
  <c r="I273" i="102"/>
  <c r="I272" i="102"/>
  <c r="I268" i="102"/>
  <c r="I270" i="102" s="1"/>
  <c r="I264" i="102"/>
  <c r="I263" i="102"/>
  <c r="I258" i="102"/>
  <c r="I261" i="102" s="1"/>
  <c r="I254" i="102"/>
  <c r="I256" i="102" s="1"/>
  <c r="I249" i="102"/>
  <c r="I251" i="102" s="1"/>
  <c r="I241" i="102"/>
  <c r="I243" i="102" s="1"/>
  <c r="I237" i="102"/>
  <c r="I236" i="102"/>
  <c r="I235" i="102"/>
  <c r="I234" i="102"/>
  <c r="I230" i="102"/>
  <c r="I229" i="102"/>
  <c r="I228" i="102"/>
  <c r="I227" i="102"/>
  <c r="I222" i="102"/>
  <c r="I224" i="102" s="1"/>
  <c r="I219" i="102"/>
  <c r="I218" i="102"/>
  <c r="I217" i="102"/>
  <c r="I216" i="102"/>
  <c r="I211" i="102"/>
  <c r="I213" i="102" s="1"/>
  <c r="I207" i="102"/>
  <c r="I209" i="102" s="1"/>
  <c r="I202" i="102"/>
  <c r="I201" i="102"/>
  <c r="I196" i="102"/>
  <c r="I195" i="102"/>
  <c r="I190" i="102"/>
  <c r="I192" i="102" s="1"/>
  <c r="I185" i="102"/>
  <c r="I187" i="102" s="1"/>
  <c r="I181" i="102"/>
  <c r="I183" i="102" s="1"/>
  <c r="I177" i="102"/>
  <c r="I176" i="102"/>
  <c r="I172" i="102"/>
  <c r="I171" i="102"/>
  <c r="I165" i="102"/>
  <c r="I164" i="102"/>
  <c r="I163" i="102"/>
  <c r="I162" i="102"/>
  <c r="I161" i="102"/>
  <c r="I160" i="102"/>
  <c r="I155" i="102"/>
  <c r="I157" i="102" s="1"/>
  <c r="I150" i="102"/>
  <c r="I152" i="102" s="1"/>
  <c r="I146" i="102"/>
  <c r="I145" i="102"/>
  <c r="I139" i="102"/>
  <c r="I138" i="102"/>
  <c r="I137" i="102"/>
  <c r="I130" i="102"/>
  <c r="I129" i="102"/>
  <c r="I119" i="102"/>
  <c r="I118" i="102"/>
  <c r="I117" i="102"/>
  <c r="I116" i="102"/>
  <c r="I111" i="102"/>
  <c r="I110" i="102"/>
  <c r="I109" i="102"/>
  <c r="I108" i="102"/>
  <c r="I107" i="102"/>
  <c r="I106" i="102"/>
  <c r="I105" i="102"/>
  <c r="I104" i="102"/>
  <c r="I103" i="102"/>
  <c r="I102" i="102"/>
  <c r="I101" i="102"/>
  <c r="I100" i="102"/>
  <c r="I99" i="102"/>
  <c r="I93" i="102"/>
  <c r="I94" i="102" s="1"/>
  <c r="I85" i="102"/>
  <c r="I84" i="102"/>
  <c r="I83" i="102"/>
  <c r="I82" i="102"/>
  <c r="I81" i="102"/>
  <c r="I80" i="102"/>
  <c r="I79" i="102"/>
  <c r="I78" i="102"/>
  <c r="I77" i="102"/>
  <c r="I76" i="102"/>
  <c r="I75" i="102"/>
  <c r="I74" i="102"/>
  <c r="I73" i="102"/>
  <c r="I72" i="102"/>
  <c r="I71" i="102"/>
  <c r="I70" i="102"/>
  <c r="I69" i="102"/>
  <c r="I68" i="102"/>
  <c r="I67" i="102"/>
  <c r="I62" i="102"/>
  <c r="I64" i="102" s="1"/>
  <c r="I57" i="102"/>
  <c r="I59" i="102" s="1"/>
  <c r="I53" i="102"/>
  <c r="I51" i="102"/>
  <c r="I50" i="102"/>
  <c r="I49" i="102"/>
  <c r="I48" i="102"/>
  <c r="I47" i="102"/>
  <c r="I46" i="102"/>
  <c r="I45" i="102"/>
  <c r="I44" i="102"/>
  <c r="I43" i="102"/>
  <c r="I42" i="102"/>
  <c r="I38" i="102"/>
  <c r="I37" i="102"/>
  <c r="I33" i="102"/>
  <c r="I32" i="102"/>
  <c r="I28" i="102"/>
  <c r="I30" i="102" s="1"/>
  <c r="I23" i="102"/>
  <c r="I25" i="102" s="1"/>
  <c r="I18" i="102"/>
  <c r="I20" i="102" s="1"/>
  <c r="I8" i="102"/>
  <c r="I10" i="102" s="1"/>
  <c r="E8" i="102"/>
  <c r="E343" i="102"/>
  <c r="E338" i="102"/>
  <c r="E333" i="102"/>
  <c r="E332" i="102"/>
  <c r="E331" i="102"/>
  <c r="E330" i="102"/>
  <c r="E329" i="102"/>
  <c r="E328" i="102"/>
  <c r="E327" i="102"/>
  <c r="E326" i="102"/>
  <c r="E325" i="102"/>
  <c r="E324" i="102"/>
  <c r="E323" i="102"/>
  <c r="E322" i="102"/>
  <c r="E321" i="102"/>
  <c r="E320" i="102"/>
  <c r="E319" i="102"/>
  <c r="E318" i="102"/>
  <c r="E317" i="102"/>
  <c r="E316" i="102"/>
  <c r="E315" i="102"/>
  <c r="E314" i="102"/>
  <c r="E313" i="102"/>
  <c r="E312" i="102"/>
  <c r="E311" i="102"/>
  <c r="E310" i="102"/>
  <c r="E309" i="102"/>
  <c r="E308" i="102"/>
  <c r="E307" i="102"/>
  <c r="E306" i="102"/>
  <c r="E302" i="102"/>
  <c r="E301" i="102"/>
  <c r="E300" i="102"/>
  <c r="E299" i="102"/>
  <c r="E298" i="102"/>
  <c r="E297" i="102"/>
  <c r="E296" i="102"/>
  <c r="E292" i="102"/>
  <c r="E288" i="102"/>
  <c r="E285" i="102"/>
  <c r="E284" i="102"/>
  <c r="E283" i="102"/>
  <c r="E279" i="102"/>
  <c r="E276" i="102"/>
  <c r="E275" i="102"/>
  <c r="E274" i="102"/>
  <c r="E273" i="102"/>
  <c r="E272" i="102"/>
  <c r="E268" i="102"/>
  <c r="E264" i="102"/>
  <c r="E263" i="102"/>
  <c r="E258" i="102"/>
  <c r="E261" i="102" s="1"/>
  <c r="E254" i="102"/>
  <c r="E249" i="102"/>
  <c r="E241" i="102"/>
  <c r="E237" i="102"/>
  <c r="E236" i="102"/>
  <c r="E235" i="102"/>
  <c r="E234" i="102"/>
  <c r="E230" i="102"/>
  <c r="E229" i="102"/>
  <c r="E228" i="102"/>
  <c r="E227" i="102"/>
  <c r="E222" i="102"/>
  <c r="E219" i="102"/>
  <c r="E218" i="102"/>
  <c r="E217" i="102"/>
  <c r="E216" i="102"/>
  <c r="E211" i="102"/>
  <c r="E207" i="102"/>
  <c r="E202" i="102"/>
  <c r="E201" i="102"/>
  <c r="E196" i="102"/>
  <c r="E195" i="102"/>
  <c r="E190" i="102"/>
  <c r="E185" i="102"/>
  <c r="E181" i="102"/>
  <c r="E177" i="102"/>
  <c r="E176" i="102"/>
  <c r="E172" i="102"/>
  <c r="E171" i="102"/>
  <c r="E165" i="102"/>
  <c r="E164" i="102"/>
  <c r="E163" i="102"/>
  <c r="E162" i="102"/>
  <c r="E161" i="102"/>
  <c r="E160" i="102"/>
  <c r="E155" i="102"/>
  <c r="E150" i="102"/>
  <c r="E146" i="102"/>
  <c r="E145" i="102"/>
  <c r="E139" i="102"/>
  <c r="E138" i="102"/>
  <c r="E137" i="102"/>
  <c r="E130" i="102"/>
  <c r="E129" i="102"/>
  <c r="E119" i="102"/>
  <c r="E118" i="102"/>
  <c r="E117" i="102"/>
  <c r="E116" i="102"/>
  <c r="E111" i="102"/>
  <c r="E110" i="102"/>
  <c r="E109" i="102"/>
  <c r="E108" i="102"/>
  <c r="E107" i="102"/>
  <c r="E106" i="102"/>
  <c r="E105" i="102"/>
  <c r="E104" i="102"/>
  <c r="E103" i="102"/>
  <c r="E102" i="102"/>
  <c r="E101" i="102"/>
  <c r="E100" i="102"/>
  <c r="E99" i="102"/>
  <c r="E85" i="102"/>
  <c r="E84" i="102"/>
  <c r="E83" i="102"/>
  <c r="E82" i="102"/>
  <c r="E81" i="102"/>
  <c r="E80" i="102"/>
  <c r="E79" i="102"/>
  <c r="E78" i="102"/>
  <c r="E77" i="102"/>
  <c r="E76" i="102"/>
  <c r="E75" i="102"/>
  <c r="E74" i="102"/>
  <c r="E73" i="102"/>
  <c r="E72" i="102"/>
  <c r="E71" i="102"/>
  <c r="E70" i="102"/>
  <c r="E69" i="102"/>
  <c r="E68" i="102"/>
  <c r="F68" i="102" s="1"/>
  <c r="E67" i="102"/>
  <c r="E62" i="102"/>
  <c r="E57" i="102"/>
  <c r="E59" i="102" s="1"/>
  <c r="E53" i="102"/>
  <c r="E51" i="102"/>
  <c r="E50" i="102"/>
  <c r="E49" i="102"/>
  <c r="E48" i="102"/>
  <c r="E47" i="102"/>
  <c r="E46" i="102"/>
  <c r="E45" i="102"/>
  <c r="E44" i="102"/>
  <c r="E43" i="102"/>
  <c r="E42" i="102"/>
  <c r="E38" i="102"/>
  <c r="E37" i="102"/>
  <c r="E33" i="102"/>
  <c r="E32" i="102"/>
  <c r="E28" i="102"/>
  <c r="E23" i="102"/>
  <c r="E18" i="102"/>
  <c r="G8" i="102"/>
  <c r="L236" i="102"/>
  <c r="T236" i="102" s="1"/>
  <c r="C236" i="102"/>
  <c r="L217" i="102"/>
  <c r="T217" i="102" s="1"/>
  <c r="C217" i="102"/>
  <c r="L218" i="102"/>
  <c r="T218" i="102" s="1"/>
  <c r="C218" i="102"/>
  <c r="L274" i="102"/>
  <c r="T274" i="102" s="1"/>
  <c r="L273" i="102"/>
  <c r="T273" i="102" s="1"/>
  <c r="G273" i="102"/>
  <c r="C273" i="102"/>
  <c r="C316" i="102"/>
  <c r="W316" i="102"/>
  <c r="S198" i="102"/>
  <c r="R198" i="102"/>
  <c r="Q198" i="102"/>
  <c r="P198" i="102"/>
  <c r="O198" i="102"/>
  <c r="N198" i="102"/>
  <c r="M198" i="102"/>
  <c r="J198" i="102"/>
  <c r="H198" i="102"/>
  <c r="F198" i="102"/>
  <c r="D198" i="102"/>
  <c r="L196" i="102"/>
  <c r="T196" i="102" s="1"/>
  <c r="L195" i="102"/>
  <c r="T195" i="102" s="1"/>
  <c r="G195" i="102"/>
  <c r="C195" i="102"/>
  <c r="G343" i="102"/>
  <c r="G338" i="102"/>
  <c r="G333" i="102"/>
  <c r="G332" i="102"/>
  <c r="G331" i="102"/>
  <c r="G330" i="102"/>
  <c r="G329" i="102"/>
  <c r="G328" i="102"/>
  <c r="G327" i="102"/>
  <c r="G326" i="102"/>
  <c r="G325" i="102"/>
  <c r="G324" i="102"/>
  <c r="G321" i="102"/>
  <c r="G320" i="102"/>
  <c r="G319" i="102"/>
  <c r="G318" i="102"/>
  <c r="G317" i="102"/>
  <c r="G314" i="102"/>
  <c r="G313" i="102"/>
  <c r="G312" i="102"/>
  <c r="G311" i="102"/>
  <c r="G309" i="102"/>
  <c r="G308" i="102"/>
  <c r="G307" i="102"/>
  <c r="G306" i="102"/>
  <c r="G302" i="102"/>
  <c r="G301" i="102"/>
  <c r="G300" i="102"/>
  <c r="G299" i="102"/>
  <c r="G298" i="102"/>
  <c r="G297" i="102"/>
  <c r="G296" i="102"/>
  <c r="G292" i="102"/>
  <c r="G288" i="102"/>
  <c r="G285" i="102"/>
  <c r="G284" i="102"/>
  <c r="G283" i="102"/>
  <c r="G279" i="102"/>
  <c r="G276" i="102"/>
  <c r="G275" i="102"/>
  <c r="G272" i="102"/>
  <c r="G268" i="102"/>
  <c r="G264" i="102"/>
  <c r="G263" i="102"/>
  <c r="G258" i="102"/>
  <c r="G261" i="102" s="1"/>
  <c r="G254" i="102"/>
  <c r="G249" i="102"/>
  <c r="G241" i="102"/>
  <c r="G237" i="102"/>
  <c r="G235" i="102"/>
  <c r="G230" i="102"/>
  <c r="G229" i="102"/>
  <c r="G228" i="102"/>
  <c r="G222" i="102"/>
  <c r="G219" i="102"/>
  <c r="G216" i="102"/>
  <c r="G211" i="102"/>
  <c r="G207" i="102"/>
  <c r="G202" i="102"/>
  <c r="G201" i="102"/>
  <c r="G190" i="102"/>
  <c r="G181" i="102"/>
  <c r="G177" i="102"/>
  <c r="G172" i="102"/>
  <c r="G171" i="102"/>
  <c r="G165" i="102"/>
  <c r="G164" i="102"/>
  <c r="G163" i="102"/>
  <c r="G162" i="102"/>
  <c r="G161" i="102"/>
  <c r="G160" i="102"/>
  <c r="G155" i="102"/>
  <c r="G150" i="102"/>
  <c r="G146" i="102"/>
  <c r="G145" i="102"/>
  <c r="G139" i="102"/>
  <c r="G138" i="102"/>
  <c r="G137" i="102"/>
  <c r="G130" i="102"/>
  <c r="G129" i="102"/>
  <c r="G119" i="102"/>
  <c r="G118" i="102"/>
  <c r="G117" i="102"/>
  <c r="G116" i="102"/>
  <c r="G111" i="102"/>
  <c r="G110" i="102"/>
  <c r="G109" i="102"/>
  <c r="G108" i="102"/>
  <c r="G107" i="102"/>
  <c r="G106" i="102"/>
  <c r="G105" i="102"/>
  <c r="G104" i="102"/>
  <c r="G103" i="102"/>
  <c r="G102" i="102"/>
  <c r="G101" i="102"/>
  <c r="G100" i="102"/>
  <c r="G99" i="102"/>
  <c r="G85" i="102"/>
  <c r="G84" i="102"/>
  <c r="G83" i="102"/>
  <c r="G82" i="102"/>
  <c r="G81" i="102"/>
  <c r="G80" i="102"/>
  <c r="G79" i="102"/>
  <c r="G78" i="102"/>
  <c r="G77" i="102"/>
  <c r="G75" i="102"/>
  <c r="G74" i="102"/>
  <c r="G73" i="102"/>
  <c r="G72" i="102"/>
  <c r="G71" i="102"/>
  <c r="G70" i="102"/>
  <c r="G69" i="102"/>
  <c r="G67" i="102"/>
  <c r="G62" i="102"/>
  <c r="G57" i="102"/>
  <c r="G59" i="102" s="1"/>
  <c r="G53" i="102"/>
  <c r="G51" i="102"/>
  <c r="G50" i="102"/>
  <c r="G49" i="102"/>
  <c r="G48" i="102"/>
  <c r="G47" i="102"/>
  <c r="G46" i="102"/>
  <c r="G45" i="102"/>
  <c r="G44" i="102"/>
  <c r="G43" i="102"/>
  <c r="G42" i="102"/>
  <c r="G38" i="102"/>
  <c r="G37" i="102"/>
  <c r="G33" i="102"/>
  <c r="G32" i="102"/>
  <c r="G28" i="102"/>
  <c r="G23" i="102"/>
  <c r="G18" i="102"/>
  <c r="D52" i="110"/>
  <c r="G218" i="102" s="1"/>
  <c r="D51" i="110"/>
  <c r="D50" i="110"/>
  <c r="G323" i="102" s="1"/>
  <c r="D49" i="110"/>
  <c r="G322" i="102" s="1"/>
  <c r="D48" i="110"/>
  <c r="D47" i="110"/>
  <c r="G185" i="102" s="1"/>
  <c r="D46" i="110"/>
  <c r="G274" i="102" s="1"/>
  <c r="D45" i="110"/>
  <c r="G234" i="102" s="1"/>
  <c r="D44" i="110"/>
  <c r="G316" i="102" s="1"/>
  <c r="D43" i="110"/>
  <c r="G315" i="102" s="1"/>
  <c r="D42" i="110"/>
  <c r="G196" i="102" s="1"/>
  <c r="D41" i="110"/>
  <c r="G227" i="102" s="1"/>
  <c r="D40" i="110"/>
  <c r="G310" i="102" s="1"/>
  <c r="D39" i="110"/>
  <c r="G236" i="102" s="1"/>
  <c r="D38" i="110"/>
  <c r="G176" i="102" s="1"/>
  <c r="D37" i="110"/>
  <c r="G217" i="102" s="1"/>
  <c r="D36" i="110"/>
  <c r="E35" i="110"/>
  <c r="E34" i="110"/>
  <c r="D33" i="110"/>
  <c r="G76" i="102" s="1"/>
  <c r="D32" i="110"/>
  <c r="D31" i="110"/>
  <c r="G68" i="102" s="1"/>
  <c r="H68" i="102" s="1"/>
  <c r="D30" i="110"/>
  <c r="E29" i="110"/>
  <c r="E28" i="110"/>
  <c r="E27" i="110"/>
  <c r="E26" i="110"/>
  <c r="E25" i="110"/>
  <c r="E23" i="110"/>
  <c r="E24" i="110"/>
  <c r="D20" i="110"/>
  <c r="D19" i="110"/>
  <c r="D18" i="110"/>
  <c r="D16" i="110"/>
  <c r="G93" i="102" s="1"/>
  <c r="E12" i="110"/>
  <c r="E11" i="110"/>
  <c r="E10" i="110"/>
  <c r="E9" i="110"/>
  <c r="D7" i="110"/>
  <c r="S345" i="102"/>
  <c r="R345" i="102"/>
  <c r="S340" i="102"/>
  <c r="R340" i="102"/>
  <c r="S335" i="102"/>
  <c r="R335" i="102"/>
  <c r="S304" i="102"/>
  <c r="R304" i="102"/>
  <c r="S294" i="102"/>
  <c r="R294" i="102"/>
  <c r="S290" i="102"/>
  <c r="R290" i="102"/>
  <c r="S286" i="102"/>
  <c r="R286" i="102"/>
  <c r="S281" i="102"/>
  <c r="R281" i="102"/>
  <c r="S277" i="102"/>
  <c r="R277" i="102"/>
  <c r="S270" i="102"/>
  <c r="R270" i="102"/>
  <c r="S266" i="102"/>
  <c r="R266" i="102"/>
  <c r="S261" i="102"/>
  <c r="R261" i="102"/>
  <c r="S256" i="102"/>
  <c r="R256" i="102"/>
  <c r="S251" i="102"/>
  <c r="R251" i="102"/>
  <c r="S247" i="102"/>
  <c r="R247" i="102"/>
  <c r="S243" i="102"/>
  <c r="R243" i="102"/>
  <c r="S239" i="102"/>
  <c r="R239" i="102"/>
  <c r="S232" i="102"/>
  <c r="R232" i="102"/>
  <c r="S224" i="102"/>
  <c r="R224" i="102"/>
  <c r="S220" i="102"/>
  <c r="R220" i="102"/>
  <c r="S213" i="102"/>
  <c r="R213" i="102"/>
  <c r="S209" i="102"/>
  <c r="R209" i="102"/>
  <c r="S204" i="102"/>
  <c r="R204" i="102"/>
  <c r="S192" i="102"/>
  <c r="R192" i="102"/>
  <c r="S187" i="102"/>
  <c r="R187" i="102"/>
  <c r="S183" i="102"/>
  <c r="R183" i="102"/>
  <c r="S179" i="102"/>
  <c r="R179" i="102"/>
  <c r="S174" i="102"/>
  <c r="R174" i="102"/>
  <c r="S168" i="102"/>
  <c r="R168" i="102"/>
  <c r="S157" i="102"/>
  <c r="R157" i="102"/>
  <c r="S152" i="102"/>
  <c r="R152" i="102"/>
  <c r="S148" i="102"/>
  <c r="R148" i="102"/>
  <c r="S141" i="102"/>
  <c r="R141" i="102"/>
  <c r="S135" i="102"/>
  <c r="R135" i="102"/>
  <c r="S131" i="102"/>
  <c r="R131" i="102"/>
  <c r="S126" i="102"/>
  <c r="R126" i="102"/>
  <c r="S121" i="102"/>
  <c r="R121" i="102"/>
  <c r="S113" i="102"/>
  <c r="R113" i="102"/>
  <c r="S94" i="102"/>
  <c r="R94" i="102"/>
  <c r="S90" i="102"/>
  <c r="S147" i="101" s="1"/>
  <c r="S149" i="101" s="1"/>
  <c r="S222" i="101" s="1"/>
  <c r="R90" i="102"/>
  <c r="R147" i="101" s="1"/>
  <c r="R149" i="101" s="1"/>
  <c r="R222" i="101" s="1"/>
  <c r="R87" i="102"/>
  <c r="S10" i="102"/>
  <c r="S64" i="102"/>
  <c r="R64" i="102"/>
  <c r="S55" i="102"/>
  <c r="R55" i="102"/>
  <c r="S40" i="102"/>
  <c r="R40" i="102"/>
  <c r="S35" i="102"/>
  <c r="R35" i="102"/>
  <c r="S30" i="102"/>
  <c r="R30" i="102"/>
  <c r="S25" i="102"/>
  <c r="R25" i="102"/>
  <c r="S20" i="102"/>
  <c r="R20" i="102"/>
  <c r="R10" i="102"/>
  <c r="J345" i="102"/>
  <c r="J340" i="102"/>
  <c r="J335" i="102"/>
  <c r="J304" i="102"/>
  <c r="J294" i="102"/>
  <c r="J290" i="102"/>
  <c r="J286" i="102"/>
  <c r="J281" i="102"/>
  <c r="J277" i="102"/>
  <c r="J270" i="102"/>
  <c r="J266" i="102"/>
  <c r="J261" i="102"/>
  <c r="J256" i="102"/>
  <c r="J251" i="102"/>
  <c r="J247" i="102"/>
  <c r="I247" i="102"/>
  <c r="J243" i="102"/>
  <c r="J239" i="102"/>
  <c r="J232" i="102"/>
  <c r="J224" i="102"/>
  <c r="J220" i="102"/>
  <c r="J213" i="102"/>
  <c r="J209" i="102"/>
  <c r="J204" i="102"/>
  <c r="J192" i="102"/>
  <c r="J187" i="102"/>
  <c r="J183" i="102"/>
  <c r="J179" i="102"/>
  <c r="J174" i="102"/>
  <c r="J168" i="102"/>
  <c r="J157" i="102"/>
  <c r="J152" i="102"/>
  <c r="J148" i="102"/>
  <c r="J141" i="102"/>
  <c r="J135" i="102"/>
  <c r="I135" i="102"/>
  <c r="J131" i="102"/>
  <c r="J126" i="102"/>
  <c r="I126" i="102"/>
  <c r="J121" i="102"/>
  <c r="J113" i="102"/>
  <c r="J94" i="102"/>
  <c r="J90" i="102"/>
  <c r="J147" i="101" s="1"/>
  <c r="J149" i="101" s="1"/>
  <c r="J222" i="101" s="1"/>
  <c r="I90" i="102"/>
  <c r="I147" i="101" s="1"/>
  <c r="I149" i="101" s="1"/>
  <c r="J87" i="102"/>
  <c r="J64" i="102"/>
  <c r="J55" i="102"/>
  <c r="J40" i="102"/>
  <c r="J35" i="102"/>
  <c r="J30" i="102"/>
  <c r="J25" i="102"/>
  <c r="J20" i="102"/>
  <c r="J10" i="102"/>
  <c r="F66" i="104"/>
  <c r="F65" i="104"/>
  <c r="F64" i="104"/>
  <c r="Q67" i="101"/>
  <c r="P67" i="101"/>
  <c r="O67" i="101"/>
  <c r="N67" i="101"/>
  <c r="M67" i="101"/>
  <c r="H67" i="101"/>
  <c r="G67" i="101"/>
  <c r="F67" i="101"/>
  <c r="E67" i="101"/>
  <c r="D67" i="101"/>
  <c r="T64" i="101"/>
  <c r="F21" i="104"/>
  <c r="G192" i="104"/>
  <c r="L155" i="101"/>
  <c r="T155" i="101" s="1"/>
  <c r="Q115" i="101"/>
  <c r="P115" i="101"/>
  <c r="O115" i="101"/>
  <c r="N115" i="101"/>
  <c r="M115" i="101"/>
  <c r="H115" i="101"/>
  <c r="G115" i="101"/>
  <c r="F115" i="101"/>
  <c r="E115" i="101"/>
  <c r="D115" i="101"/>
  <c r="L113" i="101"/>
  <c r="C192" i="101"/>
  <c r="K192" i="101" s="1"/>
  <c r="L192" i="101"/>
  <c r="T192" i="101" s="1"/>
  <c r="F61" i="104"/>
  <c r="F60" i="104"/>
  <c r="F59" i="104"/>
  <c r="C183" i="101" s="1"/>
  <c r="K183" i="101" s="1"/>
  <c r="F58" i="104"/>
  <c r="C188" i="101" s="1"/>
  <c r="K188" i="101" s="1"/>
  <c r="F57" i="104"/>
  <c r="F56" i="104"/>
  <c r="F55" i="104"/>
  <c r="C139" i="101" s="1"/>
  <c r="K139" i="101" s="1"/>
  <c r="F53" i="104"/>
  <c r="F52" i="104"/>
  <c r="C131" i="101" s="1"/>
  <c r="K131" i="101" s="1"/>
  <c r="G36" i="104"/>
  <c r="G35" i="104"/>
  <c r="G34" i="104"/>
  <c r="G33" i="104"/>
  <c r="G32" i="104"/>
  <c r="G31" i="104"/>
  <c r="G30" i="104"/>
  <c r="G29" i="104"/>
  <c r="G28" i="104"/>
  <c r="G27" i="104"/>
  <c r="G26" i="104"/>
  <c r="G25" i="104"/>
  <c r="G24" i="104"/>
  <c r="G23" i="104"/>
  <c r="G22" i="104"/>
  <c r="C64" i="101" s="1"/>
  <c r="K64" i="101" s="1"/>
  <c r="G20" i="104"/>
  <c r="G19" i="104"/>
  <c r="G18" i="104"/>
  <c r="F97" i="104"/>
  <c r="F96" i="104"/>
  <c r="F95" i="104"/>
  <c r="F94" i="104"/>
  <c r="F93" i="104"/>
  <c r="F92" i="104"/>
  <c r="F91" i="104"/>
  <c r="F90" i="104"/>
  <c r="F89" i="104"/>
  <c r="F88" i="104"/>
  <c r="F87" i="104"/>
  <c r="F86" i="104"/>
  <c r="F85" i="104"/>
  <c r="F76" i="104"/>
  <c r="C155" i="101" s="1"/>
  <c r="K155" i="101" s="1"/>
  <c r="F75" i="104"/>
  <c r="F74" i="104"/>
  <c r="F73" i="104"/>
  <c r="F72" i="104"/>
  <c r="F71" i="104"/>
  <c r="C113" i="101" s="1"/>
  <c r="F70" i="104"/>
  <c r="F69" i="104"/>
  <c r="F68" i="104"/>
  <c r="F67" i="104"/>
  <c r="F63" i="104"/>
  <c r="F62" i="104"/>
  <c r="F54" i="104"/>
  <c r="F51" i="104"/>
  <c r="F50" i="104"/>
  <c r="F49" i="104"/>
  <c r="F48" i="104"/>
  <c r="F47" i="104"/>
  <c r="F46" i="104"/>
  <c r="F45" i="104"/>
  <c r="F44" i="104"/>
  <c r="F43" i="104"/>
  <c r="F41" i="104"/>
  <c r="F40" i="104"/>
  <c r="F39" i="104"/>
  <c r="F38" i="104"/>
  <c r="F37" i="104"/>
  <c r="L92" i="101"/>
  <c r="T92" i="101" s="1"/>
  <c r="Q94" i="101"/>
  <c r="P94" i="101"/>
  <c r="O94" i="101"/>
  <c r="N94" i="101"/>
  <c r="M94" i="101"/>
  <c r="H94" i="101"/>
  <c r="G94" i="101"/>
  <c r="F94" i="101"/>
  <c r="E94" i="101"/>
  <c r="D94" i="101"/>
  <c r="L91" i="101"/>
  <c r="T91" i="101" s="1"/>
  <c r="Q21" i="101"/>
  <c r="P21" i="101"/>
  <c r="O21" i="101"/>
  <c r="N21" i="101"/>
  <c r="M21" i="101"/>
  <c r="H21" i="101"/>
  <c r="G21" i="101"/>
  <c r="F21" i="101"/>
  <c r="E21" i="101"/>
  <c r="D21" i="101"/>
  <c r="L20" i="101"/>
  <c r="L2" i="101"/>
  <c r="L122" i="101"/>
  <c r="L109" i="101"/>
  <c r="T109" i="101" s="1"/>
  <c r="Q124" i="101"/>
  <c r="P124" i="101"/>
  <c r="O124" i="101"/>
  <c r="N124" i="101"/>
  <c r="M124" i="101"/>
  <c r="H124" i="101"/>
  <c r="G124" i="101"/>
  <c r="F124" i="101"/>
  <c r="E124" i="101"/>
  <c r="D124" i="101"/>
  <c r="C197" i="101"/>
  <c r="K197" i="101" s="1"/>
  <c r="C196" i="101"/>
  <c r="K196" i="101" s="1"/>
  <c r="C194" i="101"/>
  <c r="K194" i="101" s="1"/>
  <c r="C191" i="101"/>
  <c r="K191" i="101" s="1"/>
  <c r="C190" i="101"/>
  <c r="K190" i="101" s="1"/>
  <c r="C189" i="101"/>
  <c r="K189" i="101" s="1"/>
  <c r="C179" i="101"/>
  <c r="K179" i="101" s="1"/>
  <c r="C167" i="101"/>
  <c r="K167" i="101" s="1"/>
  <c r="C164" i="101"/>
  <c r="K164" i="101" s="1"/>
  <c r="C163" i="101"/>
  <c r="K163" i="101" s="1"/>
  <c r="K162" i="101"/>
  <c r="C161" i="101"/>
  <c r="K161" i="101" s="1"/>
  <c r="C153" i="101"/>
  <c r="K153" i="101" s="1"/>
  <c r="C136" i="101"/>
  <c r="K136" i="101" s="1"/>
  <c r="C72" i="101"/>
  <c r="K72" i="101" s="1"/>
  <c r="C71" i="101"/>
  <c r="K71" i="101" s="1"/>
  <c r="C70" i="101"/>
  <c r="K70" i="101" s="1"/>
  <c r="C30" i="101"/>
  <c r="K30" i="101" s="1"/>
  <c r="C25" i="101"/>
  <c r="K25" i="101" s="1"/>
  <c r="Q261" i="102"/>
  <c r="P261" i="102"/>
  <c r="O261" i="102"/>
  <c r="N261" i="102"/>
  <c r="M261" i="102"/>
  <c r="H261" i="102"/>
  <c r="F261" i="102"/>
  <c r="J364" i="102" l="1"/>
  <c r="L3" i="40"/>
  <c r="I221" i="101"/>
  <c r="I222" i="101"/>
  <c r="L2" i="40"/>
  <c r="R223" i="101"/>
  <c r="S223" i="101"/>
  <c r="K195" i="102"/>
  <c r="K316" i="102"/>
  <c r="U316" i="102" s="1"/>
  <c r="K273" i="102"/>
  <c r="K218" i="102"/>
  <c r="K236" i="102"/>
  <c r="K217" i="102"/>
  <c r="K113" i="101"/>
  <c r="K115" i="101" s="1"/>
  <c r="T20" i="101"/>
  <c r="T21" i="101" s="1"/>
  <c r="L115" i="101"/>
  <c r="T113" i="101"/>
  <c r="T115" i="101" s="1"/>
  <c r="L124" i="101"/>
  <c r="T122" i="101"/>
  <c r="T124" i="101" s="1"/>
  <c r="I35" i="102"/>
  <c r="I198" i="102"/>
  <c r="I335" i="102"/>
  <c r="I40" i="102"/>
  <c r="I131" i="102"/>
  <c r="I204" i="102"/>
  <c r="E198" i="102"/>
  <c r="I174" i="102"/>
  <c r="I148" i="102"/>
  <c r="I141" i="102"/>
  <c r="I286" i="102"/>
  <c r="I55" i="102"/>
  <c r="I87" i="102"/>
  <c r="I113" i="102"/>
  <c r="I121" i="102"/>
  <c r="I220" i="102"/>
  <c r="I232" i="102"/>
  <c r="I277" i="102"/>
  <c r="I304" i="102"/>
  <c r="I168" i="102"/>
  <c r="I179" i="102"/>
  <c r="I239" i="102"/>
  <c r="I266" i="102"/>
  <c r="T198" i="102"/>
  <c r="G198" i="102"/>
  <c r="L198" i="102"/>
  <c r="R364" i="102"/>
  <c r="S364" i="102"/>
  <c r="I96" i="102"/>
  <c r="R96" i="102"/>
  <c r="R365" i="102" s="1"/>
  <c r="S87" i="102"/>
  <c r="S96" i="102"/>
  <c r="J96" i="102"/>
  <c r="J365" i="102" s="1"/>
  <c r="C115" i="101"/>
  <c r="L94" i="101"/>
  <c r="T94" i="101"/>
  <c r="D373" i="5" s="1"/>
  <c r="L21" i="101"/>
  <c r="I364" i="102" l="1"/>
  <c r="I365" i="102"/>
  <c r="L14" i="40"/>
  <c r="R366" i="102"/>
  <c r="R368" i="102" s="1"/>
  <c r="I223" i="101"/>
  <c r="J366" i="102"/>
  <c r="S365" i="102"/>
  <c r="S366" i="102" s="1"/>
  <c r="S368" i="102" s="1"/>
  <c r="Q204" i="102"/>
  <c r="P204" i="102"/>
  <c r="O204" i="102"/>
  <c r="N204" i="102"/>
  <c r="M204" i="102"/>
  <c r="H204" i="102"/>
  <c r="G204" i="102"/>
  <c r="F204" i="102"/>
  <c r="E204" i="102"/>
  <c r="D204" i="102"/>
  <c r="Q40" i="102"/>
  <c r="P40" i="102"/>
  <c r="N40" i="102"/>
  <c r="M40" i="102"/>
  <c r="H40" i="102"/>
  <c r="G40" i="102"/>
  <c r="F40" i="102"/>
  <c r="E40" i="102"/>
  <c r="C343" i="102"/>
  <c r="K343" i="102" s="1"/>
  <c r="K338" i="102"/>
  <c r="C331" i="102"/>
  <c r="K331" i="102" s="1"/>
  <c r="C330" i="102"/>
  <c r="K330" i="102" s="1"/>
  <c r="C327" i="102"/>
  <c r="K327" i="102" s="1"/>
  <c r="C326" i="102"/>
  <c r="K326" i="102" s="1"/>
  <c r="C324" i="102"/>
  <c r="K324" i="102" s="1"/>
  <c r="C317" i="102"/>
  <c r="K317" i="102" s="1"/>
  <c r="C314" i="102"/>
  <c r="K314" i="102" s="1"/>
  <c r="C312" i="102"/>
  <c r="K312" i="102" s="1"/>
  <c r="C302" i="102"/>
  <c r="K302" i="102" s="1"/>
  <c r="C301" i="102"/>
  <c r="K301" i="102" s="1"/>
  <c r="C298" i="102"/>
  <c r="K298" i="102" s="1"/>
  <c r="C296" i="102"/>
  <c r="K296" i="102" s="1"/>
  <c r="C292" i="102"/>
  <c r="K292" i="102" s="1"/>
  <c r="C285" i="102"/>
  <c r="K285" i="102" s="1"/>
  <c r="C274" i="102"/>
  <c r="K274" i="102" s="1"/>
  <c r="C264" i="102"/>
  <c r="K264" i="102" s="1"/>
  <c r="C237" i="102"/>
  <c r="K237" i="102" s="1"/>
  <c r="C207" i="102"/>
  <c r="K207" i="102" s="1"/>
  <c r="C202" i="102"/>
  <c r="K202" i="102" s="1"/>
  <c r="C177" i="102"/>
  <c r="K177" i="102" s="1"/>
  <c r="C164" i="102"/>
  <c r="K164" i="102" s="1"/>
  <c r="C155" i="102"/>
  <c r="K155" i="102" s="1"/>
  <c r="C150" i="102"/>
  <c r="K150" i="102" s="1"/>
  <c r="C146" i="102"/>
  <c r="K146" i="102" s="1"/>
  <c r="C129" i="102"/>
  <c r="K129" i="102" s="1"/>
  <c r="C111" i="102"/>
  <c r="K111" i="102" s="1"/>
  <c r="C85" i="102"/>
  <c r="K85" i="102" s="1"/>
  <c r="C81" i="102"/>
  <c r="K81" i="102" s="1"/>
  <c r="C80" i="102"/>
  <c r="K80" i="102" s="1"/>
  <c r="C79" i="102"/>
  <c r="K79" i="102" s="1"/>
  <c r="C78" i="102"/>
  <c r="K78" i="102" s="1"/>
  <c r="C72" i="102"/>
  <c r="K72" i="102" s="1"/>
  <c r="C68" i="102"/>
  <c r="K68" i="102" s="1"/>
  <c r="C57" i="102"/>
  <c r="C53" i="102"/>
  <c r="K53" i="102" s="1"/>
  <c r="C48" i="102"/>
  <c r="K48" i="102" s="1"/>
  <c r="C46" i="102"/>
  <c r="K46" i="102" s="1"/>
  <c r="C45" i="102"/>
  <c r="K45" i="102" s="1"/>
  <c r="C43" i="102"/>
  <c r="K43" i="102" s="1"/>
  <c r="C42" i="102"/>
  <c r="K42" i="102" s="1"/>
  <c r="C32" i="102"/>
  <c r="K32" i="102" s="1"/>
  <c r="C28" i="102"/>
  <c r="K28" i="102" s="1"/>
  <c r="G114" i="104"/>
  <c r="G113" i="104"/>
  <c r="C38" i="102" s="1"/>
  <c r="K38" i="102" s="1"/>
  <c r="G112" i="104"/>
  <c r="C49" i="102" s="1"/>
  <c r="K49" i="102" s="1"/>
  <c r="G111" i="104"/>
  <c r="C47" i="102" s="1"/>
  <c r="K47" i="102" s="1"/>
  <c r="G110" i="104"/>
  <c r="C50" i="102" s="1"/>
  <c r="K50" i="102" s="1"/>
  <c r="G109" i="104"/>
  <c r="C51" i="102" s="1"/>
  <c r="K51" i="102" s="1"/>
  <c r="G108" i="104"/>
  <c r="C23" i="102" s="1"/>
  <c r="K23" i="102" s="1"/>
  <c r="G107" i="104"/>
  <c r="C18" i="102" s="1"/>
  <c r="K18" i="102" s="1"/>
  <c r="G106" i="104"/>
  <c r="C44" i="102" s="1"/>
  <c r="K44" i="102" s="1"/>
  <c r="G105" i="104"/>
  <c r="C62" i="102" s="1"/>
  <c r="K62" i="102" s="1"/>
  <c r="G104" i="104"/>
  <c r="G102" i="104"/>
  <c r="C216" i="102" s="1"/>
  <c r="K216" i="102" s="1"/>
  <c r="G84" i="104"/>
  <c r="G83" i="104"/>
  <c r="G82" i="104"/>
  <c r="G81" i="104"/>
  <c r="G80" i="104"/>
  <c r="G79" i="104"/>
  <c r="G78" i="104"/>
  <c r="F193" i="104"/>
  <c r="C13" i="101"/>
  <c r="K13" i="101" s="1"/>
  <c r="F191" i="104"/>
  <c r="C288" i="102" s="1"/>
  <c r="K288" i="102" s="1"/>
  <c r="F190" i="104"/>
  <c r="C332" i="102" s="1"/>
  <c r="K332" i="102" s="1"/>
  <c r="F189" i="104"/>
  <c r="C258" i="102" s="1"/>
  <c r="K258" i="102" s="1"/>
  <c r="F188" i="104"/>
  <c r="C230" i="102" s="1"/>
  <c r="K230" i="102" s="1"/>
  <c r="F187" i="104"/>
  <c r="C228" i="102" s="1"/>
  <c r="K228" i="102" s="1"/>
  <c r="F186" i="104"/>
  <c r="C138" i="102" s="1"/>
  <c r="K138" i="102" s="1"/>
  <c r="F185" i="104"/>
  <c r="C284" i="102" s="1"/>
  <c r="K284" i="102" s="1"/>
  <c r="F184" i="104"/>
  <c r="C329" i="102" s="1"/>
  <c r="K329" i="102" s="1"/>
  <c r="F183" i="104"/>
  <c r="C37" i="102" s="1"/>
  <c r="F182" i="104"/>
  <c r="C110" i="102" s="1"/>
  <c r="K110" i="102" s="1"/>
  <c r="F181" i="104"/>
  <c r="C137" i="102" s="1"/>
  <c r="K137" i="102" s="1"/>
  <c r="F180" i="104"/>
  <c r="C276" i="102" s="1"/>
  <c r="K276" i="102" s="1"/>
  <c r="F179" i="104"/>
  <c r="C300" i="102" s="1"/>
  <c r="K300" i="102" s="1"/>
  <c r="F178" i="104"/>
  <c r="C325" i="102" s="1"/>
  <c r="K325" i="102" s="1"/>
  <c r="F175" i="104"/>
  <c r="C235" i="102" s="1"/>
  <c r="K235" i="102" s="1"/>
  <c r="F174" i="104"/>
  <c r="C272" i="102" s="1"/>
  <c r="K272" i="102" s="1"/>
  <c r="F173" i="104"/>
  <c r="C241" i="102" s="1"/>
  <c r="F172" i="104"/>
  <c r="C321" i="102" s="1"/>
  <c r="K321" i="102" s="1"/>
  <c r="F171" i="104"/>
  <c r="C254" i="102" s="1"/>
  <c r="K254" i="102" s="1"/>
  <c r="F170" i="104"/>
  <c r="C333" i="102" s="1"/>
  <c r="K333" i="102" s="1"/>
  <c r="F169" i="104"/>
  <c r="C139" i="102" s="1"/>
  <c r="K139" i="102" s="1"/>
  <c r="F168" i="104"/>
  <c r="C297" i="102" s="1"/>
  <c r="K297" i="102" s="1"/>
  <c r="F167" i="104"/>
  <c r="C320" i="102" s="1"/>
  <c r="K320" i="102" s="1"/>
  <c r="F166" i="104"/>
  <c r="C279" i="102" s="1"/>
  <c r="K279" i="102" s="1"/>
  <c r="F165" i="104"/>
  <c r="C283" i="102" s="1"/>
  <c r="K283" i="102" s="1"/>
  <c r="F164" i="104"/>
  <c r="C118" i="102" s="1"/>
  <c r="K118" i="102" s="1"/>
  <c r="F163" i="104"/>
  <c r="C117" i="102" s="1"/>
  <c r="K117" i="102" s="1"/>
  <c r="F162" i="104"/>
  <c r="C299" i="102" s="1"/>
  <c r="K299" i="102" s="1"/>
  <c r="F161" i="104"/>
  <c r="C172" i="102" s="1"/>
  <c r="K172" i="102" s="1"/>
  <c r="F160" i="104"/>
  <c r="C319" i="102" s="1"/>
  <c r="K319" i="102" s="1"/>
  <c r="F159" i="104"/>
  <c r="C318" i="102" s="1"/>
  <c r="K318" i="102" s="1"/>
  <c r="F158" i="104"/>
  <c r="C185" i="102" s="1"/>
  <c r="K185" i="102" s="1"/>
  <c r="F157" i="104"/>
  <c r="K33" i="102" s="1"/>
  <c r="F156" i="104"/>
  <c r="C308" i="102" s="1"/>
  <c r="K308" i="102" s="1"/>
  <c r="F155" i="104"/>
  <c r="C234" i="102" s="1"/>
  <c r="K234" i="102" s="1"/>
  <c r="F154" i="104"/>
  <c r="C165" i="102" s="1"/>
  <c r="K165" i="102" s="1"/>
  <c r="F153" i="104"/>
  <c r="C145" i="102" s="1"/>
  <c r="K145" i="102" s="1"/>
  <c r="F152" i="104"/>
  <c r="C211" i="102" s="1"/>
  <c r="K211" i="102" s="1"/>
  <c r="F151" i="104"/>
  <c r="C229" i="102" s="1"/>
  <c r="K229" i="102" s="1"/>
  <c r="F150" i="104"/>
  <c r="C162" i="102" s="1"/>
  <c r="K162" i="102" s="1"/>
  <c r="F149" i="104"/>
  <c r="C315" i="102" s="1"/>
  <c r="K315" i="102" s="1"/>
  <c r="F148" i="104"/>
  <c r="C328" i="102" s="1"/>
  <c r="K328" i="102" s="1"/>
  <c r="F147" i="104"/>
  <c r="C161" i="102" s="1"/>
  <c r="K161" i="102" s="1"/>
  <c r="F146" i="104"/>
  <c r="C116" i="102" s="1"/>
  <c r="K116" i="102" s="1"/>
  <c r="F145" i="104"/>
  <c r="C201" i="102" s="1"/>
  <c r="K201" i="102" s="1"/>
  <c r="F144" i="104"/>
  <c r="C119" i="102" s="1"/>
  <c r="K119" i="102" s="1"/>
  <c r="F143" i="104"/>
  <c r="C196" i="102" s="1"/>
  <c r="F142" i="104"/>
  <c r="C313" i="102" s="1"/>
  <c r="K313" i="102" s="1"/>
  <c r="F141" i="104"/>
  <c r="C227" i="102" s="1"/>
  <c r="K227" i="102" s="1"/>
  <c r="F140" i="104"/>
  <c r="C311" i="102" s="1"/>
  <c r="K311" i="102" s="1"/>
  <c r="F139" i="104"/>
  <c r="C310" i="102" s="1"/>
  <c r="K310" i="102" s="1"/>
  <c r="F138" i="104"/>
  <c r="C181" i="102" s="1"/>
  <c r="K181" i="102" s="1"/>
  <c r="F137" i="104"/>
  <c r="C160" i="102" s="1"/>
  <c r="K160" i="102" s="1"/>
  <c r="F136" i="104"/>
  <c r="C176" i="102" s="1"/>
  <c r="K176" i="102" s="1"/>
  <c r="F135" i="104"/>
  <c r="C190" i="102" s="1"/>
  <c r="K190" i="102" s="1"/>
  <c r="F134" i="104"/>
  <c r="C109" i="102" s="1"/>
  <c r="K109" i="102" s="1"/>
  <c r="F133" i="104"/>
  <c r="C309" i="102" s="1"/>
  <c r="K309" i="102" s="1"/>
  <c r="F132" i="104"/>
  <c r="C249" i="102" s="1"/>
  <c r="F131" i="104"/>
  <c r="C163" i="102" s="1"/>
  <c r="K163" i="102" s="1"/>
  <c r="F130" i="104"/>
  <c r="C268" i="102" s="1"/>
  <c r="K268" i="102" s="1"/>
  <c r="F129" i="104"/>
  <c r="C263" i="102" s="1"/>
  <c r="K263" i="102" s="1"/>
  <c r="F128" i="104"/>
  <c r="C275" i="102" s="1"/>
  <c r="K275" i="102" s="1"/>
  <c r="F127" i="104"/>
  <c r="C222" i="102" s="1"/>
  <c r="K222" i="102" s="1"/>
  <c r="F126" i="104"/>
  <c r="C171" i="102" s="1"/>
  <c r="K171" i="102" s="1"/>
  <c r="F125" i="104"/>
  <c r="C108" i="102" s="1"/>
  <c r="K108" i="102" s="1"/>
  <c r="F124" i="104"/>
  <c r="C107" i="102" s="1"/>
  <c r="K107" i="102" s="1"/>
  <c r="F123" i="104"/>
  <c r="C106" i="102" s="1"/>
  <c r="K106" i="102" s="1"/>
  <c r="F122" i="104"/>
  <c r="C105" i="102" s="1"/>
  <c r="K105" i="102" s="1"/>
  <c r="F121" i="104"/>
  <c r="C104" i="102" s="1"/>
  <c r="K104" i="102" s="1"/>
  <c r="F120" i="104"/>
  <c r="C103" i="102" s="1"/>
  <c r="K103" i="102" s="1"/>
  <c r="F119" i="104"/>
  <c r="C102" i="102" s="1"/>
  <c r="K102" i="102" s="1"/>
  <c r="F118" i="104"/>
  <c r="C101" i="102" s="1"/>
  <c r="K101" i="102" s="1"/>
  <c r="F117" i="104"/>
  <c r="C100" i="102" s="1"/>
  <c r="K100" i="102" s="1"/>
  <c r="F116" i="104"/>
  <c r="C99" i="102" s="1"/>
  <c r="K99" i="102" s="1"/>
  <c r="F115" i="104"/>
  <c r="F114" i="104"/>
  <c r="F103" i="104"/>
  <c r="C219" i="102" s="1"/>
  <c r="K219" i="102" s="1"/>
  <c r="F101" i="104"/>
  <c r="C130" i="102" s="1"/>
  <c r="K130" i="102" s="1"/>
  <c r="F100" i="104"/>
  <c r="C307" i="102" s="1"/>
  <c r="K307" i="102" s="1"/>
  <c r="F99" i="104"/>
  <c r="C306" i="102" s="1"/>
  <c r="K306" i="102" s="1"/>
  <c r="C83" i="102"/>
  <c r="K83" i="102" s="1"/>
  <c r="C77" i="102"/>
  <c r="K77" i="102" s="1"/>
  <c r="C76" i="102"/>
  <c r="K76" i="102" s="1"/>
  <c r="C75" i="102"/>
  <c r="K75" i="102" s="1"/>
  <c r="C74" i="102"/>
  <c r="K74" i="102" s="1"/>
  <c r="C73" i="102"/>
  <c r="K73" i="102" s="1"/>
  <c r="C71" i="102"/>
  <c r="K71" i="102" s="1"/>
  <c r="C70" i="102"/>
  <c r="K70" i="102" s="1"/>
  <c r="C84" i="102"/>
  <c r="K84" i="102" s="1"/>
  <c r="C67" i="102"/>
  <c r="K67" i="102" s="1"/>
  <c r="C82" i="102"/>
  <c r="K82" i="102" s="1"/>
  <c r="G77" i="104"/>
  <c r="L201" i="102"/>
  <c r="T201" i="102" s="1"/>
  <c r="Q35" i="102"/>
  <c r="P35" i="102"/>
  <c r="O35" i="102"/>
  <c r="N35" i="102"/>
  <c r="M35" i="102"/>
  <c r="H35" i="102"/>
  <c r="G35" i="102"/>
  <c r="F35" i="102"/>
  <c r="E35" i="102"/>
  <c r="D35" i="102"/>
  <c r="L219" i="102"/>
  <c r="T219" i="102" s="1"/>
  <c r="L332" i="102"/>
  <c r="T332" i="102" s="1"/>
  <c r="L258" i="102"/>
  <c r="T258" i="102" s="1"/>
  <c r="L37" i="102"/>
  <c r="T37" i="102" s="1"/>
  <c r="L302" i="102"/>
  <c r="L300" i="102"/>
  <c r="Q304" i="102"/>
  <c r="P304" i="102"/>
  <c r="O304" i="102"/>
  <c r="N304" i="102"/>
  <c r="M304" i="102"/>
  <c r="H304" i="102"/>
  <c r="G304" i="102"/>
  <c r="F304" i="102"/>
  <c r="E304" i="102"/>
  <c r="D304" i="102"/>
  <c r="L323" i="102"/>
  <c r="L333" i="102"/>
  <c r="L139" i="102"/>
  <c r="T139" i="102" s="1"/>
  <c r="L138" i="102"/>
  <c r="T138" i="102" s="1"/>
  <c r="L33" i="102"/>
  <c r="T33" i="102" s="1"/>
  <c r="L32" i="102"/>
  <c r="T32" i="102" s="1"/>
  <c r="L308" i="102"/>
  <c r="L229" i="102"/>
  <c r="T229" i="102" s="1"/>
  <c r="L2" i="102"/>
  <c r="L50" i="102"/>
  <c r="T50" i="102" s="1"/>
  <c r="L306" i="102"/>
  <c r="T306" i="102" s="1"/>
  <c r="L307" i="102"/>
  <c r="L83" i="102"/>
  <c r="T83" i="102" s="1"/>
  <c r="L74" i="102"/>
  <c r="T74" i="102" s="1"/>
  <c r="L84" i="102"/>
  <c r="T84" i="102" s="1"/>
  <c r="L82" i="102"/>
  <c r="T82" i="102" s="1"/>
  <c r="F42" i="104"/>
  <c r="C92" i="101"/>
  <c r="K92" i="101" s="1"/>
  <c r="C91" i="101"/>
  <c r="C20" i="101"/>
  <c r="K20" i="101" s="1"/>
  <c r="C40" i="101"/>
  <c r="K40" i="101" s="1"/>
  <c r="C36" i="101"/>
  <c r="K36" i="101" s="1"/>
  <c r="C77" i="101"/>
  <c r="K77" i="101" s="1"/>
  <c r="C75" i="101"/>
  <c r="K75" i="101" s="1"/>
  <c r="C74" i="101"/>
  <c r="K74" i="101" s="1"/>
  <c r="C85" i="101"/>
  <c r="K85" i="101" s="1"/>
  <c r="C76" i="101"/>
  <c r="K76" i="101" s="1"/>
  <c r="C73" i="101"/>
  <c r="K73" i="101" s="1"/>
  <c r="C86" i="101"/>
  <c r="K86" i="101" s="1"/>
  <c r="C97" i="101"/>
  <c r="K97" i="101" s="1"/>
  <c r="C187" i="101"/>
  <c r="K187" i="101" s="1"/>
  <c r="C53" i="101"/>
  <c r="K53" i="101" s="1"/>
  <c r="C47" i="101"/>
  <c r="K47" i="101" s="1"/>
  <c r="G15" i="104"/>
  <c r="C10" i="101" s="1"/>
  <c r="K10" i="101" s="1"/>
  <c r="G14" i="104"/>
  <c r="G13" i="104"/>
  <c r="C9" i="101" s="1"/>
  <c r="K9" i="101" s="1"/>
  <c r="L76" i="101"/>
  <c r="T76" i="101" s="1"/>
  <c r="L86" i="101"/>
  <c r="T86" i="101" s="1"/>
  <c r="L65" i="101"/>
  <c r="L53" i="101"/>
  <c r="T53" i="101" s="1"/>
  <c r="L47" i="101"/>
  <c r="T47" i="101" s="1"/>
  <c r="L40" i="101"/>
  <c r="T40" i="101" s="1"/>
  <c r="L30" i="101"/>
  <c r="T30" i="101" s="1"/>
  <c r="L25" i="101"/>
  <c r="T25" i="101" s="1"/>
  <c r="E35" i="10"/>
  <c r="E34" i="10"/>
  <c r="E33" i="10"/>
  <c r="E31" i="10"/>
  <c r="L197" i="101"/>
  <c r="T197" i="101" s="1"/>
  <c r="L196" i="101"/>
  <c r="T196" i="101" s="1"/>
  <c r="L195" i="101"/>
  <c r="T195" i="101" s="1"/>
  <c r="L194" i="101"/>
  <c r="T194" i="101" s="1"/>
  <c r="L191" i="101"/>
  <c r="T191" i="101" s="1"/>
  <c r="L190" i="101"/>
  <c r="T190" i="101" s="1"/>
  <c r="L189" i="101"/>
  <c r="T189" i="101" s="1"/>
  <c r="L188" i="101"/>
  <c r="T188" i="101" s="1"/>
  <c r="L187" i="101"/>
  <c r="T187" i="101" s="1"/>
  <c r="L164" i="101"/>
  <c r="T164" i="101" s="1"/>
  <c r="L163" i="101"/>
  <c r="T163" i="101" s="1"/>
  <c r="L162" i="101"/>
  <c r="T162" i="101" s="1"/>
  <c r="L161" i="101"/>
  <c r="T161" i="101" s="1"/>
  <c r="L156" i="101"/>
  <c r="T156" i="101" s="1"/>
  <c r="L154" i="101"/>
  <c r="T154" i="101" s="1"/>
  <c r="L153" i="101"/>
  <c r="T153" i="101" s="1"/>
  <c r="T143" i="101"/>
  <c r="L136" i="101"/>
  <c r="T136" i="101" s="1"/>
  <c r="L317" i="102"/>
  <c r="T317" i="102" s="1"/>
  <c r="L327" i="102"/>
  <c r="T327" i="102" s="1"/>
  <c r="L301" i="102"/>
  <c r="T301" i="102" s="1"/>
  <c r="L331" i="102"/>
  <c r="T331" i="102" s="1"/>
  <c r="L330" i="102"/>
  <c r="T330" i="102" s="1"/>
  <c r="L329" i="102"/>
  <c r="T329" i="102" s="1"/>
  <c r="L328" i="102"/>
  <c r="T328" i="102" s="1"/>
  <c r="L275" i="102"/>
  <c r="T275" i="102" s="1"/>
  <c r="L272" i="102"/>
  <c r="T272" i="102" s="1"/>
  <c r="L264" i="102"/>
  <c r="T264" i="102" s="1"/>
  <c r="L237" i="102"/>
  <c r="L177" i="102"/>
  <c r="T177" i="102" s="1"/>
  <c r="L163" i="102"/>
  <c r="T163" i="102" s="1"/>
  <c r="L146" i="102"/>
  <c r="T146" i="102" s="1"/>
  <c r="L129" i="102"/>
  <c r="T129" i="102" s="1"/>
  <c r="L130" i="102"/>
  <c r="T130" i="102" s="1"/>
  <c r="L124" i="102"/>
  <c r="T124" i="102" s="1"/>
  <c r="L119" i="102"/>
  <c r="T119" i="102" s="1"/>
  <c r="L111" i="102"/>
  <c r="T111" i="102" s="1"/>
  <c r="U92" i="102"/>
  <c r="U91" i="102"/>
  <c r="U88" i="102"/>
  <c r="L69" i="102"/>
  <c r="T69" i="102" s="1"/>
  <c r="L85" i="102"/>
  <c r="T85" i="102" s="1"/>
  <c r="L81" i="102"/>
  <c r="T81" i="102" s="1"/>
  <c r="L80" i="102"/>
  <c r="T80" i="102" s="1"/>
  <c r="L79" i="102"/>
  <c r="T79" i="102" s="1"/>
  <c r="L57" i="102"/>
  <c r="L51" i="102"/>
  <c r="T51" i="102" s="1"/>
  <c r="L326" i="102"/>
  <c r="T326" i="102" s="1"/>
  <c r="L78" i="102"/>
  <c r="T78" i="102" s="1"/>
  <c r="L45" i="102"/>
  <c r="T45" i="102" s="1"/>
  <c r="L43" i="102"/>
  <c r="T43" i="102" s="1"/>
  <c r="L42" i="102"/>
  <c r="T42" i="102" s="1"/>
  <c r="L46" i="102"/>
  <c r="T46" i="102" s="1"/>
  <c r="L48" i="102"/>
  <c r="T48" i="102" s="1"/>
  <c r="L53" i="102"/>
  <c r="T53" i="102" s="1"/>
  <c r="L72" i="102"/>
  <c r="T72" i="102" s="1"/>
  <c r="L68" i="102"/>
  <c r="L176" i="102"/>
  <c r="T176" i="102" s="1"/>
  <c r="L296" i="102"/>
  <c r="T296" i="102" s="1"/>
  <c r="D37" i="102" l="1"/>
  <c r="D40" i="102" s="1"/>
  <c r="D249" i="102" s="1"/>
  <c r="K249" i="102" s="1"/>
  <c r="J367" i="102"/>
  <c r="J14" i="101" s="1"/>
  <c r="K57" i="102"/>
  <c r="K59" i="102" s="1"/>
  <c r="C59" i="102"/>
  <c r="T57" i="102"/>
  <c r="T59" i="102" s="1"/>
  <c r="L59" i="102"/>
  <c r="T307" i="102"/>
  <c r="W307" i="102" s="1"/>
  <c r="C198" i="102"/>
  <c r="K196" i="102"/>
  <c r="T308" i="102"/>
  <c r="W308" i="102" s="1"/>
  <c r="T333" i="102"/>
  <c r="W333" i="102" s="1"/>
  <c r="T300" i="102"/>
  <c r="W300" i="102" s="1"/>
  <c r="D241" i="102"/>
  <c r="D259" i="102" s="1"/>
  <c r="D261" i="102" s="1"/>
  <c r="T323" i="102"/>
  <c r="W323" i="102" s="1"/>
  <c r="T302" i="102"/>
  <c r="W302" i="102" s="1"/>
  <c r="L67" i="101"/>
  <c r="T65" i="101"/>
  <c r="I366" i="102"/>
  <c r="I368" i="102" s="1"/>
  <c r="K21" i="101"/>
  <c r="C21" i="101"/>
  <c r="K91" i="101"/>
  <c r="K94" i="101" s="1"/>
  <c r="C94" i="101"/>
  <c r="C40" i="102"/>
  <c r="L261" i="102"/>
  <c r="C204" i="102"/>
  <c r="U83" i="102"/>
  <c r="L35" i="102"/>
  <c r="U307" i="102" l="1"/>
  <c r="K37" i="102"/>
  <c r="J15" i="101"/>
  <c r="J221" i="101" s="1"/>
  <c r="J223" i="101" s="1"/>
  <c r="J368" i="102"/>
  <c r="U302" i="102"/>
  <c r="K241" i="102"/>
  <c r="U333" i="102"/>
  <c r="W258" i="102"/>
  <c r="Q345" i="102"/>
  <c r="P345" i="102"/>
  <c r="O345" i="102"/>
  <c r="N345" i="102"/>
  <c r="M345" i="102"/>
  <c r="Q340" i="102"/>
  <c r="P340" i="102"/>
  <c r="O340" i="102"/>
  <c r="N340" i="102"/>
  <c r="M340" i="102"/>
  <c r="Q335" i="102"/>
  <c r="O335" i="102"/>
  <c r="N335" i="102"/>
  <c r="P310" i="102"/>
  <c r="P335" i="102" s="1"/>
  <c r="Q294" i="102"/>
  <c r="P294" i="102"/>
  <c r="O294" i="102"/>
  <c r="N294" i="102"/>
  <c r="M294" i="102"/>
  <c r="Q290" i="102"/>
  <c r="P290" i="102"/>
  <c r="O290" i="102"/>
  <c r="N290" i="102"/>
  <c r="M290" i="102"/>
  <c r="Q286" i="102"/>
  <c r="O286" i="102"/>
  <c r="N286" i="102"/>
  <c r="M286" i="102"/>
  <c r="P283" i="102"/>
  <c r="P286" i="102" s="1"/>
  <c r="Q281" i="102"/>
  <c r="P281" i="102"/>
  <c r="O281" i="102"/>
  <c r="N281" i="102"/>
  <c r="M281" i="102"/>
  <c r="Q277" i="102"/>
  <c r="P277" i="102"/>
  <c r="O277" i="102"/>
  <c r="N277" i="102"/>
  <c r="M277" i="102"/>
  <c r="Q270" i="102"/>
  <c r="P270" i="102"/>
  <c r="O270" i="102"/>
  <c r="N270" i="102"/>
  <c r="M270" i="102"/>
  <c r="Q266" i="102"/>
  <c r="P266" i="102"/>
  <c r="O266" i="102"/>
  <c r="N266" i="102"/>
  <c r="M266" i="102"/>
  <c r="Q256" i="102"/>
  <c r="P256" i="102"/>
  <c r="O256" i="102"/>
  <c r="N256" i="102"/>
  <c r="M256" i="102"/>
  <c r="Q251" i="102"/>
  <c r="P251" i="102"/>
  <c r="O251" i="102"/>
  <c r="N251" i="102"/>
  <c r="M251" i="102"/>
  <c r="Q247" i="102"/>
  <c r="P247" i="102"/>
  <c r="O247" i="102"/>
  <c r="N247" i="102"/>
  <c r="Q243" i="102"/>
  <c r="P243" i="102"/>
  <c r="O243" i="102"/>
  <c r="N243" i="102"/>
  <c r="M243" i="102"/>
  <c r="Q239" i="102"/>
  <c r="O239" i="102"/>
  <c r="N239" i="102"/>
  <c r="M239" i="102"/>
  <c r="P237" i="102"/>
  <c r="Q232" i="102"/>
  <c r="P232" i="102"/>
  <c r="O232" i="102"/>
  <c r="N232" i="102"/>
  <c r="M232" i="102"/>
  <c r="Q224" i="102"/>
  <c r="P224" i="102"/>
  <c r="O224" i="102"/>
  <c r="N224" i="102"/>
  <c r="M224" i="102"/>
  <c r="Q220" i="102"/>
  <c r="P220" i="102"/>
  <c r="O220" i="102"/>
  <c r="N220" i="102"/>
  <c r="M220" i="102"/>
  <c r="Q213" i="102"/>
  <c r="P213" i="102"/>
  <c r="O213" i="102"/>
  <c r="N213" i="102"/>
  <c r="M213" i="102"/>
  <c r="Q209" i="102"/>
  <c r="P209" i="102"/>
  <c r="O209" i="102"/>
  <c r="N209" i="102"/>
  <c r="M209" i="102"/>
  <c r="Q192" i="102"/>
  <c r="P192" i="102"/>
  <c r="O192" i="102"/>
  <c r="N192" i="102"/>
  <c r="M192" i="102"/>
  <c r="Q187" i="102"/>
  <c r="P187" i="102"/>
  <c r="O187" i="102"/>
  <c r="N187" i="102"/>
  <c r="M187" i="102"/>
  <c r="Q183" i="102"/>
  <c r="P183" i="102"/>
  <c r="O183" i="102"/>
  <c r="N183" i="102"/>
  <c r="M183" i="102"/>
  <c r="Q179" i="102"/>
  <c r="P179" i="102"/>
  <c r="O179" i="102"/>
  <c r="N179" i="102"/>
  <c r="M179" i="102"/>
  <c r="Q174" i="102"/>
  <c r="P174" i="102"/>
  <c r="O174" i="102"/>
  <c r="N174" i="102"/>
  <c r="M174" i="102"/>
  <c r="Q168" i="102"/>
  <c r="P168" i="102"/>
  <c r="O168" i="102"/>
  <c r="N168" i="102"/>
  <c r="M167" i="102"/>
  <c r="T167" i="102" s="1"/>
  <c r="Q157" i="102"/>
  <c r="P157" i="102"/>
  <c r="O157" i="102"/>
  <c r="N157" i="102"/>
  <c r="M157" i="102"/>
  <c r="Q152" i="102"/>
  <c r="P152" i="102"/>
  <c r="O152" i="102"/>
  <c r="N152" i="102"/>
  <c r="M152" i="102"/>
  <c r="Q148" i="102"/>
  <c r="P148" i="102"/>
  <c r="O148" i="102"/>
  <c r="N148" i="102"/>
  <c r="M148" i="102"/>
  <c r="M245" i="102" s="1"/>
  <c r="Q141" i="102"/>
  <c r="P141" i="102"/>
  <c r="O141" i="102"/>
  <c r="N141" i="102"/>
  <c r="M141" i="102"/>
  <c r="Q135" i="102"/>
  <c r="P135" i="102"/>
  <c r="O135" i="102"/>
  <c r="N135" i="102"/>
  <c r="M135" i="102"/>
  <c r="Q131" i="102"/>
  <c r="P131" i="102"/>
  <c r="O131" i="102"/>
  <c r="N131" i="102"/>
  <c r="M131" i="102"/>
  <c r="Q126" i="102"/>
  <c r="P126" i="102"/>
  <c r="O126" i="102"/>
  <c r="N126" i="102"/>
  <c r="M126" i="102"/>
  <c r="Q121" i="102"/>
  <c r="P121" i="102"/>
  <c r="O121" i="102"/>
  <c r="N121" i="102"/>
  <c r="M121" i="102"/>
  <c r="Q113" i="102"/>
  <c r="P113" i="102"/>
  <c r="O113" i="102"/>
  <c r="N113" i="102"/>
  <c r="M113" i="102"/>
  <c r="Q94" i="102"/>
  <c r="O94" i="102"/>
  <c r="P94" i="102"/>
  <c r="N94" i="102"/>
  <c r="M94" i="102"/>
  <c r="Q90" i="102"/>
  <c r="P90" i="102"/>
  <c r="O90" i="102"/>
  <c r="N90" i="102"/>
  <c r="P87" i="102"/>
  <c r="N87" i="102"/>
  <c r="M87" i="102"/>
  <c r="Q68" i="102"/>
  <c r="Q87" i="102" s="1"/>
  <c r="O68" i="102"/>
  <c r="Q64" i="102"/>
  <c r="P64" i="102"/>
  <c r="O64" i="102"/>
  <c r="N64" i="102"/>
  <c r="M64" i="102"/>
  <c r="Q55" i="102"/>
  <c r="P55" i="102"/>
  <c r="O55" i="102"/>
  <c r="N55" i="102"/>
  <c r="M55" i="102"/>
  <c r="O38" i="102"/>
  <c r="O40" i="102" s="1"/>
  <c r="Q30" i="102"/>
  <c r="P30" i="102"/>
  <c r="O30" i="102"/>
  <c r="N30" i="102"/>
  <c r="M30" i="102"/>
  <c r="Q25" i="102"/>
  <c r="P25" i="102"/>
  <c r="O25" i="102"/>
  <c r="N25" i="102"/>
  <c r="M25" i="102"/>
  <c r="Q20" i="102"/>
  <c r="P20" i="102"/>
  <c r="O20" i="102"/>
  <c r="N20" i="102"/>
  <c r="M20" i="102"/>
  <c r="P10" i="102"/>
  <c r="N10" i="102"/>
  <c r="M10" i="102"/>
  <c r="I210" i="103"/>
  <c r="I209" i="103"/>
  <c r="I208" i="103"/>
  <c r="I207" i="103"/>
  <c r="I206" i="103"/>
  <c r="I205" i="103"/>
  <c r="I204" i="103"/>
  <c r="I203" i="103"/>
  <c r="I202" i="103"/>
  <c r="I201" i="103"/>
  <c r="I200" i="103"/>
  <c r="I199" i="103"/>
  <c r="I198" i="103"/>
  <c r="I197" i="103"/>
  <c r="I196" i="103"/>
  <c r="I195" i="103"/>
  <c r="I194" i="103"/>
  <c r="I193" i="103"/>
  <c r="I192" i="103"/>
  <c r="I191" i="103"/>
  <c r="I190" i="103"/>
  <c r="I189" i="103"/>
  <c r="I188" i="103"/>
  <c r="G188" i="103"/>
  <c r="I187" i="103"/>
  <c r="F187" i="103"/>
  <c r="I186" i="103"/>
  <c r="F186" i="103"/>
  <c r="I185" i="103"/>
  <c r="F185" i="103"/>
  <c r="I184" i="103"/>
  <c r="F184" i="103"/>
  <c r="I183" i="103"/>
  <c r="F183" i="103"/>
  <c r="I182" i="103"/>
  <c r="F182" i="103"/>
  <c r="I181" i="103"/>
  <c r="F181" i="103"/>
  <c r="I180" i="103"/>
  <c r="F180" i="103"/>
  <c r="I179" i="103"/>
  <c r="F179" i="103"/>
  <c r="I178" i="103"/>
  <c r="F178" i="103"/>
  <c r="I177" i="103"/>
  <c r="F177" i="103"/>
  <c r="I176" i="103"/>
  <c r="F176" i="103"/>
  <c r="I175" i="103"/>
  <c r="F175" i="103"/>
  <c r="I174" i="103"/>
  <c r="F174" i="103"/>
  <c r="I173" i="103"/>
  <c r="F173" i="103"/>
  <c r="I172" i="103"/>
  <c r="F172" i="103"/>
  <c r="I171" i="103"/>
  <c r="F171" i="103"/>
  <c r="I170" i="103"/>
  <c r="F170" i="103"/>
  <c r="I169" i="103"/>
  <c r="F169" i="103"/>
  <c r="I168" i="103"/>
  <c r="F168" i="103"/>
  <c r="I167" i="103"/>
  <c r="F167" i="103"/>
  <c r="I166" i="103"/>
  <c r="F166" i="103"/>
  <c r="I165" i="103"/>
  <c r="F165" i="103"/>
  <c r="I164" i="103"/>
  <c r="F164" i="103"/>
  <c r="I163" i="103"/>
  <c r="F163" i="103"/>
  <c r="I162" i="103"/>
  <c r="F162" i="103"/>
  <c r="I161" i="103"/>
  <c r="F161" i="103"/>
  <c r="I160" i="103"/>
  <c r="F160" i="103"/>
  <c r="I159" i="103"/>
  <c r="F159" i="103"/>
  <c r="I158" i="103"/>
  <c r="F158" i="103"/>
  <c r="I157" i="103"/>
  <c r="F157" i="103"/>
  <c r="I156" i="103"/>
  <c r="F156" i="103"/>
  <c r="I155" i="103"/>
  <c r="F155" i="103"/>
  <c r="I154" i="103"/>
  <c r="F154" i="103"/>
  <c r="I153" i="103"/>
  <c r="F153" i="103"/>
  <c r="I152" i="103"/>
  <c r="F152" i="103"/>
  <c r="I151" i="103"/>
  <c r="F151" i="103"/>
  <c r="I150" i="103"/>
  <c r="F150" i="103"/>
  <c r="I149" i="103"/>
  <c r="F149" i="103"/>
  <c r="I148" i="103"/>
  <c r="F148" i="103"/>
  <c r="I147" i="103"/>
  <c r="F147" i="103"/>
  <c r="I146" i="103"/>
  <c r="F146" i="103"/>
  <c r="I145" i="103"/>
  <c r="F145" i="103"/>
  <c r="I144" i="103"/>
  <c r="F144" i="103"/>
  <c r="I143" i="103"/>
  <c r="F143" i="103"/>
  <c r="I142" i="103"/>
  <c r="F142" i="103"/>
  <c r="I141" i="103"/>
  <c r="F141" i="103"/>
  <c r="I140" i="103"/>
  <c r="F140" i="103"/>
  <c r="I139" i="103"/>
  <c r="F139" i="103"/>
  <c r="I138" i="103"/>
  <c r="F138" i="103"/>
  <c r="I137" i="103"/>
  <c r="F137" i="103"/>
  <c r="I136" i="103"/>
  <c r="F136" i="103"/>
  <c r="I135" i="103"/>
  <c r="F135" i="103"/>
  <c r="I134" i="103"/>
  <c r="F134" i="103"/>
  <c r="I133" i="103"/>
  <c r="F133" i="103"/>
  <c r="I132" i="103"/>
  <c r="F132" i="103"/>
  <c r="I131" i="103"/>
  <c r="F131" i="103"/>
  <c r="I130" i="103"/>
  <c r="F130" i="103"/>
  <c r="I129" i="103"/>
  <c r="F129" i="103"/>
  <c r="I128" i="103"/>
  <c r="F128" i="103"/>
  <c r="I127" i="103"/>
  <c r="F127" i="103"/>
  <c r="I126" i="103"/>
  <c r="F126" i="103"/>
  <c r="I125" i="103"/>
  <c r="F125" i="103"/>
  <c r="I124" i="103"/>
  <c r="F124" i="103"/>
  <c r="I123" i="103"/>
  <c r="D123" i="103"/>
  <c r="F123" i="103" s="1"/>
  <c r="I122" i="103"/>
  <c r="F122" i="103"/>
  <c r="I121" i="103"/>
  <c r="F121" i="103"/>
  <c r="I120" i="103"/>
  <c r="F120" i="103"/>
  <c r="I119" i="103"/>
  <c r="F119" i="103"/>
  <c r="I118" i="103"/>
  <c r="F118" i="103"/>
  <c r="I117" i="103"/>
  <c r="F117" i="103"/>
  <c r="I116" i="103"/>
  <c r="F116" i="103"/>
  <c r="I115" i="103"/>
  <c r="F115" i="103"/>
  <c r="I114" i="103"/>
  <c r="F114" i="103"/>
  <c r="I113" i="103"/>
  <c r="F113" i="103"/>
  <c r="I112" i="103"/>
  <c r="F112" i="103"/>
  <c r="I111" i="103"/>
  <c r="F111" i="103"/>
  <c r="I110" i="103"/>
  <c r="F110" i="103"/>
  <c r="I109" i="103"/>
  <c r="F109" i="103"/>
  <c r="I108" i="103"/>
  <c r="F108" i="103"/>
  <c r="I107" i="103"/>
  <c r="F107" i="103"/>
  <c r="I106" i="103"/>
  <c r="F106" i="103"/>
  <c r="I105" i="103"/>
  <c r="F105" i="103"/>
  <c r="I104" i="103"/>
  <c r="F104" i="103"/>
  <c r="I103" i="103"/>
  <c r="F103" i="103"/>
  <c r="I102" i="103"/>
  <c r="I101" i="103"/>
  <c r="G101" i="103"/>
  <c r="I100" i="103"/>
  <c r="G100" i="103"/>
  <c r="I99" i="103"/>
  <c r="G99" i="103"/>
  <c r="I98" i="103"/>
  <c r="G98" i="103"/>
  <c r="I97" i="103"/>
  <c r="G97" i="103"/>
  <c r="I96" i="103"/>
  <c r="G96" i="103"/>
  <c r="I95" i="103"/>
  <c r="G95" i="103"/>
  <c r="I94" i="103"/>
  <c r="D94" i="103"/>
  <c r="F94" i="103" s="1"/>
  <c r="I93" i="103"/>
  <c r="G93" i="103"/>
  <c r="I92" i="103"/>
  <c r="F92" i="103"/>
  <c r="I91" i="103"/>
  <c r="G91" i="103"/>
  <c r="I90" i="103"/>
  <c r="G90" i="103"/>
  <c r="I89" i="103"/>
  <c r="I88" i="103"/>
  <c r="F88" i="103"/>
  <c r="I87" i="103"/>
  <c r="F87" i="103"/>
  <c r="I86" i="103"/>
  <c r="F86" i="103"/>
  <c r="I85" i="103"/>
  <c r="I84" i="103"/>
  <c r="F84" i="103"/>
  <c r="I83" i="103"/>
  <c r="F83" i="103"/>
  <c r="I82" i="103"/>
  <c r="F82" i="103"/>
  <c r="I81" i="103"/>
  <c r="F81" i="103"/>
  <c r="I80" i="103"/>
  <c r="F80" i="103"/>
  <c r="I79" i="103"/>
  <c r="F79" i="103"/>
  <c r="I78" i="103"/>
  <c r="F78" i="103"/>
  <c r="I77" i="103"/>
  <c r="F77" i="103"/>
  <c r="I76" i="103"/>
  <c r="F76" i="103"/>
  <c r="I75" i="103"/>
  <c r="F75" i="103"/>
  <c r="I74" i="103"/>
  <c r="F74" i="103"/>
  <c r="I73" i="103"/>
  <c r="F73" i="103"/>
  <c r="I72" i="103"/>
  <c r="I71" i="103"/>
  <c r="G71" i="103"/>
  <c r="I70" i="103"/>
  <c r="G70" i="103"/>
  <c r="I69" i="103"/>
  <c r="F69" i="103"/>
  <c r="I68" i="103"/>
  <c r="F68" i="103"/>
  <c r="I67" i="103"/>
  <c r="F67" i="103"/>
  <c r="I66" i="103"/>
  <c r="F66" i="103"/>
  <c r="I65" i="103"/>
  <c r="F65" i="103"/>
  <c r="I64" i="103"/>
  <c r="F64" i="103"/>
  <c r="I63" i="103"/>
  <c r="F63" i="103"/>
  <c r="I62" i="103"/>
  <c r="F62" i="103"/>
  <c r="I61" i="103"/>
  <c r="F61" i="103"/>
  <c r="I60" i="103"/>
  <c r="F60" i="103"/>
  <c r="I59" i="103"/>
  <c r="F59" i="103"/>
  <c r="I58" i="103"/>
  <c r="F58" i="103"/>
  <c r="I57" i="103"/>
  <c r="F57" i="103"/>
  <c r="I56" i="103"/>
  <c r="F56" i="103"/>
  <c r="I55" i="103"/>
  <c r="E55" i="103"/>
  <c r="F55" i="103" s="1"/>
  <c r="D55" i="103"/>
  <c r="I54" i="103"/>
  <c r="F54" i="103"/>
  <c r="I53" i="103"/>
  <c r="F53" i="103"/>
  <c r="I52" i="103"/>
  <c r="F52" i="103"/>
  <c r="I51" i="103"/>
  <c r="F51" i="103"/>
  <c r="I50" i="103"/>
  <c r="F50" i="103"/>
  <c r="I49" i="103"/>
  <c r="F49" i="103"/>
  <c r="I48" i="103"/>
  <c r="F48" i="103"/>
  <c r="I47" i="103"/>
  <c r="F47" i="103"/>
  <c r="I46" i="103"/>
  <c r="F46" i="103"/>
  <c r="I45" i="103"/>
  <c r="F45" i="103"/>
  <c r="I44" i="103"/>
  <c r="F44" i="103"/>
  <c r="I43" i="103"/>
  <c r="F43" i="103"/>
  <c r="I42" i="103"/>
  <c r="F42" i="103"/>
  <c r="I41" i="103"/>
  <c r="F41" i="103"/>
  <c r="I40" i="103"/>
  <c r="F40" i="103"/>
  <c r="I39" i="103"/>
  <c r="I38" i="103"/>
  <c r="D38" i="103"/>
  <c r="F38" i="103" s="1"/>
  <c r="I37" i="103"/>
  <c r="G37" i="103"/>
  <c r="I36" i="103"/>
  <c r="G36" i="103"/>
  <c r="I35" i="103"/>
  <c r="G35" i="103"/>
  <c r="I34" i="103"/>
  <c r="G34" i="103"/>
  <c r="I33" i="103"/>
  <c r="G33" i="103"/>
  <c r="I32" i="103"/>
  <c r="G32" i="103"/>
  <c r="I31" i="103"/>
  <c r="G31" i="103"/>
  <c r="I30" i="103"/>
  <c r="G30" i="103"/>
  <c r="I29" i="103"/>
  <c r="G29" i="103"/>
  <c r="I28" i="103"/>
  <c r="G28" i="103"/>
  <c r="I27" i="103"/>
  <c r="G27" i="103"/>
  <c r="I26" i="103"/>
  <c r="E26" i="103"/>
  <c r="G26" i="103" s="1"/>
  <c r="D26" i="103"/>
  <c r="D189" i="103" s="1"/>
  <c r="I25" i="103"/>
  <c r="G25" i="103"/>
  <c r="I24" i="103"/>
  <c r="G24" i="103"/>
  <c r="I23" i="103"/>
  <c r="G23" i="103"/>
  <c r="I22" i="103"/>
  <c r="G22" i="103"/>
  <c r="I21" i="103"/>
  <c r="I20" i="103"/>
  <c r="I19" i="103"/>
  <c r="G19" i="103"/>
  <c r="I18" i="103"/>
  <c r="I17" i="103"/>
  <c r="I16" i="103"/>
  <c r="I15" i="103"/>
  <c r="G15" i="103"/>
  <c r="I14" i="103"/>
  <c r="G14" i="103"/>
  <c r="I13" i="103"/>
  <c r="G13" i="103"/>
  <c r="I12" i="103"/>
  <c r="G12" i="103"/>
  <c r="D21" i="5"/>
  <c r="C21" i="5"/>
  <c r="M90" i="102" l="1"/>
  <c r="M96" i="102" s="1"/>
  <c r="T89" i="102"/>
  <c r="P239" i="102"/>
  <c r="T237" i="102"/>
  <c r="O87" i="102"/>
  <c r="T68" i="102"/>
  <c r="M247" i="102"/>
  <c r="T245" i="102"/>
  <c r="O8" i="102"/>
  <c r="O10" i="102" s="1"/>
  <c r="O364" i="102" s="1"/>
  <c r="M335" i="102"/>
  <c r="M168" i="102"/>
  <c r="Q96" i="102"/>
  <c r="Q365" i="102" s="1"/>
  <c r="O96" i="102"/>
  <c r="N96" i="102"/>
  <c r="N365" i="102" s="1"/>
  <c r="M364" i="102"/>
  <c r="P96" i="102"/>
  <c r="P365" i="102" s="1"/>
  <c r="N364" i="102"/>
  <c r="P364" i="102"/>
  <c r="Q8" i="102"/>
  <c r="Q10" i="102" s="1"/>
  <c r="Q364" i="102" s="1"/>
  <c r="E189" i="103"/>
  <c r="D191" i="103" s="1"/>
  <c r="L23" i="109"/>
  <c r="N23" i="109"/>
  <c r="L24" i="109"/>
  <c r="N24" i="109"/>
  <c r="L25" i="109"/>
  <c r="M25" i="109"/>
  <c r="N25" i="109" s="1"/>
  <c r="C38" i="109"/>
  <c r="O365" i="102" l="1"/>
  <c r="O366" i="102" s="1"/>
  <c r="O368" i="102" s="1"/>
  <c r="M365" i="102"/>
  <c r="M366" i="102" s="1"/>
  <c r="M368" i="102" s="1"/>
  <c r="Q366" i="102"/>
  <c r="Q368" i="102" s="1"/>
  <c r="N366" i="102"/>
  <c r="N368" i="102" s="1"/>
  <c r="P366" i="102"/>
  <c r="P368" i="102" s="1"/>
  <c r="L26" i="109"/>
  <c r="C10" i="109"/>
  <c r="M26" i="109" l="1"/>
  <c r="M27" i="109" s="1"/>
  <c r="N26" i="109"/>
  <c r="N27" i="109" s="1"/>
  <c r="L27" i="109"/>
  <c r="M49" i="71"/>
  <c r="L49" i="71"/>
  <c r="I49" i="71"/>
  <c r="H49" i="71"/>
  <c r="G49" i="71"/>
  <c r="F49" i="71"/>
  <c r="E49" i="71"/>
  <c r="J48" i="71"/>
  <c r="C48" i="71"/>
  <c r="K48" i="71" s="1"/>
  <c r="N48" i="71" s="1"/>
  <c r="O48" i="71" s="1"/>
  <c r="C47" i="71"/>
  <c r="J47" i="71" s="1"/>
  <c r="C46" i="71"/>
  <c r="K46" i="71" s="1"/>
  <c r="N46" i="71" s="1"/>
  <c r="K45" i="71"/>
  <c r="C45" i="71"/>
  <c r="C49" i="71" s="1"/>
  <c r="F80" i="109"/>
  <c r="G79" i="109"/>
  <c r="E79" i="109"/>
  <c r="E80" i="109" s="1"/>
  <c r="D79" i="109"/>
  <c r="G77" i="109"/>
  <c r="P51" i="109"/>
  <c r="K45" i="109"/>
  <c r="C43" i="109"/>
  <c r="C42" i="109"/>
  <c r="I27" i="109"/>
  <c r="C21" i="109"/>
  <c r="D22" i="109" s="1"/>
  <c r="K4" i="109"/>
  <c r="K5" i="109" s="1"/>
  <c r="D77" i="109" l="1"/>
  <c r="D80" i="109" s="1"/>
  <c r="G80" i="109"/>
  <c r="J8" i="109"/>
  <c r="J45" i="71"/>
  <c r="K47" i="71"/>
  <c r="N47" i="71" s="1"/>
  <c r="O47" i="71" s="1"/>
  <c r="N45" i="71"/>
  <c r="J46" i="71"/>
  <c r="O46" i="71" s="1"/>
  <c r="N49" i="71" l="1"/>
  <c r="K49" i="71"/>
  <c r="J49" i="71"/>
  <c r="O45" i="71"/>
  <c r="O49" i="71" s="1"/>
  <c r="E22" i="109"/>
  <c r="G22" i="109" s="1"/>
  <c r="E67" i="109" l="1"/>
  <c r="D363" i="5" l="1"/>
  <c r="D357" i="5" l="1"/>
  <c r="D169" i="5" l="1"/>
  <c r="A3" i="86"/>
  <c r="D123" i="5" l="1"/>
  <c r="C123" i="5"/>
  <c r="D116" i="5"/>
  <c r="C116" i="5"/>
  <c r="C94" i="5" s="1"/>
  <c r="D109" i="5"/>
  <c r="C131" i="5" l="1"/>
  <c r="D131" i="5"/>
  <c r="C96" i="5"/>
  <c r="C487" i="5"/>
  <c r="D506" i="5"/>
  <c r="C363" i="5"/>
  <c r="C345" i="5" s="1"/>
  <c r="C357" i="5"/>
  <c r="C344" i="5" s="1"/>
  <c r="I38" i="35" l="1"/>
  <c r="H42" i="35"/>
  <c r="K16" i="105"/>
  <c r="K15" i="105"/>
  <c r="K14" i="105"/>
  <c r="C259" i="102"/>
  <c r="C261" i="102" l="1"/>
  <c r="K259" i="102"/>
  <c r="T261" i="102"/>
  <c r="D483" i="5" s="1"/>
  <c r="D335" i="102"/>
  <c r="L85" i="106"/>
  <c r="L83" i="106"/>
  <c r="M83" i="106"/>
  <c r="M38" i="71"/>
  <c r="L38" i="71"/>
  <c r="I38" i="71"/>
  <c r="H38" i="71"/>
  <c r="G38" i="71"/>
  <c r="F38" i="71"/>
  <c r="E38" i="71"/>
  <c r="M27" i="71"/>
  <c r="L27" i="71"/>
  <c r="I27" i="71"/>
  <c r="H27" i="71"/>
  <c r="G27" i="71"/>
  <c r="F27" i="71"/>
  <c r="E27" i="71"/>
  <c r="M13" i="71"/>
  <c r="L13" i="71"/>
  <c r="J13" i="71"/>
  <c r="I13" i="71"/>
  <c r="H13" i="71"/>
  <c r="G13" i="71"/>
  <c r="F13" i="71"/>
  <c r="E13" i="71"/>
  <c r="C13" i="71"/>
  <c r="N12" i="71"/>
  <c r="K12" i="71"/>
  <c r="J12" i="71"/>
  <c r="O12" i="71" s="1"/>
  <c r="C26" i="71" s="1"/>
  <c r="K11" i="71"/>
  <c r="N11" i="71" s="1"/>
  <c r="J11" i="71"/>
  <c r="N10" i="71"/>
  <c r="K10" i="71"/>
  <c r="J10" i="71"/>
  <c r="O10" i="71" s="1"/>
  <c r="C24" i="71" s="1"/>
  <c r="K9" i="71"/>
  <c r="N9" i="71" s="1"/>
  <c r="J9" i="71"/>
  <c r="O9" i="71" s="1"/>
  <c r="G70" i="70"/>
  <c r="F70" i="70"/>
  <c r="E70" i="70"/>
  <c r="D70" i="70"/>
  <c r="G69" i="70"/>
  <c r="E69" i="70"/>
  <c r="D69" i="70"/>
  <c r="G67" i="70"/>
  <c r="D67" i="70"/>
  <c r="E61" i="70"/>
  <c r="E59" i="70"/>
  <c r="E57" i="70"/>
  <c r="G54" i="70"/>
  <c r="G49" i="70"/>
  <c r="F44" i="70"/>
  <c r="M43" i="70"/>
  <c r="G43" i="70"/>
  <c r="I42" i="70"/>
  <c r="G42" i="70"/>
  <c r="E42" i="70"/>
  <c r="D42" i="70"/>
  <c r="C42" i="70"/>
  <c r="G41" i="70"/>
  <c r="C41" i="70"/>
  <c r="C39" i="70"/>
  <c r="C38" i="70"/>
  <c r="G36" i="70"/>
  <c r="F36" i="70"/>
  <c r="E36" i="70"/>
  <c r="D36" i="70"/>
  <c r="C36" i="70"/>
  <c r="F35" i="70"/>
  <c r="C35" i="70"/>
  <c r="K27" i="70"/>
  <c r="J27" i="70"/>
  <c r="I27" i="70"/>
  <c r="E27" i="70"/>
  <c r="D27" i="70"/>
  <c r="K26" i="70"/>
  <c r="J26" i="70"/>
  <c r="I26" i="70"/>
  <c r="K25" i="70"/>
  <c r="J25" i="70"/>
  <c r="I25" i="70"/>
  <c r="K24" i="70"/>
  <c r="I24" i="70"/>
  <c r="K23" i="70"/>
  <c r="I23" i="70"/>
  <c r="E23" i="70"/>
  <c r="E22" i="70"/>
  <c r="D22" i="70"/>
  <c r="C21" i="70"/>
  <c r="G72" i="69"/>
  <c r="F72" i="69"/>
  <c r="E72" i="69"/>
  <c r="D72" i="69"/>
  <c r="G71" i="69"/>
  <c r="E71" i="69"/>
  <c r="D71" i="69"/>
  <c r="G69" i="69"/>
  <c r="D69" i="69"/>
  <c r="E63" i="69"/>
  <c r="E61" i="69"/>
  <c r="E59" i="69"/>
  <c r="E51" i="69"/>
  <c r="P45" i="69"/>
  <c r="F44" i="69"/>
  <c r="C44" i="69"/>
  <c r="K42" i="69"/>
  <c r="C40" i="69"/>
  <c r="C39" i="69"/>
  <c r="N27" i="69"/>
  <c r="M27" i="69"/>
  <c r="L27" i="69"/>
  <c r="I27" i="69"/>
  <c r="G27" i="69"/>
  <c r="F27" i="69"/>
  <c r="E27" i="69"/>
  <c r="D27" i="69"/>
  <c r="N26" i="69"/>
  <c r="M26" i="69"/>
  <c r="L26" i="69"/>
  <c r="N25" i="69"/>
  <c r="M25" i="69"/>
  <c r="L25" i="69"/>
  <c r="N24" i="69"/>
  <c r="L24" i="69"/>
  <c r="N23" i="69"/>
  <c r="L23" i="69"/>
  <c r="E23" i="69"/>
  <c r="G22" i="69"/>
  <c r="E22" i="69"/>
  <c r="D22" i="69"/>
  <c r="C21" i="69"/>
  <c r="F14" i="69"/>
  <c r="J8" i="69"/>
  <c r="K5" i="69"/>
  <c r="K4" i="69"/>
  <c r="K3" i="69"/>
  <c r="G76" i="99"/>
  <c r="F76" i="99"/>
  <c r="E76" i="99"/>
  <c r="D76" i="99"/>
  <c r="G75" i="99"/>
  <c r="E75" i="99"/>
  <c r="D75" i="99"/>
  <c r="G73" i="99"/>
  <c r="D73" i="99"/>
  <c r="E63" i="99"/>
  <c r="P47" i="99"/>
  <c r="K43" i="99"/>
  <c r="C41" i="99"/>
  <c r="C40" i="99"/>
  <c r="N27" i="99"/>
  <c r="M27" i="99"/>
  <c r="L27" i="99"/>
  <c r="I27" i="99"/>
  <c r="F27" i="99"/>
  <c r="N26" i="99"/>
  <c r="M26" i="99"/>
  <c r="L26" i="99"/>
  <c r="N25" i="99"/>
  <c r="M25" i="99"/>
  <c r="L25" i="99"/>
  <c r="N24" i="99"/>
  <c r="L24" i="99"/>
  <c r="N23" i="99"/>
  <c r="L23" i="99"/>
  <c r="G22" i="99"/>
  <c r="E22" i="99"/>
  <c r="D22" i="99"/>
  <c r="C21" i="99"/>
  <c r="J8" i="99"/>
  <c r="K5" i="99"/>
  <c r="K4" i="99"/>
  <c r="C53" i="32"/>
  <c r="C52" i="32"/>
  <c r="C51" i="32"/>
  <c r="C50" i="32"/>
  <c r="M43" i="32"/>
  <c r="H42" i="32"/>
  <c r="H39" i="32"/>
  <c r="G39" i="32"/>
  <c r="I39" i="32" s="1"/>
  <c r="B33" i="32"/>
  <c r="B36" i="32" s="1"/>
  <c r="B32" i="32"/>
  <c r="B30" i="32"/>
  <c r="K101" i="106"/>
  <c r="H101" i="106"/>
  <c r="E101" i="106"/>
  <c r="C101" i="106"/>
  <c r="H100" i="106"/>
  <c r="E100" i="106"/>
  <c r="K99" i="106"/>
  <c r="C99" i="106"/>
  <c r="K98" i="106"/>
  <c r="H98" i="106"/>
  <c r="E98" i="106"/>
  <c r="C98" i="106"/>
  <c r="H97" i="106"/>
  <c r="E97" i="106"/>
  <c r="K96" i="106"/>
  <c r="C96" i="106"/>
  <c r="K95" i="106"/>
  <c r="H95" i="106"/>
  <c r="E95" i="106"/>
  <c r="C95" i="106"/>
  <c r="H94" i="106"/>
  <c r="E94" i="106"/>
  <c r="K93" i="106"/>
  <c r="C93" i="106"/>
  <c r="M91" i="106"/>
  <c r="M90" i="106"/>
  <c r="K90" i="106"/>
  <c r="H90" i="106"/>
  <c r="E90" i="106"/>
  <c r="C90" i="106"/>
  <c r="M89" i="106"/>
  <c r="K89" i="106"/>
  <c r="E89" i="106"/>
  <c r="C89" i="106"/>
  <c r="K88" i="106"/>
  <c r="H88" i="106"/>
  <c r="C88" i="106"/>
  <c r="K87" i="106"/>
  <c r="H87" i="106"/>
  <c r="E87" i="106"/>
  <c r="C87" i="106"/>
  <c r="K86" i="106"/>
  <c r="E86" i="106"/>
  <c r="C86" i="106"/>
  <c r="K85" i="106"/>
  <c r="H85" i="106"/>
  <c r="C85" i="106"/>
  <c r="N84" i="106"/>
  <c r="K84" i="106"/>
  <c r="H84" i="106"/>
  <c r="E84" i="106"/>
  <c r="C84" i="106"/>
  <c r="N83" i="106"/>
  <c r="K83" i="106"/>
  <c r="E83" i="106"/>
  <c r="C83" i="106"/>
  <c r="N82" i="106"/>
  <c r="K82" i="106"/>
  <c r="H82" i="106"/>
  <c r="C82" i="106"/>
  <c r="J75" i="106"/>
  <c r="H74" i="106"/>
  <c r="J71" i="106"/>
  <c r="L70" i="106"/>
  <c r="H70" i="106"/>
  <c r="E70" i="106"/>
  <c r="D70" i="106"/>
  <c r="J67" i="106"/>
  <c r="K66" i="106"/>
  <c r="H66" i="106"/>
  <c r="N61" i="106"/>
  <c r="L61" i="106"/>
  <c r="J61" i="106"/>
  <c r="H60" i="106"/>
  <c r="D60" i="106"/>
  <c r="J57" i="106"/>
  <c r="N56" i="106"/>
  <c r="K56" i="106"/>
  <c r="H56" i="106"/>
  <c r="J51" i="106"/>
  <c r="L50" i="106"/>
  <c r="H50" i="106"/>
  <c r="D50" i="106"/>
  <c r="J47" i="106"/>
  <c r="K46" i="106"/>
  <c r="H46" i="106"/>
  <c r="J41" i="106"/>
  <c r="L40" i="106"/>
  <c r="H40" i="106"/>
  <c r="D40" i="106"/>
  <c r="J37" i="106"/>
  <c r="K36" i="106"/>
  <c r="H36" i="106"/>
  <c r="J31" i="106"/>
  <c r="L30" i="106"/>
  <c r="H30" i="106"/>
  <c r="K29" i="106"/>
  <c r="H29" i="106"/>
  <c r="E21" i="106"/>
  <c r="E20" i="106"/>
  <c r="J18" i="106"/>
  <c r="I18" i="106"/>
  <c r="H18" i="106"/>
  <c r="G18" i="106"/>
  <c r="F18" i="106"/>
  <c r="E18" i="106"/>
  <c r="J16" i="106"/>
  <c r="E11" i="106"/>
  <c r="E16" i="42"/>
  <c r="D16" i="42"/>
  <c r="C16" i="42"/>
  <c r="B16" i="42"/>
  <c r="E15" i="42"/>
  <c r="D15" i="42"/>
  <c r="D14" i="42"/>
  <c r="L13" i="42"/>
  <c r="M10" i="42"/>
  <c r="I10" i="42"/>
  <c r="H10" i="42"/>
  <c r="G10" i="42"/>
  <c r="F10" i="42"/>
  <c r="E10" i="42"/>
  <c r="D10" i="42"/>
  <c r="C10" i="42"/>
  <c r="B10" i="42"/>
  <c r="J9" i="42"/>
  <c r="J8" i="42"/>
  <c r="L7" i="42"/>
  <c r="J7" i="42"/>
  <c r="L6" i="42"/>
  <c r="J6" i="42"/>
  <c r="L5" i="42"/>
  <c r="J5" i="42"/>
  <c r="J4" i="42"/>
  <c r="J3" i="42"/>
  <c r="C75" i="105"/>
  <c r="D72" i="105"/>
  <c r="C64" i="105"/>
  <c r="D61" i="105"/>
  <c r="D57" i="105"/>
  <c r="D53" i="105"/>
  <c r="D49" i="105"/>
  <c r="D45" i="105"/>
  <c r="C44" i="105"/>
  <c r="C40" i="105"/>
  <c r="D37" i="105"/>
  <c r="C36" i="105"/>
  <c r="D34" i="105"/>
  <c r="C33" i="105"/>
  <c r="D30" i="105"/>
  <c r="C29" i="105"/>
  <c r="D26" i="105"/>
  <c r="D23" i="105"/>
  <c r="C18" i="105"/>
  <c r="D19" i="105" s="1"/>
  <c r="C14" i="105"/>
  <c r="D15" i="105" s="1"/>
  <c r="K12" i="105"/>
  <c r="H12" i="105"/>
  <c r="G12" i="105"/>
  <c r="K10" i="105"/>
  <c r="D10" i="105"/>
  <c r="L8" i="105"/>
  <c r="K6" i="105"/>
  <c r="H6" i="105"/>
  <c r="G6" i="105"/>
  <c r="D5" i="105"/>
  <c r="B1" i="105"/>
  <c r="B30" i="45"/>
  <c r="E29" i="45"/>
  <c r="B29" i="45"/>
  <c r="B28" i="45"/>
  <c r="G27" i="45"/>
  <c r="E27" i="45"/>
  <c r="G26" i="45"/>
  <c r="E26" i="45"/>
  <c r="G25" i="45"/>
  <c r="E25" i="45"/>
  <c r="A3" i="45"/>
  <c r="A3" i="47"/>
  <c r="G10" i="24"/>
  <c r="G9" i="24"/>
  <c r="G8" i="24"/>
  <c r="F17" i="47" s="1"/>
  <c r="F8" i="24"/>
  <c r="E17" i="47" s="1"/>
  <c r="A38" i="23"/>
  <c r="E35" i="23"/>
  <c r="E34" i="23"/>
  <c r="D18" i="23"/>
  <c r="E13" i="23"/>
  <c r="D13" i="23"/>
  <c r="C41" i="22"/>
  <c r="F33" i="22"/>
  <c r="F41" i="22" s="1"/>
  <c r="C33" i="22"/>
  <c r="A3" i="22"/>
  <c r="F37" i="46"/>
  <c r="E37" i="46"/>
  <c r="G32" i="46"/>
  <c r="F32" i="46"/>
  <c r="E26" i="46" s="1"/>
  <c r="E32" i="46" s="1"/>
  <c r="F24" i="46"/>
  <c r="E24" i="46"/>
  <c r="G20" i="46"/>
  <c r="G19" i="46"/>
  <c r="A3" i="46"/>
  <c r="K74" i="6"/>
  <c r="J74" i="6"/>
  <c r="F74" i="6"/>
  <c r="E74" i="6"/>
  <c r="D74" i="6"/>
  <c r="C74" i="6"/>
  <c r="B74" i="6"/>
  <c r="L71" i="6"/>
  <c r="M71" i="6" s="1"/>
  <c r="G71" i="6"/>
  <c r="L69" i="6"/>
  <c r="G69" i="6"/>
  <c r="L67" i="6"/>
  <c r="L74" i="6" s="1"/>
  <c r="G67" i="6"/>
  <c r="M62" i="6"/>
  <c r="L62" i="6"/>
  <c r="H62" i="6"/>
  <c r="G62" i="6"/>
  <c r="B62" i="6"/>
  <c r="K58" i="6"/>
  <c r="J58" i="6"/>
  <c r="I58" i="6"/>
  <c r="C462" i="5" s="1"/>
  <c r="H58" i="6"/>
  <c r="F58" i="6"/>
  <c r="E58" i="6"/>
  <c r="D58" i="6"/>
  <c r="C58" i="6"/>
  <c r="B58" i="6"/>
  <c r="L55" i="6"/>
  <c r="G55" i="6"/>
  <c r="L53" i="6"/>
  <c r="G53" i="6"/>
  <c r="L51" i="6"/>
  <c r="G51" i="6"/>
  <c r="M46" i="6"/>
  <c r="L46" i="6"/>
  <c r="H46" i="6"/>
  <c r="G46" i="6"/>
  <c r="B46" i="6"/>
  <c r="K42" i="6"/>
  <c r="J42" i="6"/>
  <c r="I42" i="6"/>
  <c r="H42" i="6"/>
  <c r="F42" i="6"/>
  <c r="E42" i="6"/>
  <c r="D42" i="6"/>
  <c r="D30" i="35" s="1"/>
  <c r="I30" i="35" s="1"/>
  <c r="C42" i="6"/>
  <c r="B42" i="6"/>
  <c r="L38" i="6"/>
  <c r="G38" i="6"/>
  <c r="L36" i="6"/>
  <c r="G36" i="6"/>
  <c r="L34" i="6"/>
  <c r="G34" i="6"/>
  <c r="L32" i="6"/>
  <c r="G32" i="6"/>
  <c r="K23" i="6"/>
  <c r="J23" i="6"/>
  <c r="I23" i="6"/>
  <c r="H23" i="6"/>
  <c r="F23" i="6"/>
  <c r="E23" i="6"/>
  <c r="D23" i="6"/>
  <c r="C23" i="6"/>
  <c r="B23" i="6"/>
  <c r="L19" i="6"/>
  <c r="G19" i="6"/>
  <c r="L17" i="6"/>
  <c r="G17" i="6"/>
  <c r="L15" i="6"/>
  <c r="G15" i="6"/>
  <c r="L13" i="6"/>
  <c r="G13" i="6"/>
  <c r="A3" i="6"/>
  <c r="A1" i="6"/>
  <c r="C294" i="102"/>
  <c r="I193" i="104"/>
  <c r="I192" i="104"/>
  <c r="I191" i="104"/>
  <c r="I188" i="104"/>
  <c r="I187" i="104"/>
  <c r="I186" i="104"/>
  <c r="I185" i="104"/>
  <c r="I184" i="104"/>
  <c r="I182" i="104"/>
  <c r="I181" i="104"/>
  <c r="I180" i="104"/>
  <c r="U300" i="102"/>
  <c r="I178" i="104"/>
  <c r="F177" i="104"/>
  <c r="I176" i="104"/>
  <c r="F176" i="104"/>
  <c r="I175" i="104"/>
  <c r="I174" i="104"/>
  <c r="I173" i="104"/>
  <c r="K243" i="102"/>
  <c r="I172" i="104"/>
  <c r="I171" i="104"/>
  <c r="K256" i="102"/>
  <c r="I168" i="104"/>
  <c r="I167" i="104"/>
  <c r="I166" i="104"/>
  <c r="C281" i="102"/>
  <c r="I165" i="104"/>
  <c r="I164" i="104"/>
  <c r="I163" i="104"/>
  <c r="I162" i="104"/>
  <c r="I161" i="104"/>
  <c r="I160" i="104"/>
  <c r="I159" i="104"/>
  <c r="I158" i="104"/>
  <c r="K187" i="102"/>
  <c r="U308" i="102"/>
  <c r="I155" i="104"/>
  <c r="I154" i="104"/>
  <c r="I153" i="104"/>
  <c r="I152" i="104"/>
  <c r="I150" i="104"/>
  <c r="I149" i="104"/>
  <c r="I148" i="104"/>
  <c r="I147" i="104"/>
  <c r="I146" i="104"/>
  <c r="I144" i="104"/>
  <c r="I143" i="104"/>
  <c r="I142" i="104"/>
  <c r="I141" i="104"/>
  <c r="I140" i="104"/>
  <c r="I139" i="104"/>
  <c r="I138" i="104"/>
  <c r="I137" i="104"/>
  <c r="I135" i="104"/>
  <c r="I134" i="104"/>
  <c r="I133" i="104"/>
  <c r="I132" i="104"/>
  <c r="I131" i="104"/>
  <c r="I130" i="104"/>
  <c r="I129" i="104"/>
  <c r="I128" i="104"/>
  <c r="I127" i="104"/>
  <c r="I126" i="104"/>
  <c r="I115" i="104"/>
  <c r="I114" i="104"/>
  <c r="I113" i="104"/>
  <c r="I112" i="104"/>
  <c r="I111" i="104"/>
  <c r="I109" i="104"/>
  <c r="I108" i="104"/>
  <c r="I107" i="104"/>
  <c r="C20" i="102"/>
  <c r="I106" i="104"/>
  <c r="I105" i="104"/>
  <c r="K64" i="102"/>
  <c r="I104" i="104"/>
  <c r="F104" i="104"/>
  <c r="I102" i="104"/>
  <c r="C220" i="102"/>
  <c r="I101" i="104"/>
  <c r="I100" i="104"/>
  <c r="I98" i="104"/>
  <c r="I96" i="104"/>
  <c r="I95" i="104"/>
  <c r="I94" i="104"/>
  <c r="U74" i="102"/>
  <c r="I92" i="104"/>
  <c r="I91" i="104"/>
  <c r="I90" i="104"/>
  <c r="U84" i="102"/>
  <c r="I88" i="104"/>
  <c r="U82" i="102"/>
  <c r="I86" i="104"/>
  <c r="I85" i="104"/>
  <c r="C8" i="102"/>
  <c r="C154" i="101"/>
  <c r="K154" i="101" s="1"/>
  <c r="C195" i="101"/>
  <c r="K195" i="101" s="1"/>
  <c r="K198" i="101" s="1"/>
  <c r="C175" i="101"/>
  <c r="C118" i="101"/>
  <c r="C144" i="101"/>
  <c r="K144" i="101" s="1"/>
  <c r="C93" i="102"/>
  <c r="C122" i="101"/>
  <c r="K122" i="101" s="1"/>
  <c r="C109" i="101"/>
  <c r="C65" i="101"/>
  <c r="K65" i="101" s="1"/>
  <c r="G12" i="104"/>
  <c r="C8" i="101" s="1"/>
  <c r="K8" i="101" s="1"/>
  <c r="H345" i="102"/>
  <c r="G345" i="102"/>
  <c r="F345" i="102"/>
  <c r="E345" i="102"/>
  <c r="D345" i="102"/>
  <c r="L343" i="102"/>
  <c r="T343" i="102" s="1"/>
  <c r="K345" i="102"/>
  <c r="H340" i="102"/>
  <c r="G340" i="102"/>
  <c r="F340" i="102"/>
  <c r="E340" i="102"/>
  <c r="D340" i="102"/>
  <c r="L338" i="102"/>
  <c r="K340" i="102"/>
  <c r="H335" i="102"/>
  <c r="F335" i="102"/>
  <c r="E335" i="102"/>
  <c r="W301" i="102"/>
  <c r="W331" i="102"/>
  <c r="W330" i="102"/>
  <c r="W329" i="102"/>
  <c r="W328" i="102"/>
  <c r="L298" i="102"/>
  <c r="W327" i="102"/>
  <c r="W326" i="102"/>
  <c r="L325" i="102"/>
  <c r="L324" i="102"/>
  <c r="L322" i="102"/>
  <c r="L321" i="102"/>
  <c r="L297" i="102"/>
  <c r="T297" i="102" s="1"/>
  <c r="L320" i="102"/>
  <c r="L299" i="102"/>
  <c r="L319" i="102"/>
  <c r="L318" i="102"/>
  <c r="W317" i="102"/>
  <c r="L315" i="102"/>
  <c r="L314" i="102"/>
  <c r="L313" i="102"/>
  <c r="L312" i="102"/>
  <c r="L311" i="102"/>
  <c r="L310" i="102"/>
  <c r="G335" i="102"/>
  <c r="L309" i="102"/>
  <c r="H294" i="102"/>
  <c r="G294" i="102"/>
  <c r="F294" i="102"/>
  <c r="E294" i="102"/>
  <c r="D294" i="102"/>
  <c r="L292" i="102"/>
  <c r="H290" i="102"/>
  <c r="G290" i="102"/>
  <c r="F290" i="102"/>
  <c r="E290" i="102"/>
  <c r="D290" i="102"/>
  <c r="L288" i="102"/>
  <c r="K290" i="102"/>
  <c r="C494" i="5" s="1"/>
  <c r="H286" i="102"/>
  <c r="F286" i="102"/>
  <c r="E286" i="102"/>
  <c r="D286" i="102"/>
  <c r="L285" i="102"/>
  <c r="T285" i="102" s="1"/>
  <c r="L284" i="102"/>
  <c r="T284" i="102" s="1"/>
  <c r="L283" i="102"/>
  <c r="T283" i="102" s="1"/>
  <c r="G286" i="102"/>
  <c r="H281" i="102"/>
  <c r="G281" i="102"/>
  <c r="F281" i="102"/>
  <c r="E281" i="102"/>
  <c r="D281" i="102"/>
  <c r="L279" i="102"/>
  <c r="H277" i="102"/>
  <c r="G277" i="102"/>
  <c r="F277" i="102"/>
  <c r="E277" i="102"/>
  <c r="D277" i="102"/>
  <c r="L276" i="102"/>
  <c r="T276" i="102" s="1"/>
  <c r="H270" i="102"/>
  <c r="G270" i="102"/>
  <c r="F270" i="102"/>
  <c r="E270" i="102"/>
  <c r="D270" i="102"/>
  <c r="L268" i="102"/>
  <c r="K270" i="102"/>
  <c r="H266" i="102"/>
  <c r="G266" i="102"/>
  <c r="F266" i="102"/>
  <c r="E266" i="102"/>
  <c r="D266" i="102"/>
  <c r="L263" i="102"/>
  <c r="T263" i="102" s="1"/>
  <c r="H256" i="102"/>
  <c r="G256" i="102"/>
  <c r="F256" i="102"/>
  <c r="E256" i="102"/>
  <c r="D256" i="102"/>
  <c r="L254" i="102"/>
  <c r="H251" i="102"/>
  <c r="G251" i="102"/>
  <c r="F251" i="102"/>
  <c r="E251" i="102"/>
  <c r="D251" i="102"/>
  <c r="L249" i="102"/>
  <c r="L247" i="102"/>
  <c r="H247" i="102"/>
  <c r="G247" i="102"/>
  <c r="F247" i="102"/>
  <c r="E247" i="102"/>
  <c r="C247" i="102"/>
  <c r="T247" i="102"/>
  <c r="H243" i="102"/>
  <c r="G243" i="102"/>
  <c r="F243" i="102"/>
  <c r="E243" i="102"/>
  <c r="D243" i="102"/>
  <c r="L241" i="102"/>
  <c r="H239" i="102"/>
  <c r="F239" i="102"/>
  <c r="E239" i="102"/>
  <c r="D239" i="102"/>
  <c r="G239" i="102"/>
  <c r="L235" i="102"/>
  <c r="T235" i="102" s="1"/>
  <c r="L234" i="102"/>
  <c r="T234" i="102" s="1"/>
  <c r="H232" i="102"/>
  <c r="G232" i="102"/>
  <c r="F232" i="102"/>
  <c r="E232" i="102"/>
  <c r="D232" i="102"/>
  <c r="L230" i="102"/>
  <c r="T230" i="102" s="1"/>
  <c r="L228" i="102"/>
  <c r="T228" i="102" s="1"/>
  <c r="L227" i="102"/>
  <c r="T227" i="102" s="1"/>
  <c r="H224" i="102"/>
  <c r="G224" i="102"/>
  <c r="F224" i="102"/>
  <c r="E224" i="102"/>
  <c r="D224" i="102"/>
  <c r="L222" i="102"/>
  <c r="K224" i="102"/>
  <c r="H220" i="102"/>
  <c r="G220" i="102"/>
  <c r="F220" i="102"/>
  <c r="E220" i="102"/>
  <c r="D220" i="102"/>
  <c r="L216" i="102"/>
  <c r="H213" i="102"/>
  <c r="G213" i="102"/>
  <c r="F213" i="102"/>
  <c r="E213" i="102"/>
  <c r="D213" i="102"/>
  <c r="L211" i="102"/>
  <c r="K213" i="102"/>
  <c r="H209" i="102"/>
  <c r="G209" i="102"/>
  <c r="F209" i="102"/>
  <c r="E209" i="102"/>
  <c r="D209" i="102"/>
  <c r="L207" i="102"/>
  <c r="K209" i="102"/>
  <c r="L202" i="102"/>
  <c r="D474" i="5"/>
  <c r="H192" i="102"/>
  <c r="G192" i="102"/>
  <c r="F192" i="102"/>
  <c r="E192" i="102"/>
  <c r="D192" i="102"/>
  <c r="L190" i="102"/>
  <c r="K192" i="102"/>
  <c r="H187" i="102"/>
  <c r="G187" i="102"/>
  <c r="F187" i="102"/>
  <c r="E187" i="102"/>
  <c r="D187" i="102"/>
  <c r="L185" i="102"/>
  <c r="H183" i="102"/>
  <c r="G183" i="102"/>
  <c r="F183" i="102"/>
  <c r="E183" i="102"/>
  <c r="D183" i="102"/>
  <c r="L181" i="102"/>
  <c r="K183" i="102"/>
  <c r="H179" i="102"/>
  <c r="G179" i="102"/>
  <c r="F179" i="102"/>
  <c r="E179" i="102"/>
  <c r="D179" i="102"/>
  <c r="L179" i="102"/>
  <c r="H174" i="102"/>
  <c r="G174" i="102"/>
  <c r="F174" i="102"/>
  <c r="E174" i="102"/>
  <c r="D174" i="102"/>
  <c r="L172" i="102"/>
  <c r="T172" i="102" s="1"/>
  <c r="L171" i="102"/>
  <c r="T171" i="102" s="1"/>
  <c r="H168" i="102"/>
  <c r="G168" i="102"/>
  <c r="F168" i="102"/>
  <c r="E168" i="102"/>
  <c r="D168" i="102"/>
  <c r="L165" i="102"/>
  <c r="T165" i="102" s="1"/>
  <c r="L162" i="102"/>
  <c r="T162" i="102" s="1"/>
  <c r="L161" i="102"/>
  <c r="T161" i="102" s="1"/>
  <c r="L160" i="102"/>
  <c r="T160" i="102" s="1"/>
  <c r="H157" i="102"/>
  <c r="G157" i="102"/>
  <c r="F157" i="102"/>
  <c r="E157" i="102"/>
  <c r="D157" i="102"/>
  <c r="L155" i="102"/>
  <c r="C157" i="102"/>
  <c r="H152" i="102"/>
  <c r="G152" i="102"/>
  <c r="F152" i="102"/>
  <c r="E152" i="102"/>
  <c r="D152" i="102"/>
  <c r="L150" i="102"/>
  <c r="K152" i="102"/>
  <c r="H148" i="102"/>
  <c r="G148" i="102"/>
  <c r="F148" i="102"/>
  <c r="E148" i="102"/>
  <c r="D148" i="102"/>
  <c r="D247" i="102" s="1"/>
  <c r="L145" i="102"/>
  <c r="T145" i="102" s="1"/>
  <c r="H141" i="102"/>
  <c r="G141" i="102"/>
  <c r="F141" i="102"/>
  <c r="E141" i="102"/>
  <c r="D141" i="102"/>
  <c r="L137" i="102"/>
  <c r="T137" i="102" s="1"/>
  <c r="L135" i="102"/>
  <c r="H135" i="102"/>
  <c r="G135" i="102"/>
  <c r="F135" i="102"/>
  <c r="E135" i="102"/>
  <c r="D135" i="102"/>
  <c r="T135" i="102"/>
  <c r="D445" i="5" s="1"/>
  <c r="E15" i="107" s="1"/>
  <c r="L131" i="102"/>
  <c r="H131" i="102"/>
  <c r="G131" i="102"/>
  <c r="F131" i="102"/>
  <c r="E131" i="102"/>
  <c r="D131" i="102"/>
  <c r="L126" i="102"/>
  <c r="H126" i="102"/>
  <c r="G126" i="102"/>
  <c r="F126" i="102"/>
  <c r="E126" i="102"/>
  <c r="D126" i="102"/>
  <c r="T126" i="102"/>
  <c r="D443" i="5" s="1"/>
  <c r="C126" i="102"/>
  <c r="H121" i="102"/>
  <c r="G121" i="102"/>
  <c r="F121" i="102"/>
  <c r="E121" i="102"/>
  <c r="D121" i="102"/>
  <c r="L118" i="102"/>
  <c r="T118" i="102" s="1"/>
  <c r="L117" i="102"/>
  <c r="T117" i="102" s="1"/>
  <c r="L116" i="102"/>
  <c r="T116" i="102" s="1"/>
  <c r="H113" i="102"/>
  <c r="G113" i="102"/>
  <c r="F113" i="102"/>
  <c r="E113" i="102"/>
  <c r="D113" i="102"/>
  <c r="L110" i="102"/>
  <c r="T110" i="102" s="1"/>
  <c r="L109" i="102"/>
  <c r="T109" i="102" s="1"/>
  <c r="L108" i="102"/>
  <c r="T108" i="102" s="1"/>
  <c r="L107" i="102"/>
  <c r="T107" i="102" s="1"/>
  <c r="L106" i="102"/>
  <c r="T106" i="102" s="1"/>
  <c r="L105" i="102"/>
  <c r="T105" i="102" s="1"/>
  <c r="L104" i="102"/>
  <c r="T104" i="102" s="1"/>
  <c r="L103" i="102"/>
  <c r="T103" i="102" s="1"/>
  <c r="L102" i="102"/>
  <c r="T102" i="102" s="1"/>
  <c r="L101" i="102"/>
  <c r="T101" i="102" s="1"/>
  <c r="L100" i="102"/>
  <c r="T100" i="102" s="1"/>
  <c r="L99" i="102"/>
  <c r="T99" i="102" s="1"/>
  <c r="H94" i="102"/>
  <c r="F94" i="102"/>
  <c r="G94" i="102"/>
  <c r="E94" i="102"/>
  <c r="D94" i="102"/>
  <c r="O147" i="101"/>
  <c r="O149" i="101" s="1"/>
  <c r="H90" i="102"/>
  <c r="G90" i="102"/>
  <c r="F90" i="102"/>
  <c r="E90" i="102"/>
  <c r="C90" i="102"/>
  <c r="C147" i="101" s="1"/>
  <c r="D90" i="102"/>
  <c r="H87" i="102"/>
  <c r="H8" i="102" s="1"/>
  <c r="G87" i="102"/>
  <c r="E87" i="102"/>
  <c r="D87" i="102"/>
  <c r="L77" i="102"/>
  <c r="T77" i="102" s="1"/>
  <c r="L76" i="102"/>
  <c r="T76" i="102" s="1"/>
  <c r="L75" i="102"/>
  <c r="T75" i="102" s="1"/>
  <c r="L73" i="102"/>
  <c r="T73" i="102" s="1"/>
  <c r="L71" i="102"/>
  <c r="T71" i="102" s="1"/>
  <c r="L70" i="102"/>
  <c r="T70" i="102" s="1"/>
  <c r="L67" i="102"/>
  <c r="T67" i="102" s="1"/>
  <c r="H64" i="102"/>
  <c r="G64" i="102"/>
  <c r="F64" i="102"/>
  <c r="E64" i="102"/>
  <c r="D64" i="102"/>
  <c r="L62" i="102"/>
  <c r="D414" i="5"/>
  <c r="H55" i="102"/>
  <c r="G55" i="102"/>
  <c r="F55" i="102"/>
  <c r="E55" i="102"/>
  <c r="D55" i="102"/>
  <c r="L49" i="102"/>
  <c r="T49" i="102" s="1"/>
  <c r="L47" i="102"/>
  <c r="T47" i="102" s="1"/>
  <c r="L44" i="102"/>
  <c r="T44" i="102" s="1"/>
  <c r="L38" i="102"/>
  <c r="D415" i="5"/>
  <c r="D16" i="35" s="1"/>
  <c r="T35" i="102"/>
  <c r="C35" i="102"/>
  <c r="L30" i="102"/>
  <c r="H30" i="102"/>
  <c r="G30" i="102"/>
  <c r="F30" i="102"/>
  <c r="E30" i="102"/>
  <c r="D30" i="102"/>
  <c r="C30" i="102"/>
  <c r="T30" i="102"/>
  <c r="K30" i="102"/>
  <c r="H25" i="102"/>
  <c r="G25" i="102"/>
  <c r="F25" i="102"/>
  <c r="E25" i="102"/>
  <c r="D25" i="102"/>
  <c r="L23" i="102"/>
  <c r="H20" i="102"/>
  <c r="G20" i="102"/>
  <c r="F20" i="102"/>
  <c r="E20" i="102"/>
  <c r="D20" i="102"/>
  <c r="L18" i="102"/>
  <c r="X12" i="102"/>
  <c r="H10" i="102"/>
  <c r="G10" i="102"/>
  <c r="E10" i="102"/>
  <c r="D10" i="102"/>
  <c r="T9" i="102"/>
  <c r="L8" i="102"/>
  <c r="T7" i="102"/>
  <c r="K7" i="102"/>
  <c r="T1" i="102"/>
  <c r="K1" i="102"/>
  <c r="Q202" i="101"/>
  <c r="P202" i="101"/>
  <c r="O202" i="101"/>
  <c r="N202" i="101"/>
  <c r="M202" i="101"/>
  <c r="L202" i="101"/>
  <c r="H202" i="101"/>
  <c r="G202" i="101"/>
  <c r="F202" i="101"/>
  <c r="E202" i="101"/>
  <c r="C202" i="101"/>
  <c r="T202" i="101"/>
  <c r="Q198" i="101"/>
  <c r="P198" i="101"/>
  <c r="O198" i="101"/>
  <c r="N198" i="101"/>
  <c r="M198" i="101"/>
  <c r="H198" i="101"/>
  <c r="G198" i="101"/>
  <c r="F198" i="101"/>
  <c r="E198" i="101"/>
  <c r="D198" i="101"/>
  <c r="Q185" i="101"/>
  <c r="P185" i="101"/>
  <c r="O185" i="101"/>
  <c r="N185" i="101"/>
  <c r="M185" i="101"/>
  <c r="H185" i="101"/>
  <c r="G185" i="101"/>
  <c r="F185" i="101"/>
  <c r="E185" i="101"/>
  <c r="D185" i="101"/>
  <c r="L183" i="101"/>
  <c r="C185" i="101"/>
  <c r="Q181" i="101"/>
  <c r="P181" i="101"/>
  <c r="O181" i="101"/>
  <c r="N181" i="101"/>
  <c r="M181" i="101"/>
  <c r="H181" i="101"/>
  <c r="G181" i="101"/>
  <c r="F181" i="101"/>
  <c r="E181" i="101"/>
  <c r="D181" i="101"/>
  <c r="L179" i="101"/>
  <c r="C181" i="101"/>
  <c r="Q177" i="101"/>
  <c r="P177" i="101"/>
  <c r="O177" i="101"/>
  <c r="N177" i="101"/>
  <c r="M177" i="101"/>
  <c r="H177" i="101"/>
  <c r="G177" i="101"/>
  <c r="F177" i="101"/>
  <c r="E177" i="101"/>
  <c r="D177" i="101"/>
  <c r="L175" i="101"/>
  <c r="Q173" i="101"/>
  <c r="P173" i="101"/>
  <c r="O173" i="101"/>
  <c r="N173" i="101"/>
  <c r="M173" i="101"/>
  <c r="L173" i="101"/>
  <c r="H173" i="101"/>
  <c r="G173" i="101"/>
  <c r="F173" i="101"/>
  <c r="E173" i="101"/>
  <c r="D173" i="101"/>
  <c r="C173" i="101"/>
  <c r="T173" i="101"/>
  <c r="D141" i="5" s="1"/>
  <c r="D142" i="5" s="1"/>
  <c r="K173" i="101"/>
  <c r="C141" i="5" s="1"/>
  <c r="C142" i="5" s="1"/>
  <c r="Q169" i="101"/>
  <c r="P169" i="101"/>
  <c r="O169" i="101"/>
  <c r="N169" i="101"/>
  <c r="M169" i="101"/>
  <c r="H169" i="101"/>
  <c r="G169" i="101"/>
  <c r="F169" i="101"/>
  <c r="E169" i="101"/>
  <c r="D169" i="101"/>
  <c r="L167" i="101"/>
  <c r="C169" i="101"/>
  <c r="Q165" i="101"/>
  <c r="P165" i="101"/>
  <c r="O165" i="101"/>
  <c r="N165" i="101"/>
  <c r="M165" i="101"/>
  <c r="L165" i="101"/>
  <c r="H165" i="101"/>
  <c r="G165" i="101"/>
  <c r="F165" i="101"/>
  <c r="E165" i="101"/>
  <c r="D165" i="101"/>
  <c r="Q158" i="101"/>
  <c r="P158" i="101"/>
  <c r="O158" i="101"/>
  <c r="N158" i="101"/>
  <c r="M158" i="101"/>
  <c r="H158" i="101"/>
  <c r="G158" i="101"/>
  <c r="F158" i="101"/>
  <c r="E158" i="101"/>
  <c r="D158" i="101"/>
  <c r="L152" i="101"/>
  <c r="Q147" i="101"/>
  <c r="Q149" i="101" s="1"/>
  <c r="P147" i="101"/>
  <c r="P149" i="101" s="1"/>
  <c r="N147" i="101"/>
  <c r="N149" i="101" s="1"/>
  <c r="M147" i="101"/>
  <c r="M149" i="101" s="1"/>
  <c r="T145" i="101"/>
  <c r="D78" i="5" s="1"/>
  <c r="Q145" i="101"/>
  <c r="P145" i="101"/>
  <c r="O145" i="101"/>
  <c r="N145" i="101"/>
  <c r="M145" i="101"/>
  <c r="L145" i="101"/>
  <c r="H145" i="101"/>
  <c r="G145" i="101"/>
  <c r="F145" i="101"/>
  <c r="E145" i="101"/>
  <c r="Q141" i="101"/>
  <c r="P141" i="101"/>
  <c r="O141" i="101"/>
  <c r="N141" i="101"/>
  <c r="M141" i="101"/>
  <c r="H141" i="101"/>
  <c r="G141" i="101"/>
  <c r="F141" i="101"/>
  <c r="E141" i="101"/>
  <c r="D141" i="101"/>
  <c r="L139" i="101"/>
  <c r="C141" i="101"/>
  <c r="Q137" i="101"/>
  <c r="P137" i="101"/>
  <c r="O137" i="101"/>
  <c r="N137" i="101"/>
  <c r="M137" i="101"/>
  <c r="L137" i="101"/>
  <c r="H137" i="101"/>
  <c r="G137" i="101"/>
  <c r="F137" i="101"/>
  <c r="E137" i="101"/>
  <c r="D137" i="101"/>
  <c r="C137" i="101"/>
  <c r="T137" i="101"/>
  <c r="D63" i="5" s="1"/>
  <c r="E11" i="22" s="1"/>
  <c r="H36" i="22" s="1"/>
  <c r="Q133" i="101"/>
  <c r="P133" i="101"/>
  <c r="O133" i="101"/>
  <c r="N133" i="101"/>
  <c r="M133" i="101"/>
  <c r="H133" i="101"/>
  <c r="G133" i="101"/>
  <c r="F133" i="101"/>
  <c r="E133" i="101"/>
  <c r="D133" i="101"/>
  <c r="L131" i="101"/>
  <c r="C133" i="101"/>
  <c r="Q128" i="101"/>
  <c r="P128" i="101"/>
  <c r="O128" i="101"/>
  <c r="N128" i="101"/>
  <c r="M128" i="101"/>
  <c r="H128" i="101"/>
  <c r="G128" i="101"/>
  <c r="F128" i="101"/>
  <c r="E128" i="101"/>
  <c r="D128" i="101"/>
  <c r="L126" i="101"/>
  <c r="Q120" i="101"/>
  <c r="P120" i="101"/>
  <c r="O120" i="101"/>
  <c r="N120" i="101"/>
  <c r="M120" i="101"/>
  <c r="H120" i="101"/>
  <c r="G120" i="101"/>
  <c r="F120" i="101"/>
  <c r="E120" i="101"/>
  <c r="D120" i="101"/>
  <c r="L118" i="101"/>
  <c r="Q111" i="101"/>
  <c r="P111" i="101"/>
  <c r="O111" i="101"/>
  <c r="N111" i="101"/>
  <c r="M111" i="101"/>
  <c r="H111" i="101"/>
  <c r="G111" i="101"/>
  <c r="F111" i="101"/>
  <c r="E111" i="101"/>
  <c r="D111" i="101"/>
  <c r="T111" i="101"/>
  <c r="Q106" i="101"/>
  <c r="P106" i="101"/>
  <c r="O106" i="101"/>
  <c r="N106" i="101"/>
  <c r="M106" i="101"/>
  <c r="L106" i="101"/>
  <c r="H106" i="101"/>
  <c r="G106" i="101"/>
  <c r="F106" i="101"/>
  <c r="E106" i="101"/>
  <c r="D106" i="101"/>
  <c r="C106" i="101"/>
  <c r="T106" i="101"/>
  <c r="D383" i="5" s="1"/>
  <c r="K106" i="101"/>
  <c r="C383" i="5" s="1"/>
  <c r="Q102" i="101"/>
  <c r="P102" i="101"/>
  <c r="O102" i="101"/>
  <c r="N102" i="101"/>
  <c r="M102" i="101"/>
  <c r="L102" i="101"/>
  <c r="H102" i="101"/>
  <c r="G102" i="101"/>
  <c r="F102" i="101"/>
  <c r="E102" i="101"/>
  <c r="C102" i="101"/>
  <c r="T102" i="101"/>
  <c r="D382" i="5" s="1"/>
  <c r="Q99" i="101"/>
  <c r="P99" i="101"/>
  <c r="O99" i="101"/>
  <c r="N99" i="101"/>
  <c r="M99" i="101"/>
  <c r="H99" i="101"/>
  <c r="G99" i="101"/>
  <c r="F99" i="101"/>
  <c r="E99" i="101"/>
  <c r="D99" i="101"/>
  <c r="L97" i="101"/>
  <c r="C99" i="101"/>
  <c r="Q88" i="101"/>
  <c r="P88" i="101"/>
  <c r="O88" i="101"/>
  <c r="N88" i="101"/>
  <c r="M88" i="101"/>
  <c r="H88" i="101"/>
  <c r="G88" i="101"/>
  <c r="F88" i="101"/>
  <c r="E88" i="101"/>
  <c r="D88" i="101"/>
  <c r="L85" i="101"/>
  <c r="Q82" i="101"/>
  <c r="P82" i="101"/>
  <c r="O82" i="101"/>
  <c r="N82" i="101"/>
  <c r="M82" i="101"/>
  <c r="L82" i="101"/>
  <c r="H82" i="101"/>
  <c r="G82" i="101"/>
  <c r="F82" i="101"/>
  <c r="E82" i="101"/>
  <c r="D82" i="101"/>
  <c r="C82" i="101"/>
  <c r="T82" i="101"/>
  <c r="D372" i="5" s="1"/>
  <c r="K82" i="101"/>
  <c r="C372" i="5" s="1"/>
  <c r="Q78" i="101"/>
  <c r="P78" i="101"/>
  <c r="O78" i="101"/>
  <c r="N78" i="101"/>
  <c r="M78" i="101"/>
  <c r="H78" i="101"/>
  <c r="G78" i="101"/>
  <c r="F78" i="101"/>
  <c r="E78" i="101"/>
  <c r="D78" i="101"/>
  <c r="L77" i="101"/>
  <c r="T77" i="101" s="1"/>
  <c r="L75" i="101"/>
  <c r="T75" i="101" s="1"/>
  <c r="L74" i="101"/>
  <c r="T74" i="101" s="1"/>
  <c r="L73" i="101"/>
  <c r="T73" i="101" s="1"/>
  <c r="L72" i="101"/>
  <c r="T72" i="101" s="1"/>
  <c r="L71" i="101"/>
  <c r="T71" i="101" s="1"/>
  <c r="L70" i="101"/>
  <c r="T70" i="101" s="1"/>
  <c r="Q63" i="101"/>
  <c r="P63" i="101"/>
  <c r="O63" i="101"/>
  <c r="N63" i="101"/>
  <c r="M63" i="101"/>
  <c r="L63" i="101"/>
  <c r="H63" i="101"/>
  <c r="G63" i="101"/>
  <c r="F63" i="101"/>
  <c r="E63" i="101"/>
  <c r="C63" i="101"/>
  <c r="T63" i="101"/>
  <c r="D344" i="5" s="1"/>
  <c r="E48" i="2" s="1"/>
  <c r="K63" i="101"/>
  <c r="Q55" i="101"/>
  <c r="P55" i="101"/>
  <c r="O55" i="101"/>
  <c r="N55" i="101"/>
  <c r="M55" i="101"/>
  <c r="L55" i="101"/>
  <c r="H55" i="101"/>
  <c r="G55" i="101"/>
  <c r="F55" i="101"/>
  <c r="E55" i="101"/>
  <c r="D55" i="101"/>
  <c r="T55" i="101"/>
  <c r="D334" i="5" s="1"/>
  <c r="C55" i="101"/>
  <c r="Q50" i="101"/>
  <c r="P50" i="101"/>
  <c r="O50" i="101"/>
  <c r="N50" i="101"/>
  <c r="M50" i="101"/>
  <c r="H50" i="101"/>
  <c r="G50" i="101"/>
  <c r="F50" i="101"/>
  <c r="E50" i="101"/>
  <c r="D50" i="101"/>
  <c r="L50" i="101"/>
  <c r="D328" i="5" s="1"/>
  <c r="C50" i="101"/>
  <c r="Q42" i="101"/>
  <c r="P42" i="101"/>
  <c r="O42" i="101"/>
  <c r="N42" i="101"/>
  <c r="M42" i="101"/>
  <c r="L42" i="101"/>
  <c r="H42" i="101"/>
  <c r="G42" i="101"/>
  <c r="F42" i="101"/>
  <c r="E42" i="101"/>
  <c r="D42" i="101"/>
  <c r="T42" i="101"/>
  <c r="D320" i="5" s="1"/>
  <c r="Q38" i="101"/>
  <c r="P38" i="101"/>
  <c r="O38" i="101"/>
  <c r="N38" i="101"/>
  <c r="M38" i="101"/>
  <c r="L38" i="101"/>
  <c r="H38" i="101"/>
  <c r="G38" i="101"/>
  <c r="F38" i="101"/>
  <c r="E38" i="101"/>
  <c r="D38" i="101"/>
  <c r="K102" i="101" s="1"/>
  <c r="C382" i="5" s="1"/>
  <c r="T38" i="101"/>
  <c r="D319" i="5" s="1"/>
  <c r="C38" i="101"/>
  <c r="Q32" i="101"/>
  <c r="P32" i="101"/>
  <c r="O32" i="101"/>
  <c r="N32" i="101"/>
  <c r="M32" i="101"/>
  <c r="H32" i="101"/>
  <c r="G32" i="101"/>
  <c r="F32" i="101"/>
  <c r="E32" i="101"/>
  <c r="D32" i="101"/>
  <c r="L32" i="101"/>
  <c r="C32" i="101"/>
  <c r="Q27" i="101"/>
  <c r="P27" i="101"/>
  <c r="O27" i="101"/>
  <c r="N27" i="101"/>
  <c r="M27" i="101"/>
  <c r="H27" i="101"/>
  <c r="G27" i="101"/>
  <c r="F27" i="101"/>
  <c r="E27" i="101"/>
  <c r="D27" i="101"/>
  <c r="L27" i="101"/>
  <c r="C27" i="101"/>
  <c r="G15" i="101"/>
  <c r="E15" i="101"/>
  <c r="C14" i="101"/>
  <c r="Q11" i="101"/>
  <c r="P11" i="101"/>
  <c r="O11" i="101"/>
  <c r="N11" i="101"/>
  <c r="M11" i="101"/>
  <c r="H11" i="101"/>
  <c r="G11" i="101"/>
  <c r="F11" i="101"/>
  <c r="E11" i="101"/>
  <c r="D11" i="101"/>
  <c r="L10" i="101"/>
  <c r="T10" i="101" s="1"/>
  <c r="L9" i="101"/>
  <c r="T9" i="101" s="1"/>
  <c r="L8" i="101"/>
  <c r="T8" i="101" s="1"/>
  <c r="L7" i="101"/>
  <c r="T7" i="101" s="1"/>
  <c r="C7" i="101"/>
  <c r="K7" i="101" s="1"/>
  <c r="T1" i="101"/>
  <c r="K1" i="101"/>
  <c r="D530" i="5"/>
  <c r="C530" i="5"/>
  <c r="D461" i="5"/>
  <c r="D409" i="5"/>
  <c r="D422" i="5" s="1"/>
  <c r="D428" i="5" s="1"/>
  <c r="D439" i="5" s="1"/>
  <c r="D450" i="5" s="1"/>
  <c r="D459" i="5" s="1"/>
  <c r="C409" i="5"/>
  <c r="C422" i="5" s="1"/>
  <c r="C428" i="5" s="1"/>
  <c r="C439" i="5" s="1"/>
  <c r="C450" i="5" s="1"/>
  <c r="D314" i="5"/>
  <c r="M303" i="5"/>
  <c r="M301" i="5"/>
  <c r="M300" i="5"/>
  <c r="D298" i="5"/>
  <c r="M298" i="5" s="1"/>
  <c r="D297" i="5"/>
  <c r="M297" i="5" s="1"/>
  <c r="C297" i="5"/>
  <c r="M294" i="5"/>
  <c r="C262" i="5"/>
  <c r="D261" i="5"/>
  <c r="D262" i="5" s="1"/>
  <c r="C244" i="5"/>
  <c r="D234" i="5"/>
  <c r="C234" i="5"/>
  <c r="C230" i="5"/>
  <c r="C210" i="5"/>
  <c r="D210" i="5" s="1"/>
  <c r="D209" i="5"/>
  <c r="D208" i="5"/>
  <c r="C207" i="5"/>
  <c r="D207" i="5" s="1"/>
  <c r="D205" i="5"/>
  <c r="C200" i="5"/>
  <c r="D200" i="5" s="1"/>
  <c r="C199" i="5"/>
  <c r="D199" i="5" s="1"/>
  <c r="C198" i="5"/>
  <c r="D198" i="5" s="1"/>
  <c r="C197" i="5"/>
  <c r="D197" i="5" s="1"/>
  <c r="D188" i="5"/>
  <c r="C187" i="5"/>
  <c r="D187" i="5" s="1"/>
  <c r="C182" i="5"/>
  <c r="D182" i="5" s="1"/>
  <c r="D176" i="5"/>
  <c r="D168" i="5" s="1"/>
  <c r="C176" i="5"/>
  <c r="C168" i="5" s="1"/>
  <c r="S161" i="5"/>
  <c r="C151" i="5"/>
  <c r="D59" i="5"/>
  <c r="D69" i="5" s="1"/>
  <c r="D76" i="5" s="1"/>
  <c r="D83" i="5" s="1"/>
  <c r="D91" i="5" s="1"/>
  <c r="C59" i="5"/>
  <c r="C69" i="5" s="1"/>
  <c r="C76" i="5" s="1"/>
  <c r="C83" i="5" s="1"/>
  <c r="C91" i="5" s="1"/>
  <c r="D36" i="5"/>
  <c r="D48" i="5" s="1"/>
  <c r="C36" i="5"/>
  <c r="C48" i="5" s="1"/>
  <c r="D29" i="5"/>
  <c r="D33" i="5" s="1"/>
  <c r="C23" i="5" s="1"/>
  <c r="I28" i="5"/>
  <c r="I31" i="5" s="1"/>
  <c r="C28" i="5"/>
  <c r="C27" i="5"/>
  <c r="M23" i="5"/>
  <c r="A20" i="5"/>
  <c r="D17" i="5"/>
  <c r="C14" i="5" s="1"/>
  <c r="I13" i="5"/>
  <c r="I16" i="5" s="1"/>
  <c r="H13" i="5"/>
  <c r="H16" i="5" s="1"/>
  <c r="D11" i="5"/>
  <c r="M8" i="5"/>
  <c r="A3" i="5"/>
  <c r="A1" i="5"/>
  <c r="A57" i="10"/>
  <c r="B56" i="10"/>
  <c r="A56" i="10"/>
  <c r="D54" i="10"/>
  <c r="B54" i="10"/>
  <c r="D53" i="10"/>
  <c r="B53" i="10"/>
  <c r="D52" i="10"/>
  <c r="B52" i="10"/>
  <c r="A41" i="10"/>
  <c r="D38" i="10"/>
  <c r="D39" i="10" s="1"/>
  <c r="D21" i="10" s="1"/>
  <c r="C38" i="10"/>
  <c r="C39" i="10" s="1"/>
  <c r="C21" i="10" s="1"/>
  <c r="C29" i="10" s="1"/>
  <c r="C28" i="10"/>
  <c r="D26" i="10"/>
  <c r="E25" i="10"/>
  <c r="D24" i="10"/>
  <c r="E24" i="10" s="1"/>
  <c r="E23" i="10"/>
  <c r="K20" i="10"/>
  <c r="E14" i="10"/>
  <c r="E33" i="2" s="1"/>
  <c r="D14" i="10"/>
  <c r="J13" i="10"/>
  <c r="C13" i="10"/>
  <c r="C12" i="10"/>
  <c r="C11" i="10"/>
  <c r="C10" i="10"/>
  <c r="B9" i="10"/>
  <c r="C9" i="10" s="1"/>
  <c r="A4" i="10"/>
  <c r="A1" i="10"/>
  <c r="B58" i="1"/>
  <c r="C57" i="1"/>
  <c r="B57" i="1"/>
  <c r="B56" i="1"/>
  <c r="A55" i="10" s="1"/>
  <c r="E55" i="1"/>
  <c r="C55" i="1"/>
  <c r="E54" i="1"/>
  <c r="C54" i="1"/>
  <c r="E53" i="1"/>
  <c r="C53" i="1"/>
  <c r="A4" i="1"/>
  <c r="A3" i="35" s="1"/>
  <c r="A1" i="1"/>
  <c r="C66" i="2"/>
  <c r="E28" i="45" s="1"/>
  <c r="F42" i="2"/>
  <c r="F35" i="2"/>
  <c r="F26" i="2"/>
  <c r="F18" i="2"/>
  <c r="C11" i="2"/>
  <c r="C10" i="2"/>
  <c r="C9" i="2"/>
  <c r="D14" i="40"/>
  <c r="F20" i="40" s="1"/>
  <c r="C14" i="40"/>
  <c r="F3" i="40"/>
  <c r="A63" i="35"/>
  <c r="B62" i="35"/>
  <c r="A62" i="35"/>
  <c r="A61" i="35"/>
  <c r="D60" i="35"/>
  <c r="I60" i="35" s="1"/>
  <c r="B60" i="35"/>
  <c r="A60" i="35"/>
  <c r="D59" i="35"/>
  <c r="I59" i="35" s="1"/>
  <c r="B59" i="35"/>
  <c r="A59" i="35"/>
  <c r="D58" i="35"/>
  <c r="I58" i="35" s="1"/>
  <c r="B58" i="35"/>
  <c r="A58" i="35"/>
  <c r="A55" i="35"/>
  <c r="A54" i="35"/>
  <c r="B53" i="35"/>
  <c r="A53" i="35"/>
  <c r="A1" i="35"/>
  <c r="A1" i="41" s="1"/>
  <c r="C26" i="109" l="1"/>
  <c r="E19" i="109"/>
  <c r="E19" i="112"/>
  <c r="C27" i="109"/>
  <c r="A47" i="5"/>
  <c r="C8" i="5"/>
  <c r="D32" i="35"/>
  <c r="I32" i="35" s="1"/>
  <c r="I16" i="35"/>
  <c r="H364" i="102"/>
  <c r="D31" i="1"/>
  <c r="C302" i="5" s="1"/>
  <c r="C461" i="5"/>
  <c r="C464" i="5" s="1"/>
  <c r="D17" i="1" s="1"/>
  <c r="C10" i="35" s="1"/>
  <c r="F38" i="46"/>
  <c r="E19" i="46"/>
  <c r="E38" i="46" s="1"/>
  <c r="G24" i="46"/>
  <c r="G38" i="46" s="1"/>
  <c r="L58" i="6"/>
  <c r="M55" i="6"/>
  <c r="M53" i="6"/>
  <c r="G58" i="6"/>
  <c r="C30" i="35"/>
  <c r="L23" i="6"/>
  <c r="M13" i="6"/>
  <c r="M17" i="6"/>
  <c r="M15" i="6"/>
  <c r="M19" i="6"/>
  <c r="G23" i="6"/>
  <c r="D364" i="102"/>
  <c r="D484" i="5"/>
  <c r="F484" i="5" s="1"/>
  <c r="F532" i="5"/>
  <c r="E364" i="102"/>
  <c r="G364" i="102"/>
  <c r="O221" i="101"/>
  <c r="M221" i="101"/>
  <c r="Q221" i="101"/>
  <c r="F28" i="2"/>
  <c r="P221" i="101"/>
  <c r="N221" i="101"/>
  <c r="K3" i="40"/>
  <c r="E221" i="101"/>
  <c r="J3" i="40"/>
  <c r="G221" i="101"/>
  <c r="P222" i="101"/>
  <c r="M222" i="101"/>
  <c r="Q222" i="101"/>
  <c r="J2" i="40"/>
  <c r="N222" i="101"/>
  <c r="K2" i="40"/>
  <c r="O222" i="101"/>
  <c r="G40" i="32"/>
  <c r="G41" i="32" s="1"/>
  <c r="G42" i="32" s="1"/>
  <c r="I42" i="32" s="1"/>
  <c r="I41" i="32"/>
  <c r="B39" i="32"/>
  <c r="B50" i="32"/>
  <c r="D33" i="32"/>
  <c r="I40" i="32"/>
  <c r="D80" i="5"/>
  <c r="E17" i="2" s="1"/>
  <c r="D28" i="10"/>
  <c r="C14" i="10"/>
  <c r="D33" i="2" s="1"/>
  <c r="L25" i="102"/>
  <c r="T23" i="102"/>
  <c r="T25" i="102" s="1"/>
  <c r="D413" i="5" s="1"/>
  <c r="T185" i="102"/>
  <c r="T187" i="102" s="1"/>
  <c r="T207" i="102"/>
  <c r="T209" i="102" s="1"/>
  <c r="T222" i="102"/>
  <c r="T224" i="102" s="1"/>
  <c r="T254" i="102"/>
  <c r="T256" i="102" s="1"/>
  <c r="T288" i="102"/>
  <c r="T290" i="102" s="1"/>
  <c r="T309" i="102"/>
  <c r="W309" i="102" s="1"/>
  <c r="T312" i="102"/>
  <c r="W312" i="102" s="1"/>
  <c r="T320" i="102"/>
  <c r="W320" i="102" s="1"/>
  <c r="T324" i="102"/>
  <c r="W324" i="102" s="1"/>
  <c r="T298" i="102"/>
  <c r="W298" i="102" s="1"/>
  <c r="C94" i="102"/>
  <c r="K93" i="102"/>
  <c r="K94" i="102" s="1"/>
  <c r="T155" i="102"/>
  <c r="T157" i="102" s="1"/>
  <c r="D454" i="5" s="1"/>
  <c r="L220" i="102"/>
  <c r="T216" i="102"/>
  <c r="T241" i="102"/>
  <c r="T243" i="102" s="1"/>
  <c r="T268" i="102"/>
  <c r="T270" i="102" s="1"/>
  <c r="T279" i="102"/>
  <c r="T281" i="102" s="1"/>
  <c r="D491" i="5" s="1"/>
  <c r="T313" i="102"/>
  <c r="W313" i="102" s="1"/>
  <c r="T318" i="102"/>
  <c r="W318" i="102" s="1"/>
  <c r="T325" i="102"/>
  <c r="W325" i="102" s="1"/>
  <c r="L40" i="102"/>
  <c r="T38" i="102"/>
  <c r="T62" i="102"/>
  <c r="T64" i="102" s="1"/>
  <c r="T150" i="102"/>
  <c r="T152" i="102" s="1"/>
  <c r="L183" i="102"/>
  <c r="T181" i="102"/>
  <c r="L204" i="102"/>
  <c r="T202" i="102"/>
  <c r="T249" i="102"/>
  <c r="T251" i="102" s="1"/>
  <c r="D486" i="5" s="1"/>
  <c r="T292" i="102"/>
  <c r="T294" i="102" s="1"/>
  <c r="D495" i="5" s="1"/>
  <c r="T310" i="102"/>
  <c r="W310" i="102" s="1"/>
  <c r="T314" i="102"/>
  <c r="W314" i="102" s="1"/>
  <c r="T319" i="102"/>
  <c r="W319" i="102" s="1"/>
  <c r="T321" i="102"/>
  <c r="W321" i="102" s="1"/>
  <c r="L340" i="102"/>
  <c r="T338" i="102"/>
  <c r="T340" i="102" s="1"/>
  <c r="U340" i="102" s="1"/>
  <c r="C10" i="102"/>
  <c r="T18" i="102"/>
  <c r="T20" i="102" s="1"/>
  <c r="D412" i="5" s="1"/>
  <c r="L10" i="102"/>
  <c r="T8" i="102"/>
  <c r="T190" i="102"/>
  <c r="T192" i="102" s="1"/>
  <c r="T211" i="102"/>
  <c r="T213" i="102" s="1"/>
  <c r="T311" i="102"/>
  <c r="W311" i="102" s="1"/>
  <c r="T315" i="102"/>
  <c r="W315" i="102" s="1"/>
  <c r="T299" i="102"/>
  <c r="W299" i="102" s="1"/>
  <c r="T322" i="102"/>
  <c r="W322" i="102" s="1"/>
  <c r="H147" i="101"/>
  <c r="H149" i="101" s="1"/>
  <c r="H222" i="101" s="1"/>
  <c r="E147" i="101"/>
  <c r="E149" i="101" s="1"/>
  <c r="E222" i="101" s="1"/>
  <c r="F147" i="101"/>
  <c r="F149" i="101" s="1"/>
  <c r="F222" i="101" s="1"/>
  <c r="D147" i="101"/>
  <c r="D149" i="101" s="1"/>
  <c r="G147" i="101"/>
  <c r="G149" i="101" s="1"/>
  <c r="G222" i="101" s="1"/>
  <c r="L88" i="101"/>
  <c r="T85" i="101"/>
  <c r="T88" i="101" s="1"/>
  <c r="L99" i="101"/>
  <c r="T97" i="101"/>
  <c r="T118" i="101"/>
  <c r="T120" i="101" s="1"/>
  <c r="L141" i="101"/>
  <c r="T139" i="101"/>
  <c r="T141" i="101" s="1"/>
  <c r="D71" i="5" s="1"/>
  <c r="D73" i="5" s="1"/>
  <c r="E16" i="2" s="1"/>
  <c r="C111" i="101"/>
  <c r="K109" i="101"/>
  <c r="K111" i="101" s="1"/>
  <c r="C120" i="101"/>
  <c r="K118" i="101"/>
  <c r="K120" i="101" s="1"/>
  <c r="T167" i="101"/>
  <c r="T169" i="101" s="1"/>
  <c r="D138" i="5" s="1"/>
  <c r="C177" i="101"/>
  <c r="K175" i="101"/>
  <c r="K177" i="101" s="1"/>
  <c r="C370" i="5" s="1"/>
  <c r="T126" i="101"/>
  <c r="T128" i="101" s="1"/>
  <c r="D61" i="5" s="1"/>
  <c r="T131" i="101"/>
  <c r="T133" i="101" s="1"/>
  <c r="D62" i="5" s="1"/>
  <c r="L158" i="101"/>
  <c r="T152" i="101"/>
  <c r="T158" i="101" s="1"/>
  <c r="D95" i="5" s="1"/>
  <c r="D98" i="5" s="1"/>
  <c r="T175" i="101"/>
  <c r="T177" i="101" s="1"/>
  <c r="D370" i="5" s="1"/>
  <c r="L181" i="101"/>
  <c r="T179" i="101"/>
  <c r="L185" i="101"/>
  <c r="T183" i="101"/>
  <c r="T67" i="101"/>
  <c r="N19" i="110"/>
  <c r="N13" i="110"/>
  <c r="N9" i="110"/>
  <c r="I65" i="104"/>
  <c r="N22" i="110"/>
  <c r="N18" i="110"/>
  <c r="N12" i="110"/>
  <c r="N8" i="110"/>
  <c r="I64" i="104"/>
  <c r="N21" i="110"/>
  <c r="N17" i="110"/>
  <c r="N11" i="110"/>
  <c r="N7" i="110"/>
  <c r="N20" i="110"/>
  <c r="N16" i="110"/>
  <c r="N10" i="110"/>
  <c r="I66" i="104"/>
  <c r="O50" i="110"/>
  <c r="O46" i="110"/>
  <c r="O42" i="110"/>
  <c r="O38" i="110"/>
  <c r="O34" i="110"/>
  <c r="O30" i="110"/>
  <c r="O26" i="110"/>
  <c r="O53" i="110"/>
  <c r="O49" i="110"/>
  <c r="O45" i="110"/>
  <c r="O41" i="110"/>
  <c r="O37" i="110"/>
  <c r="O33" i="110"/>
  <c r="O29" i="110"/>
  <c r="O25" i="110"/>
  <c r="O52" i="110"/>
  <c r="O48" i="110"/>
  <c r="O44" i="110"/>
  <c r="O40" i="110"/>
  <c r="O36" i="110"/>
  <c r="O32" i="110"/>
  <c r="O28" i="110"/>
  <c r="O24" i="110"/>
  <c r="O51" i="110"/>
  <c r="O47" i="110"/>
  <c r="O43" i="110"/>
  <c r="O39" i="110"/>
  <c r="O35" i="110"/>
  <c r="O31" i="110"/>
  <c r="O27" i="110"/>
  <c r="O23" i="110"/>
  <c r="I77" i="104"/>
  <c r="K77" i="104"/>
  <c r="F54" i="2"/>
  <c r="B61" i="35"/>
  <c r="C56" i="1"/>
  <c r="B55" i="10"/>
  <c r="C67" i="101"/>
  <c r="D161" i="5"/>
  <c r="I62" i="104"/>
  <c r="I58" i="104"/>
  <c r="I52" i="104"/>
  <c r="I61" i="104"/>
  <c r="I57" i="104"/>
  <c r="I59" i="104"/>
  <c r="I55" i="104"/>
  <c r="I60" i="104"/>
  <c r="I56" i="104"/>
  <c r="I53" i="104"/>
  <c r="I72" i="104"/>
  <c r="I68" i="104"/>
  <c r="I54" i="104"/>
  <c r="I48" i="104"/>
  <c r="I44" i="104"/>
  <c r="I40" i="104"/>
  <c r="I36" i="104"/>
  <c r="I32" i="104"/>
  <c r="I28" i="104"/>
  <c r="I24" i="104"/>
  <c r="I20" i="104"/>
  <c r="I16" i="104"/>
  <c r="I12" i="104"/>
  <c r="I69" i="104"/>
  <c r="I49" i="104"/>
  <c r="I41" i="104"/>
  <c r="I37" i="104"/>
  <c r="I29" i="104"/>
  <c r="I21" i="104"/>
  <c r="I13" i="104"/>
  <c r="I75" i="104"/>
  <c r="I71" i="104"/>
  <c r="I67" i="104"/>
  <c r="I51" i="104"/>
  <c r="I47" i="104"/>
  <c r="I43" i="104"/>
  <c r="I39" i="104"/>
  <c r="I35" i="104"/>
  <c r="I31" i="104"/>
  <c r="I27" i="104"/>
  <c r="I23" i="104"/>
  <c r="I19" i="104"/>
  <c r="I15" i="104"/>
  <c r="I76" i="104"/>
  <c r="I73" i="104"/>
  <c r="I45" i="104"/>
  <c r="I33" i="104"/>
  <c r="I25" i="104"/>
  <c r="I17" i="104"/>
  <c r="I74" i="104"/>
  <c r="I70" i="104"/>
  <c r="I63" i="104"/>
  <c r="I50" i="104"/>
  <c r="I46" i="104"/>
  <c r="I42" i="104"/>
  <c r="I38" i="104"/>
  <c r="I34" i="104"/>
  <c r="I30" i="104"/>
  <c r="I26" i="104"/>
  <c r="I22" i="104"/>
  <c r="I18" i="104"/>
  <c r="I14" i="104"/>
  <c r="K124" i="101"/>
  <c r="C31" i="35" s="1"/>
  <c r="C124" i="101"/>
  <c r="C322" i="102"/>
  <c r="C152" i="101"/>
  <c r="K152" i="101" s="1"/>
  <c r="C126" i="101"/>
  <c r="C156" i="101"/>
  <c r="K156" i="101" s="1"/>
  <c r="C69" i="102"/>
  <c r="C323" i="102"/>
  <c r="T99" i="101"/>
  <c r="D381" i="5" s="1"/>
  <c r="D145" i="101"/>
  <c r="T78" i="101"/>
  <c r="D371" i="5" s="1"/>
  <c r="D102" i="101"/>
  <c r="L111" i="101"/>
  <c r="L128" i="101"/>
  <c r="F483" i="5"/>
  <c r="U258" i="102"/>
  <c r="K261" i="102"/>
  <c r="K103" i="104"/>
  <c r="K127" i="104"/>
  <c r="K123" i="104"/>
  <c r="K119" i="104"/>
  <c r="K115" i="104"/>
  <c r="K126" i="104"/>
  <c r="K122" i="104"/>
  <c r="K118" i="104"/>
  <c r="K129" i="104"/>
  <c r="K125" i="104"/>
  <c r="K121" i="104"/>
  <c r="K117" i="104"/>
  <c r="K128" i="104"/>
  <c r="K124" i="104"/>
  <c r="K120" i="104"/>
  <c r="K116" i="104"/>
  <c r="F474" i="5"/>
  <c r="E59" i="109"/>
  <c r="E69" i="109" s="1"/>
  <c r="E71" i="109" s="1"/>
  <c r="E23" i="109"/>
  <c r="D29" i="10"/>
  <c r="U309" i="102"/>
  <c r="W297" i="102"/>
  <c r="L304" i="102"/>
  <c r="K304" i="102"/>
  <c r="C492" i="5" s="1"/>
  <c r="C304" i="102"/>
  <c r="W296" i="102"/>
  <c r="U312" i="102"/>
  <c r="U314" i="102"/>
  <c r="U317" i="102"/>
  <c r="U321" i="102"/>
  <c r="U326" i="102"/>
  <c r="U329" i="102"/>
  <c r="U331" i="102"/>
  <c r="U313" i="102"/>
  <c r="U299" i="102"/>
  <c r="U327" i="102"/>
  <c r="U328" i="102"/>
  <c r="U330" i="102"/>
  <c r="U301" i="102"/>
  <c r="U70" i="102"/>
  <c r="U72" i="102"/>
  <c r="U75" i="102"/>
  <c r="U77" i="102"/>
  <c r="U71" i="102"/>
  <c r="U73" i="102"/>
  <c r="U76" i="102"/>
  <c r="U78" i="102"/>
  <c r="K82" i="104"/>
  <c r="K78" i="104"/>
  <c r="K81" i="104"/>
  <c r="K80" i="104"/>
  <c r="K79" i="104"/>
  <c r="C15" i="101"/>
  <c r="L345" i="102"/>
  <c r="E31" i="1"/>
  <c r="C473" i="5"/>
  <c r="K99" i="101"/>
  <c r="K38" i="101"/>
  <c r="C319" i="5" s="1"/>
  <c r="C26" i="112" s="1"/>
  <c r="K133" i="101"/>
  <c r="C62" i="5" s="1"/>
  <c r="U80" i="102"/>
  <c r="U85" i="102"/>
  <c r="K11" i="101"/>
  <c r="K27" i="101"/>
  <c r="K32" i="101"/>
  <c r="K141" i="101"/>
  <c r="C71" i="5" s="1"/>
  <c r="C73" i="5" s="1"/>
  <c r="D16" i="2" s="1"/>
  <c r="U79" i="102"/>
  <c r="U81" i="102"/>
  <c r="B14" i="10"/>
  <c r="T198" i="101"/>
  <c r="T165" i="101"/>
  <c r="D137" i="5" s="1"/>
  <c r="M69" i="6"/>
  <c r="G74" i="6"/>
  <c r="M67" i="6"/>
  <c r="M51" i="6"/>
  <c r="M32" i="6"/>
  <c r="M36" i="6"/>
  <c r="L42" i="6"/>
  <c r="M34" i="6"/>
  <c r="M38" i="6"/>
  <c r="G42" i="6"/>
  <c r="T94" i="102"/>
  <c r="D434" i="5" s="1"/>
  <c r="C482" i="5"/>
  <c r="E534" i="5" s="1"/>
  <c r="C477" i="5"/>
  <c r="C488" i="5"/>
  <c r="C518" i="5"/>
  <c r="U30" i="102"/>
  <c r="C418" i="5"/>
  <c r="C453" i="5"/>
  <c r="C472" i="5"/>
  <c r="C476" i="5"/>
  <c r="C471" i="5"/>
  <c r="C479" i="5"/>
  <c r="L290" i="102"/>
  <c r="U68" i="102"/>
  <c r="F87" i="102"/>
  <c r="F8" i="102" s="1"/>
  <c r="F10" i="102" s="1"/>
  <c r="F364" i="102" s="1"/>
  <c r="K204" i="103"/>
  <c r="K202" i="103"/>
  <c r="K200" i="103"/>
  <c r="K198" i="103"/>
  <c r="K196" i="103"/>
  <c r="K194" i="103"/>
  <c r="K192" i="103"/>
  <c r="K190" i="103"/>
  <c r="K188" i="103"/>
  <c r="K184" i="103"/>
  <c r="K180" i="103"/>
  <c r="K176" i="103"/>
  <c r="K172" i="103"/>
  <c r="K168" i="103"/>
  <c r="K164" i="103"/>
  <c r="K160" i="103"/>
  <c r="K156" i="103"/>
  <c r="K152" i="103"/>
  <c r="K148" i="103"/>
  <c r="K144" i="103"/>
  <c r="K140" i="103"/>
  <c r="K136" i="103"/>
  <c r="K132" i="103"/>
  <c r="K128" i="103"/>
  <c r="K124" i="103"/>
  <c r="K120" i="103"/>
  <c r="K116" i="103"/>
  <c r="K112" i="103"/>
  <c r="K108" i="103"/>
  <c r="K104" i="103"/>
  <c r="K101" i="103"/>
  <c r="K97" i="103"/>
  <c r="K93" i="103"/>
  <c r="K90" i="103"/>
  <c r="K87" i="103"/>
  <c r="K84" i="103"/>
  <c r="K80" i="103"/>
  <c r="K76" i="103"/>
  <c r="K72" i="103"/>
  <c r="K201" i="103"/>
  <c r="K199" i="103"/>
  <c r="K195" i="103"/>
  <c r="K191" i="103"/>
  <c r="K186" i="103"/>
  <c r="K178" i="103"/>
  <c r="K170" i="103"/>
  <c r="K162" i="103"/>
  <c r="K150" i="103"/>
  <c r="K142" i="103"/>
  <c r="K134" i="103"/>
  <c r="K126" i="103"/>
  <c r="K118" i="103"/>
  <c r="K110" i="103"/>
  <c r="K102" i="103"/>
  <c r="K85" i="103"/>
  <c r="K78" i="103"/>
  <c r="K71" i="103"/>
  <c r="K183" i="103"/>
  <c r="K175" i="103"/>
  <c r="K167" i="103"/>
  <c r="K159" i="103"/>
  <c r="K151" i="103"/>
  <c r="K143" i="103"/>
  <c r="K135" i="103"/>
  <c r="K127" i="103"/>
  <c r="K115" i="103"/>
  <c r="K107" i="103"/>
  <c r="K100" i="103"/>
  <c r="K89" i="103"/>
  <c r="K86" i="103"/>
  <c r="K75" i="103"/>
  <c r="K185" i="103"/>
  <c r="K181" i="103"/>
  <c r="K177" i="103"/>
  <c r="K173" i="103"/>
  <c r="K169" i="103"/>
  <c r="K165" i="103"/>
  <c r="K161" i="103"/>
  <c r="K157" i="103"/>
  <c r="K153" i="103"/>
  <c r="K149" i="103"/>
  <c r="K145" i="103"/>
  <c r="K141" i="103"/>
  <c r="K137" i="103"/>
  <c r="K133" i="103"/>
  <c r="K129" i="103"/>
  <c r="K125" i="103"/>
  <c r="K121" i="103"/>
  <c r="K117" i="103"/>
  <c r="K113" i="103"/>
  <c r="K109" i="103"/>
  <c r="K105" i="103"/>
  <c r="K98" i="103"/>
  <c r="K94" i="103"/>
  <c r="K88" i="103"/>
  <c r="K81" i="103"/>
  <c r="K77" i="103"/>
  <c r="K73" i="103"/>
  <c r="K203" i="103"/>
  <c r="K197" i="103"/>
  <c r="K193" i="103"/>
  <c r="K189" i="103"/>
  <c r="K182" i="103"/>
  <c r="K174" i="103"/>
  <c r="K166" i="103"/>
  <c r="K158" i="103"/>
  <c r="K154" i="103"/>
  <c r="K146" i="103"/>
  <c r="K138" i="103"/>
  <c r="K130" i="103"/>
  <c r="K122" i="103"/>
  <c r="K114" i="103"/>
  <c r="K106" i="103"/>
  <c r="K99" i="103"/>
  <c r="K95" i="103"/>
  <c r="K82" i="103"/>
  <c r="K74" i="103"/>
  <c r="K187" i="103"/>
  <c r="K179" i="103"/>
  <c r="K171" i="103"/>
  <c r="K163" i="103"/>
  <c r="K155" i="103"/>
  <c r="K147" i="103"/>
  <c r="K139" i="103"/>
  <c r="K131" i="103"/>
  <c r="K123" i="103"/>
  <c r="K119" i="103"/>
  <c r="K111" i="103"/>
  <c r="K103" i="103"/>
  <c r="K96" i="103"/>
  <c r="K92" i="103"/>
  <c r="K83" i="103"/>
  <c r="K79" i="103"/>
  <c r="K40" i="102"/>
  <c r="K168" i="102"/>
  <c r="L281" i="102"/>
  <c r="K121" i="102"/>
  <c r="C96" i="102"/>
  <c r="L121" i="102"/>
  <c r="K157" i="102"/>
  <c r="L232" i="102"/>
  <c r="L286" i="102"/>
  <c r="C174" i="102"/>
  <c r="L209" i="102"/>
  <c r="E96" i="102"/>
  <c r="E365" i="102" s="1"/>
  <c r="C121" i="102"/>
  <c r="D96" i="102"/>
  <c r="D365" i="102" s="1"/>
  <c r="F96" i="102"/>
  <c r="L87" i="102"/>
  <c r="H96" i="102"/>
  <c r="H365" i="102" s="1"/>
  <c r="T121" i="102"/>
  <c r="D442" i="5" s="1"/>
  <c r="J8" i="46" s="1"/>
  <c r="L174" i="102"/>
  <c r="L256" i="102"/>
  <c r="C64" i="102"/>
  <c r="G96" i="102"/>
  <c r="G365" i="102" s="1"/>
  <c r="L141" i="102"/>
  <c r="L239" i="102"/>
  <c r="C243" i="102"/>
  <c r="T131" i="102"/>
  <c r="D444" i="5" s="1"/>
  <c r="J79" i="46" s="1"/>
  <c r="T11" i="101"/>
  <c r="L120" i="101"/>
  <c r="L133" i="101"/>
  <c r="L177" i="101"/>
  <c r="L213" i="102"/>
  <c r="L152" i="102"/>
  <c r="L224" i="102"/>
  <c r="T239" i="102"/>
  <c r="D481" i="5" s="1"/>
  <c r="F481" i="5" s="1"/>
  <c r="L251" i="102"/>
  <c r="L187" i="102"/>
  <c r="L169" i="101"/>
  <c r="T10" i="102"/>
  <c r="D404" i="5" s="1"/>
  <c r="D406" i="5" s="1"/>
  <c r="E8" i="1" s="1"/>
  <c r="L294" i="102"/>
  <c r="T345" i="102"/>
  <c r="U345" i="102" s="1"/>
  <c r="T32" i="101"/>
  <c r="T50" i="101"/>
  <c r="L78" i="101"/>
  <c r="T181" i="101"/>
  <c r="D150" i="5" s="1"/>
  <c r="T220" i="102"/>
  <c r="D478" i="5" s="1"/>
  <c r="L198" i="101"/>
  <c r="T141" i="102"/>
  <c r="D446" i="5" s="1"/>
  <c r="T179" i="102"/>
  <c r="D470" i="5" s="1"/>
  <c r="T183" i="102"/>
  <c r="D471" i="5" s="1"/>
  <c r="L192" i="102"/>
  <c r="T286" i="102"/>
  <c r="D493" i="5" s="1"/>
  <c r="T27" i="101"/>
  <c r="L11" i="101"/>
  <c r="L157" i="102"/>
  <c r="O11" i="71"/>
  <c r="C25" i="71" s="1"/>
  <c r="K26" i="71"/>
  <c r="N26" i="71" s="1"/>
  <c r="J26" i="71"/>
  <c r="C23" i="71"/>
  <c r="O13" i="71"/>
  <c r="C10" i="70" s="1"/>
  <c r="D14" i="70" s="1"/>
  <c r="E14" i="70" s="1"/>
  <c r="E16" i="70" s="1"/>
  <c r="N13" i="71"/>
  <c r="K24" i="71"/>
  <c r="N24" i="71" s="1"/>
  <c r="J24" i="71"/>
  <c r="K13" i="71"/>
  <c r="D48" i="2"/>
  <c r="C134" i="5"/>
  <c r="C147" i="5" s="1"/>
  <c r="C156" i="5" s="1"/>
  <c r="C217" i="5" s="1"/>
  <c r="C292" i="5" s="1"/>
  <c r="C101" i="5"/>
  <c r="D134" i="5"/>
  <c r="D147" i="5" s="1"/>
  <c r="D156" i="5" s="1"/>
  <c r="D217" i="5" s="1"/>
  <c r="D292" i="5" s="1"/>
  <c r="D101" i="5"/>
  <c r="C12" i="2"/>
  <c r="D13" i="35"/>
  <c r="I13" i="35" s="1"/>
  <c r="C258" i="5"/>
  <c r="C505" i="5" s="1"/>
  <c r="D189" i="5"/>
  <c r="D181" i="5" s="1"/>
  <c r="D15" i="35"/>
  <c r="I15" i="35" s="1"/>
  <c r="D18" i="5"/>
  <c r="F533" i="5" s="1"/>
  <c r="H28" i="5"/>
  <c r="H31" i="5" s="1"/>
  <c r="J31" i="5" s="1"/>
  <c r="C211" i="5"/>
  <c r="C248" i="5"/>
  <c r="C149" i="101"/>
  <c r="L55" i="102"/>
  <c r="L266" i="102"/>
  <c r="T266" i="102"/>
  <c r="D517" i="5" s="1"/>
  <c r="L90" i="102"/>
  <c r="L147" i="101" s="1"/>
  <c r="T147" i="101" s="1"/>
  <c r="L113" i="102"/>
  <c r="T113" i="102"/>
  <c r="D441" i="5" s="1"/>
  <c r="C251" i="102"/>
  <c r="K251" i="102"/>
  <c r="K25" i="102"/>
  <c r="C25" i="102"/>
  <c r="T55" i="102"/>
  <c r="D417" i="5" s="1"/>
  <c r="K198" i="102"/>
  <c r="L94" i="102"/>
  <c r="C135" i="102"/>
  <c r="K135" i="102"/>
  <c r="L168" i="102"/>
  <c r="T168" i="102"/>
  <c r="D455" i="5" s="1"/>
  <c r="L243" i="102"/>
  <c r="W306" i="102"/>
  <c r="L20" i="102"/>
  <c r="K141" i="102"/>
  <c r="L64" i="102"/>
  <c r="L148" i="102"/>
  <c r="T148" i="102"/>
  <c r="D452" i="5" s="1"/>
  <c r="K204" i="102"/>
  <c r="C239" i="102"/>
  <c r="K247" i="102"/>
  <c r="E532" i="5" s="1"/>
  <c r="L270" i="102"/>
  <c r="L277" i="102"/>
  <c r="T277" i="102"/>
  <c r="D490" i="5" s="1"/>
  <c r="K193" i="104"/>
  <c r="K189" i="104"/>
  <c r="K185" i="104"/>
  <c r="K181" i="104"/>
  <c r="K177" i="104"/>
  <c r="K173" i="104"/>
  <c r="K169" i="104"/>
  <c r="K165" i="104"/>
  <c r="K161" i="104"/>
  <c r="K157" i="104"/>
  <c r="K153" i="104"/>
  <c r="K149" i="104"/>
  <c r="K145" i="104"/>
  <c r="K144" i="104"/>
  <c r="K140" i="104"/>
  <c r="K136" i="104"/>
  <c r="K132" i="104"/>
  <c r="K114" i="104"/>
  <c r="K111" i="104"/>
  <c r="K107" i="104"/>
  <c r="K100" i="104"/>
  <c r="K93" i="104"/>
  <c r="K89" i="104"/>
  <c r="K85" i="104"/>
  <c r="K190" i="104"/>
  <c r="K186" i="104"/>
  <c r="K182" i="104"/>
  <c r="K178" i="104"/>
  <c r="K174" i="104"/>
  <c r="K170" i="104"/>
  <c r="K166" i="104"/>
  <c r="K162" i="104"/>
  <c r="K158" i="104"/>
  <c r="K154" i="104"/>
  <c r="K150" i="104"/>
  <c r="K146" i="104"/>
  <c r="K141" i="104"/>
  <c r="K137" i="104"/>
  <c r="K133" i="104"/>
  <c r="K112" i="104"/>
  <c r="K108" i="104"/>
  <c r="K97" i="104"/>
  <c r="K94" i="104"/>
  <c r="K90" i="104"/>
  <c r="K86" i="104"/>
  <c r="K83" i="104"/>
  <c r="K191" i="104"/>
  <c r="K187" i="104"/>
  <c r="K183" i="104"/>
  <c r="K179" i="104"/>
  <c r="K175" i="104"/>
  <c r="K171" i="104"/>
  <c r="K167" i="104"/>
  <c r="K163" i="104"/>
  <c r="K159" i="104"/>
  <c r="K155" i="104"/>
  <c r="K151" i="104"/>
  <c r="K147" i="104"/>
  <c r="K142" i="104"/>
  <c r="K138" i="104"/>
  <c r="K134" i="104"/>
  <c r="K130" i="104"/>
  <c r="K113" i="104"/>
  <c r="K109" i="104"/>
  <c r="K104" i="104"/>
  <c r="K101" i="104"/>
  <c r="K98" i="104"/>
  <c r="K95" i="104"/>
  <c r="K91" i="104"/>
  <c r="K87" i="104"/>
  <c r="K192" i="104"/>
  <c r="K188" i="104"/>
  <c r="K184" i="104"/>
  <c r="K180" i="104"/>
  <c r="K176" i="104"/>
  <c r="K172" i="104"/>
  <c r="K168" i="104"/>
  <c r="K164" i="104"/>
  <c r="K160" i="104"/>
  <c r="K156" i="104"/>
  <c r="K152" i="104"/>
  <c r="K148" i="104"/>
  <c r="K143" i="104"/>
  <c r="K139" i="104"/>
  <c r="K135" i="104"/>
  <c r="K131" i="104"/>
  <c r="K110" i="104"/>
  <c r="K106" i="104"/>
  <c r="K105" i="104"/>
  <c r="K102" i="104"/>
  <c r="K99" i="104"/>
  <c r="K96" i="104"/>
  <c r="K92" i="104"/>
  <c r="K88" i="104"/>
  <c r="K84" i="104"/>
  <c r="T87" i="102"/>
  <c r="K90" i="102"/>
  <c r="C431" i="5" s="1"/>
  <c r="T174" i="102"/>
  <c r="D469" i="5" s="1"/>
  <c r="F469" i="5" s="1"/>
  <c r="L335" i="102"/>
  <c r="C179" i="102"/>
  <c r="C286" i="102"/>
  <c r="K174" i="102"/>
  <c r="T232" i="102"/>
  <c r="D480" i="5" s="1"/>
  <c r="F480" i="5" s="1"/>
  <c r="C266" i="102"/>
  <c r="K334" i="102"/>
  <c r="U334" i="102" s="1"/>
  <c r="C170" i="5"/>
  <c r="J16" i="5"/>
  <c r="C189" i="5"/>
  <c r="C181" i="5" s="1"/>
  <c r="C183" i="5" s="1"/>
  <c r="D337" i="5"/>
  <c r="C467" i="5"/>
  <c r="C501" i="5" s="1"/>
  <c r="C515" i="5" s="1"/>
  <c r="C459" i="5"/>
  <c r="G8" i="45"/>
  <c r="F21" i="22"/>
  <c r="E19" i="99"/>
  <c r="D211" i="5"/>
  <c r="D195" i="5" s="1"/>
  <c r="E12" i="2"/>
  <c r="D170" i="5"/>
  <c r="D322" i="5"/>
  <c r="D467" i="5"/>
  <c r="D501" i="5" s="1"/>
  <c r="D515" i="5" s="1"/>
  <c r="D248" i="5"/>
  <c r="C224" i="102"/>
  <c r="C198" i="101"/>
  <c r="C131" i="102"/>
  <c r="C141" i="102"/>
  <c r="K220" i="102"/>
  <c r="K281" i="102"/>
  <c r="K165" i="101"/>
  <c r="C137" i="5" s="1"/>
  <c r="K137" i="101"/>
  <c r="C55" i="102"/>
  <c r="K50" i="101"/>
  <c r="K55" i="101"/>
  <c r="K78" i="101"/>
  <c r="C371" i="5" s="1"/>
  <c r="K169" i="101"/>
  <c r="C138" i="5" s="1"/>
  <c r="K181" i="101"/>
  <c r="C150" i="5" s="1"/>
  <c r="K20" i="102"/>
  <c r="C148" i="102"/>
  <c r="C11" i="101"/>
  <c r="I2" i="40" s="1"/>
  <c r="K145" i="101"/>
  <c r="C78" i="5" s="1"/>
  <c r="C80" i="5" s="1"/>
  <c r="C145" i="101"/>
  <c r="K88" i="101"/>
  <c r="C88" i="101"/>
  <c r="K232" i="102"/>
  <c r="K42" i="101"/>
  <c r="C320" i="5" s="1"/>
  <c r="C27" i="112" s="1"/>
  <c r="C42" i="101"/>
  <c r="C78" i="101"/>
  <c r="K113" i="102"/>
  <c r="C152" i="102"/>
  <c r="C183" i="102"/>
  <c r="C209" i="102"/>
  <c r="K239" i="102"/>
  <c r="C256" i="102"/>
  <c r="K277" i="102"/>
  <c r="C277" i="102"/>
  <c r="C290" i="102"/>
  <c r="K35" i="102"/>
  <c r="K126" i="102"/>
  <c r="K131" i="102"/>
  <c r="K148" i="102"/>
  <c r="K179" i="102"/>
  <c r="C213" i="102"/>
  <c r="C113" i="102"/>
  <c r="C168" i="102"/>
  <c r="C187" i="102"/>
  <c r="C232" i="102"/>
  <c r="C270" i="102"/>
  <c r="C165" i="101"/>
  <c r="K55" i="102"/>
  <c r="C192" i="102"/>
  <c r="K266" i="102"/>
  <c r="K286" i="102"/>
  <c r="K294" i="102"/>
  <c r="C340" i="102"/>
  <c r="U306" i="102"/>
  <c r="C345" i="102"/>
  <c r="A58" i="5" l="1"/>
  <c r="C14" i="2"/>
  <c r="E61" i="112"/>
  <c r="E71" i="112" s="1"/>
  <c r="E73" i="112" s="1"/>
  <c r="E23" i="112"/>
  <c r="D27" i="112"/>
  <c r="E27" i="112" s="1"/>
  <c r="C195" i="5"/>
  <c r="C201" i="5" s="1"/>
  <c r="C231" i="5" s="1"/>
  <c r="D224" i="5"/>
  <c r="D240" i="5"/>
  <c r="D245" i="5"/>
  <c r="D221" i="5"/>
  <c r="C149" i="5"/>
  <c r="C153" i="5" s="1"/>
  <c r="D24" i="2" s="1"/>
  <c r="C41" i="5"/>
  <c r="E26" i="10"/>
  <c r="F18" i="47"/>
  <c r="F20" i="47" s="1"/>
  <c r="K8" i="102"/>
  <c r="K10" i="102" s="1"/>
  <c r="U10" i="102" s="1"/>
  <c r="L38" i="104"/>
  <c r="H17" i="1"/>
  <c r="J11" i="2" s="1"/>
  <c r="M58" i="6"/>
  <c r="D10" i="2" s="1"/>
  <c r="M23" i="6"/>
  <c r="J9" i="2" s="1"/>
  <c r="J10" i="2" s="1"/>
  <c r="K14" i="40"/>
  <c r="U325" i="102"/>
  <c r="T335" i="102"/>
  <c r="F496" i="5" s="1"/>
  <c r="U311" i="102"/>
  <c r="U324" i="102"/>
  <c r="U310" i="102"/>
  <c r="F365" i="102"/>
  <c r="F366" i="102" s="1"/>
  <c r="U315" i="102"/>
  <c r="U298" i="102"/>
  <c r="U319" i="102"/>
  <c r="L221" i="101"/>
  <c r="D345" i="5"/>
  <c r="D347" i="5" s="1"/>
  <c r="E41" i="2"/>
  <c r="K200" i="101"/>
  <c r="K202" i="101" s="1"/>
  <c r="C161" i="5" s="1"/>
  <c r="D202" i="101"/>
  <c r="D222" i="101" s="1"/>
  <c r="I384" i="5"/>
  <c r="K384" i="5" s="1"/>
  <c r="I383" i="5"/>
  <c r="K383" i="5" s="1"/>
  <c r="F8" i="45"/>
  <c r="T221" i="101"/>
  <c r="J14" i="40"/>
  <c r="I3" i="40"/>
  <c r="M3" i="40" s="1"/>
  <c r="C221" i="101"/>
  <c r="C227" i="101" s="1"/>
  <c r="U318" i="102"/>
  <c r="U320" i="102"/>
  <c r="C485" i="5"/>
  <c r="C415" i="5"/>
  <c r="D477" i="5"/>
  <c r="U213" i="102"/>
  <c r="D53" i="32"/>
  <c r="F53" i="32" s="1"/>
  <c r="D50" i="32"/>
  <c r="D52" i="32"/>
  <c r="F52" i="32" s="1"/>
  <c r="D51" i="32"/>
  <c r="F51" i="32" s="1"/>
  <c r="B40" i="32"/>
  <c r="D39" i="32"/>
  <c r="J39" i="32" s="1"/>
  <c r="P223" i="101"/>
  <c r="M2" i="40"/>
  <c r="G223" i="101"/>
  <c r="D149" i="5"/>
  <c r="D153" i="5" s="1"/>
  <c r="E24" i="2" s="1"/>
  <c r="D376" i="5"/>
  <c r="E50" i="2" s="1"/>
  <c r="N223" i="101"/>
  <c r="Q223" i="101"/>
  <c r="C376" i="5"/>
  <c r="D50" i="2" s="1"/>
  <c r="M223" i="101"/>
  <c r="O223" i="101"/>
  <c r="E223" i="101"/>
  <c r="D482" i="5"/>
  <c r="F534" i="5" s="1"/>
  <c r="U243" i="102"/>
  <c r="F495" i="5"/>
  <c r="D488" i="5"/>
  <c r="U256" i="102"/>
  <c r="D453" i="5"/>
  <c r="U152" i="102"/>
  <c r="F491" i="5"/>
  <c r="D476" i="5"/>
  <c r="U209" i="102"/>
  <c r="D472" i="5"/>
  <c r="U187" i="102"/>
  <c r="D494" i="5"/>
  <c r="U290" i="102"/>
  <c r="D418" i="5"/>
  <c r="U64" i="102"/>
  <c r="D473" i="5"/>
  <c r="U192" i="102"/>
  <c r="F486" i="5"/>
  <c r="D518" i="5"/>
  <c r="D520" i="5" s="1"/>
  <c r="D489" i="5" s="1"/>
  <c r="U270" i="102"/>
  <c r="D479" i="5"/>
  <c r="U224" i="102"/>
  <c r="K323" i="102"/>
  <c r="U323" i="102" s="1"/>
  <c r="K69" i="102"/>
  <c r="U69" i="102" s="1"/>
  <c r="K322" i="102"/>
  <c r="U322" i="102" s="1"/>
  <c r="K147" i="101"/>
  <c r="K149" i="101" s="1"/>
  <c r="D47" i="35"/>
  <c r="I47" i="35" s="1"/>
  <c r="D65" i="5"/>
  <c r="F11" i="22"/>
  <c r="D139" i="5"/>
  <c r="D144" i="5" s="1"/>
  <c r="E23" i="2" s="1"/>
  <c r="C128" i="101"/>
  <c r="K126" i="101"/>
  <c r="K128" i="101" s="1"/>
  <c r="C61" i="5" s="1"/>
  <c r="K67" i="101"/>
  <c r="G345" i="5" s="1"/>
  <c r="G347" i="5" s="1"/>
  <c r="D385" i="5"/>
  <c r="E51" i="2" s="1"/>
  <c r="C87" i="102"/>
  <c r="C335" i="102"/>
  <c r="C158" i="101"/>
  <c r="K158" i="101"/>
  <c r="C95" i="5" s="1"/>
  <c r="C98" i="5" s="1"/>
  <c r="C385" i="5"/>
  <c r="D51" i="2" s="1"/>
  <c r="D52" i="2" s="1"/>
  <c r="D27" i="109"/>
  <c r="E27" i="109" s="1"/>
  <c r="D48" i="35"/>
  <c r="I48" i="35" s="1"/>
  <c r="T185" i="101"/>
  <c r="D158" i="5" s="1"/>
  <c r="C483" i="5"/>
  <c r="H479" i="5" s="1"/>
  <c r="U261" i="102"/>
  <c r="T40" i="102"/>
  <c r="T204" i="102"/>
  <c r="D475" i="5" s="1"/>
  <c r="D424" i="5"/>
  <c r="T304" i="102"/>
  <c r="D492" i="5" s="1"/>
  <c r="F492" i="5" s="1"/>
  <c r="M533" i="5"/>
  <c r="F471" i="5"/>
  <c r="F470" i="5"/>
  <c r="F490" i="5"/>
  <c r="F493" i="5"/>
  <c r="F478" i="5"/>
  <c r="U296" i="102"/>
  <c r="U297" i="102"/>
  <c r="E36" i="10"/>
  <c r="D41" i="5"/>
  <c r="D302" i="5"/>
  <c r="U67" i="102"/>
  <c r="U93" i="102"/>
  <c r="U94" i="102"/>
  <c r="E46" i="2"/>
  <c r="D39" i="35" s="1"/>
  <c r="I39" i="35" s="1"/>
  <c r="M74" i="6"/>
  <c r="E10" i="2" s="1"/>
  <c r="M42" i="6"/>
  <c r="E9" i="2" s="1"/>
  <c r="T90" i="102"/>
  <c r="T96" i="102" s="1"/>
  <c r="U89" i="102"/>
  <c r="U183" i="102"/>
  <c r="C495" i="5"/>
  <c r="U294" i="102"/>
  <c r="C417" i="5"/>
  <c r="U55" i="102"/>
  <c r="C443" i="5"/>
  <c r="C13" i="35" s="1"/>
  <c r="U126" i="102"/>
  <c r="C478" i="5"/>
  <c r="U220" i="102"/>
  <c r="U247" i="102"/>
  <c r="C454" i="5"/>
  <c r="U157" i="102"/>
  <c r="C493" i="5"/>
  <c r="U286" i="102"/>
  <c r="C470" i="5"/>
  <c r="U179" i="102"/>
  <c r="C490" i="5"/>
  <c r="U277" i="102"/>
  <c r="C414" i="5"/>
  <c r="U59" i="102"/>
  <c r="C474" i="5"/>
  <c r="U198" i="102"/>
  <c r="C413" i="5"/>
  <c r="U25" i="102"/>
  <c r="U168" i="102"/>
  <c r="C517" i="5"/>
  <c r="U266" i="102"/>
  <c r="C452" i="5"/>
  <c r="U148" i="102"/>
  <c r="U35" i="102"/>
  <c r="C412" i="5"/>
  <c r="U20" i="102"/>
  <c r="C445" i="5"/>
  <c r="C15" i="35" s="1"/>
  <c r="U135" i="102"/>
  <c r="C486" i="5"/>
  <c r="U251" i="102"/>
  <c r="C444" i="5"/>
  <c r="U131" i="102"/>
  <c r="C481" i="5"/>
  <c r="U239" i="102"/>
  <c r="C441" i="5"/>
  <c r="U113" i="102"/>
  <c r="C480" i="5"/>
  <c r="U232" i="102"/>
  <c r="C491" i="5"/>
  <c r="U281" i="102"/>
  <c r="C469" i="5"/>
  <c r="U174" i="102"/>
  <c r="C475" i="5"/>
  <c r="C12" i="35" s="1"/>
  <c r="C446" i="5"/>
  <c r="U141" i="102"/>
  <c r="C442" i="5"/>
  <c r="U121" i="102"/>
  <c r="C416" i="5"/>
  <c r="C17" i="35" s="1"/>
  <c r="E366" i="102"/>
  <c r="E368" i="102" s="1"/>
  <c r="D11" i="35"/>
  <c r="H366" i="102"/>
  <c r="D366" i="102"/>
  <c r="L364" i="102"/>
  <c r="T364" i="102" s="1"/>
  <c r="L96" i="102"/>
  <c r="L365" i="102" s="1"/>
  <c r="T365" i="102" s="1"/>
  <c r="K8" i="42"/>
  <c r="L8" i="42" s="1"/>
  <c r="L10" i="42" s="1"/>
  <c r="G366" i="102"/>
  <c r="G368" i="102" s="1"/>
  <c r="D14" i="35"/>
  <c r="I14" i="35" s="1"/>
  <c r="E22" i="2"/>
  <c r="F14" i="22" s="1"/>
  <c r="D227" i="5"/>
  <c r="D255" i="5"/>
  <c r="D267" i="5" s="1"/>
  <c r="D282" i="5" s="1"/>
  <c r="O24" i="71"/>
  <c r="C35" i="71" s="1"/>
  <c r="E46" i="70"/>
  <c r="I16" i="99"/>
  <c r="I16" i="69"/>
  <c r="J23" i="71"/>
  <c r="C27" i="71"/>
  <c r="K23" i="71"/>
  <c r="O26" i="71"/>
  <c r="C37" i="71" s="1"/>
  <c r="K25" i="71"/>
  <c r="N25" i="71" s="1"/>
  <c r="J25" i="71"/>
  <c r="C227" i="5"/>
  <c r="D258" i="5"/>
  <c r="D259" i="5" s="1"/>
  <c r="C255" i="5"/>
  <c r="C267" i="5" s="1"/>
  <c r="C282" i="5" s="1"/>
  <c r="D183" i="5"/>
  <c r="C259" i="5"/>
  <c r="D235" i="5"/>
  <c r="E11" i="2"/>
  <c r="D231" i="5"/>
  <c r="C504" i="5"/>
  <c r="D249" i="5"/>
  <c r="C432" i="5"/>
  <c r="C85" i="5" s="1"/>
  <c r="C364" i="102"/>
  <c r="K364" i="102" s="1"/>
  <c r="L149" i="101"/>
  <c r="L222" i="101" s="1"/>
  <c r="T149" i="101"/>
  <c r="D435" i="5"/>
  <c r="D447" i="5"/>
  <c r="E15" i="1" s="1"/>
  <c r="C309" i="5"/>
  <c r="C317" i="5" s="1"/>
  <c r="D309" i="5"/>
  <c r="D317" i="5" s="1"/>
  <c r="C11" i="5"/>
  <c r="D201" i="5"/>
  <c r="E55" i="99"/>
  <c r="E65" i="99" s="1"/>
  <c r="E67" i="99" s="1"/>
  <c r="E23" i="99"/>
  <c r="C139" i="5"/>
  <c r="C144" i="5" s="1"/>
  <c r="D23" i="2" s="1"/>
  <c r="C48" i="35"/>
  <c r="C47" i="35"/>
  <c r="C334" i="5"/>
  <c r="C337" i="5" s="1"/>
  <c r="D46" i="2" s="1"/>
  <c r="C39" i="35" s="1"/>
  <c r="K185" i="101"/>
  <c r="C11" i="22"/>
  <c r="D27" i="99"/>
  <c r="E27" i="99" s="1"/>
  <c r="K96" i="102"/>
  <c r="C434" i="5"/>
  <c r="D17" i="2"/>
  <c r="I323" i="5"/>
  <c r="F22" i="22" l="1"/>
  <c r="C249" i="5"/>
  <c r="C235" i="5"/>
  <c r="C221" i="5"/>
  <c r="C240" i="5"/>
  <c r="E49" i="2"/>
  <c r="C224" i="5"/>
  <c r="C245" i="5"/>
  <c r="F27" i="112"/>
  <c r="G27" i="112" s="1"/>
  <c r="D40" i="5"/>
  <c r="C15" i="2"/>
  <c r="A68" i="5"/>
  <c r="C14" i="112"/>
  <c r="D14" i="112" s="1"/>
  <c r="E14" i="112" s="1"/>
  <c r="E16" i="112" s="1"/>
  <c r="O23" i="6"/>
  <c r="F14" i="108"/>
  <c r="C404" i="5"/>
  <c r="C406" i="5" s="1"/>
  <c r="D8" i="1" s="1"/>
  <c r="K9" i="42" s="1"/>
  <c r="C11" i="35"/>
  <c r="C33" i="35" s="1"/>
  <c r="C16" i="35"/>
  <c r="C32" i="35" s="1"/>
  <c r="I79" i="46"/>
  <c r="C14" i="35"/>
  <c r="J12" i="2"/>
  <c r="D33" i="35"/>
  <c r="I33" i="35" s="1"/>
  <c r="I11" i="35"/>
  <c r="H367" i="102"/>
  <c r="H14" i="101" s="1"/>
  <c r="H15" i="101" s="1"/>
  <c r="H221" i="101" s="1"/>
  <c r="H223" i="101" s="1"/>
  <c r="M14" i="40"/>
  <c r="E15" i="2"/>
  <c r="D23" i="35" s="1"/>
  <c r="I23" i="35" s="1"/>
  <c r="F367" i="102"/>
  <c r="F14" i="101" s="1"/>
  <c r="F15" i="101" s="1"/>
  <c r="F221" i="101" s="1"/>
  <c r="F223" i="101" s="1"/>
  <c r="K222" i="101"/>
  <c r="D15" i="22"/>
  <c r="D17" i="22"/>
  <c r="I14" i="40"/>
  <c r="D367" i="102"/>
  <c r="C14" i="99"/>
  <c r="F15" i="22"/>
  <c r="T222" i="101"/>
  <c r="T223" i="101" s="1"/>
  <c r="F477" i="5"/>
  <c r="K87" i="102"/>
  <c r="C424" i="5" s="1"/>
  <c r="B41" i="32"/>
  <c r="K47" i="32"/>
  <c r="L50" i="32"/>
  <c r="F50" i="32"/>
  <c r="G50" i="32" s="1"/>
  <c r="D463" i="5"/>
  <c r="D464" i="5" s="1"/>
  <c r="E17" i="1" s="1"/>
  <c r="H50" i="32"/>
  <c r="C40" i="32"/>
  <c r="K46" i="32"/>
  <c r="L47" i="32" s="1"/>
  <c r="K335" i="102"/>
  <c r="C496" i="5" s="1"/>
  <c r="C162" i="5"/>
  <c r="D25" i="2" s="1"/>
  <c r="D26" i="2" s="1"/>
  <c r="L223" i="101"/>
  <c r="F488" i="5"/>
  <c r="D456" i="5"/>
  <c r="E16" i="1" s="1"/>
  <c r="F482" i="5"/>
  <c r="F472" i="5"/>
  <c r="F479" i="5"/>
  <c r="F473" i="5"/>
  <c r="F494" i="5"/>
  <c r="F476" i="5"/>
  <c r="C222" i="101"/>
  <c r="C223" i="101" s="1"/>
  <c r="D49" i="35"/>
  <c r="D85" i="5"/>
  <c r="D425" i="5"/>
  <c r="E13" i="1" s="1"/>
  <c r="D49" i="2"/>
  <c r="C347" i="5"/>
  <c r="H367" i="5" s="1"/>
  <c r="D11" i="22"/>
  <c r="C65" i="5"/>
  <c r="D15" i="2" s="1"/>
  <c r="F17" i="22"/>
  <c r="C365" i="102"/>
  <c r="E42" i="2"/>
  <c r="C36" i="35"/>
  <c r="D22" i="2"/>
  <c r="C22" i="35" s="1"/>
  <c r="F19" i="22"/>
  <c r="D22" i="35"/>
  <c r="I22" i="35" s="1"/>
  <c r="D162" i="5"/>
  <c r="E25" i="2" s="1"/>
  <c r="U204" i="102"/>
  <c r="T366" i="102"/>
  <c r="U40" i="102"/>
  <c r="F475" i="5"/>
  <c r="E16" i="107"/>
  <c r="D12" i="35"/>
  <c r="D17" i="35"/>
  <c r="I17" i="35" s="1"/>
  <c r="D419" i="5"/>
  <c r="E9" i="1" s="1"/>
  <c r="E10" i="1" s="1"/>
  <c r="U304" i="102"/>
  <c r="D19" i="22"/>
  <c r="E44" i="22" s="1"/>
  <c r="D498" i="5"/>
  <c r="E18" i="1" s="1"/>
  <c r="E19" i="1" s="1"/>
  <c r="E21" i="1" s="1"/>
  <c r="F489" i="5"/>
  <c r="C301" i="5"/>
  <c r="M302" i="5"/>
  <c r="M304" i="5" s="1"/>
  <c r="C520" i="5"/>
  <c r="C489" i="5" s="1"/>
  <c r="C447" i="5"/>
  <c r="D15" i="1" s="1"/>
  <c r="D16" i="107"/>
  <c r="C14" i="109"/>
  <c r="D431" i="5"/>
  <c r="U90" i="102"/>
  <c r="C456" i="5"/>
  <c r="D16" i="1" s="1"/>
  <c r="C419" i="5"/>
  <c r="D9" i="1" s="1"/>
  <c r="I8" i="46"/>
  <c r="D15" i="107"/>
  <c r="U96" i="102"/>
  <c r="L366" i="102"/>
  <c r="L368" i="102" s="1"/>
  <c r="T368" i="102" s="1"/>
  <c r="G27" i="99"/>
  <c r="F27" i="109"/>
  <c r="G27" i="109" s="1"/>
  <c r="K27" i="71"/>
  <c r="N23" i="71"/>
  <c r="N27" i="71" s="1"/>
  <c r="O23" i="71"/>
  <c r="J27" i="71"/>
  <c r="O25" i="71"/>
  <c r="C36" i="71" s="1"/>
  <c r="K37" i="71"/>
  <c r="N37" i="71" s="1"/>
  <c r="J37" i="71"/>
  <c r="K35" i="71"/>
  <c r="N35" i="71" s="1"/>
  <c r="J35" i="71"/>
  <c r="C506" i="5"/>
  <c r="C49" i="35"/>
  <c r="I40" i="35"/>
  <c r="D34" i="35"/>
  <c r="I34" i="35" s="1"/>
  <c r="D22" i="22"/>
  <c r="C87" i="5"/>
  <c r="D20" i="2" s="1"/>
  <c r="F4" i="40"/>
  <c r="D325" i="5"/>
  <c r="D342" i="5" s="1"/>
  <c r="D525" i="5"/>
  <c r="C525" i="5"/>
  <c r="C325" i="5"/>
  <c r="C342" i="5" s="1"/>
  <c r="E36" i="22"/>
  <c r="D41" i="2"/>
  <c r="C25" i="35" s="1"/>
  <c r="C435" i="5"/>
  <c r="C436" i="5" s="1"/>
  <c r="D14" i="1" s="1"/>
  <c r="D24" i="35" l="1"/>
  <c r="I24" i="35" s="1"/>
  <c r="C23" i="35"/>
  <c r="A75" i="5"/>
  <c r="C16" i="2"/>
  <c r="E18" i="2"/>
  <c r="H347" i="5"/>
  <c r="D10" i="1"/>
  <c r="E18" i="47"/>
  <c r="E20" i="47" s="1"/>
  <c r="L9" i="42"/>
  <c r="M11" i="42" s="1"/>
  <c r="M12" i="42" s="1"/>
  <c r="L12" i="42"/>
  <c r="L14" i="42" s="1"/>
  <c r="E14" i="108"/>
  <c r="F15" i="108"/>
  <c r="D25" i="35"/>
  <c r="I25" i="35" s="1"/>
  <c r="I12" i="35"/>
  <c r="U335" i="102"/>
  <c r="U87" i="102"/>
  <c r="F368" i="102"/>
  <c r="H368" i="102"/>
  <c r="D14" i="101"/>
  <c r="K367" i="102"/>
  <c r="D368" i="102"/>
  <c r="L48" i="32"/>
  <c r="D10" i="35"/>
  <c r="I10" i="35" s="1"/>
  <c r="E7" i="107"/>
  <c r="D7" i="107"/>
  <c r="B51" i="32"/>
  <c r="G51" i="32" s="1"/>
  <c r="B52" i="32" s="1"/>
  <c r="G52" i="32" s="1"/>
  <c r="B53" i="32" s="1"/>
  <c r="G53" i="32" s="1"/>
  <c r="J51" i="32"/>
  <c r="C314" i="5"/>
  <c r="B42" i="32"/>
  <c r="C17" i="5"/>
  <c r="C18" i="5" s="1"/>
  <c r="E533" i="5" s="1"/>
  <c r="I50" i="32"/>
  <c r="D40" i="32"/>
  <c r="C366" i="102"/>
  <c r="U368" i="102" s="1"/>
  <c r="U370" i="102" s="1"/>
  <c r="K365" i="102"/>
  <c r="K366" i="102" s="1"/>
  <c r="D87" i="5"/>
  <c r="E20" i="2" s="1"/>
  <c r="C21" i="35" s="1"/>
  <c r="D21" i="22"/>
  <c r="H44" i="22"/>
  <c r="D14" i="22"/>
  <c r="C425" i="5"/>
  <c r="D13" i="1" s="1"/>
  <c r="C304" i="5"/>
  <c r="C498" i="5"/>
  <c r="D18" i="1" s="1"/>
  <c r="D432" i="5"/>
  <c r="D436" i="5" s="1"/>
  <c r="E14" i="1" s="1"/>
  <c r="O37" i="71"/>
  <c r="K36" i="71"/>
  <c r="N36" i="71" s="1"/>
  <c r="J36" i="71"/>
  <c r="C34" i="71"/>
  <c r="O27" i="71"/>
  <c r="C10" i="69" s="1"/>
  <c r="D14" i="69" s="1"/>
  <c r="E14" i="69" s="1"/>
  <c r="O35" i="71"/>
  <c r="C36" i="109"/>
  <c r="C36" i="99"/>
  <c r="C36" i="69"/>
  <c r="C37" i="69" s="1"/>
  <c r="D44" i="69" s="1"/>
  <c r="E44" i="69" s="1"/>
  <c r="D368" i="5"/>
  <c r="D379" i="5" s="1"/>
  <c r="D350" i="5"/>
  <c r="C368" i="5"/>
  <c r="C379" i="5" s="1"/>
  <c r="C350" i="5"/>
  <c r="C40" i="35"/>
  <c r="H44" i="35" s="1"/>
  <c r="D42" i="2"/>
  <c r="A82" i="5" l="1"/>
  <c r="C17" i="2"/>
  <c r="E9" i="108"/>
  <c r="E15" i="108"/>
  <c r="G15" i="108" s="1"/>
  <c r="E13" i="108"/>
  <c r="F13" i="108"/>
  <c r="E23" i="1"/>
  <c r="E27" i="1" s="1"/>
  <c r="B32" i="10" s="1"/>
  <c r="F18" i="108"/>
  <c r="D15" i="101"/>
  <c r="D221" i="101" s="1"/>
  <c r="D223" i="101" s="1"/>
  <c r="K14" i="101"/>
  <c r="K15" i="101" s="1"/>
  <c r="K221" i="101" s="1"/>
  <c r="K368" i="102"/>
  <c r="D11" i="2"/>
  <c r="J40" i="32"/>
  <c r="J50" i="32"/>
  <c r="C368" i="102"/>
  <c r="D21" i="35"/>
  <c r="I21" i="35" s="1"/>
  <c r="E26" i="2"/>
  <c r="G14" i="108"/>
  <c r="D21" i="1"/>
  <c r="J34" i="71"/>
  <c r="C38" i="71"/>
  <c r="K34" i="71"/>
  <c r="G14" i="69"/>
  <c r="F14" i="99"/>
  <c r="E16" i="69"/>
  <c r="E48" i="69" s="1"/>
  <c r="O36" i="71"/>
  <c r="F46" i="99"/>
  <c r="K44" i="69"/>
  <c r="G44" i="69"/>
  <c r="A90" i="5" l="1"/>
  <c r="C20" i="2"/>
  <c r="F9" i="108"/>
  <c r="G9" i="108" s="1"/>
  <c r="F17" i="108"/>
  <c r="D8" i="35"/>
  <c r="F11" i="108"/>
  <c r="D23" i="1"/>
  <c r="E11" i="108" s="1"/>
  <c r="E18" i="108"/>
  <c r="K223" i="101"/>
  <c r="H51" i="32"/>
  <c r="I51" i="32" s="1"/>
  <c r="C41" i="32"/>
  <c r="M40" i="32"/>
  <c r="E32" i="10"/>
  <c r="E38" i="10" s="1"/>
  <c r="E39" i="10" s="1"/>
  <c r="J39" i="10" s="1"/>
  <c r="G28" i="1"/>
  <c r="F14" i="109"/>
  <c r="K38" i="71"/>
  <c r="N34" i="71"/>
  <c r="N38" i="71" s="1"/>
  <c r="I48" i="69"/>
  <c r="O34" i="71"/>
  <c r="O38" i="71" s="1"/>
  <c r="J38" i="71"/>
  <c r="D503" i="5"/>
  <c r="E6" i="107"/>
  <c r="E18" i="107" s="1"/>
  <c r="D296" i="5"/>
  <c r="M296" i="5" s="1"/>
  <c r="M299" i="5" s="1"/>
  <c r="M306" i="5" s="1"/>
  <c r="E36" i="1"/>
  <c r="C49" i="112" s="1"/>
  <c r="C22" i="2" l="1"/>
  <c r="A133" i="5"/>
  <c r="C8" i="35"/>
  <c r="C28" i="35" s="1"/>
  <c r="C42" i="35" s="1"/>
  <c r="I8" i="35"/>
  <c r="D18" i="35"/>
  <c r="K225" i="101"/>
  <c r="D41" i="32"/>
  <c r="B38" i="10"/>
  <c r="B39" i="10" s="1"/>
  <c r="B21" i="10" s="1"/>
  <c r="E21" i="10" s="1"/>
  <c r="G13" i="108"/>
  <c r="D508" i="5"/>
  <c r="D299" i="5"/>
  <c r="C294" i="5" s="1"/>
  <c r="D507" i="5"/>
  <c r="C37" i="109"/>
  <c r="C40" i="109" s="1"/>
  <c r="C37" i="99"/>
  <c r="C38" i="99" s="1"/>
  <c r="D14" i="109"/>
  <c r="E14" i="109" s="1"/>
  <c r="D38" i="5" s="1"/>
  <c r="C10" i="99"/>
  <c r="D14" i="99" s="1"/>
  <c r="E14" i="99" s="1"/>
  <c r="C23" i="2" l="1"/>
  <c r="A146" i="5"/>
  <c r="G14" i="109"/>
  <c r="F14" i="112"/>
  <c r="G14" i="112" s="1"/>
  <c r="I18" i="35"/>
  <c r="D26" i="35"/>
  <c r="J41" i="32"/>
  <c r="D509" i="5"/>
  <c r="E40" i="1" s="1"/>
  <c r="E39" i="1"/>
  <c r="D306" i="5"/>
  <c r="E34" i="2" s="1"/>
  <c r="G11" i="108"/>
  <c r="C50" i="109"/>
  <c r="D50" i="109" s="1"/>
  <c r="E50" i="109" s="1"/>
  <c r="F52" i="112" s="1"/>
  <c r="E16" i="99"/>
  <c r="G14" i="99"/>
  <c r="E16" i="109"/>
  <c r="C46" i="99"/>
  <c r="D46" i="99" s="1"/>
  <c r="E46" i="99" s="1"/>
  <c r="F50" i="109" s="1"/>
  <c r="C29" i="5" l="1"/>
  <c r="C33" i="5" s="1"/>
  <c r="D12" i="2" s="1"/>
  <c r="D18" i="2" s="1"/>
  <c r="D28" i="2" s="1"/>
  <c r="D17" i="107"/>
  <c r="C394" i="5"/>
  <c r="C395" i="5" s="1"/>
  <c r="B11" i="40"/>
  <c r="B22" i="10"/>
  <c r="C24" i="2"/>
  <c r="A155" i="5"/>
  <c r="I26" i="35"/>
  <c r="D28" i="35"/>
  <c r="H52" i="32"/>
  <c r="I52" i="32" s="1"/>
  <c r="C42" i="32"/>
  <c r="D42" i="32" s="1"/>
  <c r="M41" i="32"/>
  <c r="E35" i="2"/>
  <c r="E54" i="2" s="1"/>
  <c r="G50" i="109"/>
  <c r="K50" i="109"/>
  <c r="I56" i="109" s="1"/>
  <c r="E56" i="109"/>
  <c r="E52" i="99"/>
  <c r="K46" i="99"/>
  <c r="I52" i="99" s="1"/>
  <c r="G46" i="99"/>
  <c r="C296" i="5" l="1"/>
  <c r="C299" i="5" s="1"/>
  <c r="C306" i="5" s="1"/>
  <c r="D36" i="1"/>
  <c r="C50" i="112" s="1"/>
  <c r="C52" i="112" s="1"/>
  <c r="D52" i="112" s="1"/>
  <c r="E52" i="112" s="1"/>
  <c r="C39" i="5" s="1"/>
  <c r="F15" i="40"/>
  <c r="E17" i="108"/>
  <c r="G17" i="108" s="1"/>
  <c r="C503" i="5"/>
  <c r="D6" i="107"/>
  <c r="D18" i="107" s="1"/>
  <c r="B18" i="40"/>
  <c r="F11" i="40"/>
  <c r="F14" i="40" s="1"/>
  <c r="B14" i="40"/>
  <c r="A164" i="5"/>
  <c r="C25" i="2"/>
  <c r="F16" i="108"/>
  <c r="F10" i="108"/>
  <c r="F12" i="108"/>
  <c r="I28" i="35"/>
  <c r="D42" i="35"/>
  <c r="H45" i="35"/>
  <c r="H46" i="35" s="1"/>
  <c r="H47" i="35" s="1"/>
  <c r="J42" i="32"/>
  <c r="H53" i="32" s="1"/>
  <c r="I53" i="32" s="1"/>
  <c r="G58" i="2"/>
  <c r="F19" i="40" l="1"/>
  <c r="F21" i="40" s="1"/>
  <c r="F23" i="40" s="1"/>
  <c r="C507" i="5"/>
  <c r="C509" i="5" s="1"/>
  <c r="D40" i="1" s="1"/>
  <c r="C508" i="5"/>
  <c r="D39" i="1" s="1"/>
  <c r="C43" i="5"/>
  <c r="K52" i="112"/>
  <c r="I58" i="112" s="1"/>
  <c r="E58" i="112"/>
  <c r="G52" i="112"/>
  <c r="E22" i="10"/>
  <c r="E28" i="10" s="1"/>
  <c r="E29" i="10" s="1"/>
  <c r="B28" i="10"/>
  <c r="B29" i="10" s="1"/>
  <c r="F27" i="1"/>
  <c r="F28" i="1" s="1"/>
  <c r="F17" i="40"/>
  <c r="A291" i="5"/>
  <c r="C33" i="2"/>
  <c r="I42" i="35"/>
  <c r="D44" i="35"/>
  <c r="M42" i="32"/>
  <c r="M44" i="32" s="1"/>
  <c r="G18" i="108"/>
  <c r="D34" i="2" l="1"/>
  <c r="D35" i="2" s="1"/>
  <c r="D54" i="2" s="1"/>
  <c r="J14" i="10"/>
  <c r="J18" i="10" s="1"/>
  <c r="K21" i="10" s="1"/>
  <c r="J29" i="10"/>
  <c r="C34" i="2"/>
  <c r="A308" i="5"/>
  <c r="G49" i="35"/>
  <c r="I49" i="35" s="1"/>
  <c r="C43" i="35"/>
  <c r="C44" i="35" s="1"/>
  <c r="I44" i="35"/>
  <c r="D43" i="5"/>
  <c r="E12" i="108" l="1"/>
  <c r="G12" i="108" s="1"/>
  <c r="E10" i="108"/>
  <c r="G10" i="108" s="1"/>
  <c r="M15" i="40"/>
  <c r="M17" i="40" s="1"/>
  <c r="F58" i="2"/>
  <c r="E16" i="108"/>
  <c r="G16" i="108" s="1"/>
  <c r="A316" i="5"/>
  <c r="C39" i="2"/>
  <c r="C45" i="2" s="1"/>
  <c r="F50" i="35"/>
  <c r="F49" i="35"/>
  <c r="F52" i="35" s="1"/>
  <c r="A324" i="5" l="1"/>
  <c r="C41" i="2"/>
  <c r="C46" i="2" l="1"/>
  <c r="A341" i="5"/>
  <c r="C47" i="2" l="1"/>
  <c r="A367" i="5"/>
  <c r="A378" i="5" l="1"/>
  <c r="C50" i="2"/>
  <c r="C51" i="2" l="1"/>
  <c r="A387" i="5"/>
  <c r="A401" i="5" s="1"/>
  <c r="A408" i="5" l="1"/>
  <c r="C8" i="1"/>
  <c r="C9" i="1" l="1"/>
  <c r="A421" i="5"/>
  <c r="A427" i="5" l="1"/>
  <c r="C13" i="1"/>
  <c r="A438" i="5" l="1"/>
  <c r="C14" i="1"/>
  <c r="A449" i="5" l="1"/>
  <c r="C15" i="1"/>
  <c r="A458" i="5" l="1"/>
  <c r="A466" i="5" s="1"/>
  <c r="C16" i="1"/>
  <c r="A500" i="5" l="1"/>
  <c r="C18" i="1"/>
  <c r="A81" i="46"/>
  <c r="A514" i="5" l="1"/>
  <c r="A522" i="5" s="1"/>
  <c r="A5" i="46" s="1"/>
  <c r="C38" i="1"/>
  <c r="B442" i="5" l="1"/>
  <c r="B444" i="5"/>
  <c r="B443" i="5"/>
  <c r="A4" i="86"/>
  <c r="A6" i="108" s="1"/>
  <c r="A5" i="22" s="1"/>
  <c r="A5" i="47" s="1"/>
  <c r="A13" i="47" s="1"/>
  <c r="A24" i="47" s="1"/>
  <c r="A39" i="47" s="1"/>
  <c r="A5" i="45" l="1"/>
  <c r="A14" i="45" s="1"/>
  <c r="C56" i="2" s="1"/>
  <c r="B17" i="45" l="1"/>
  <c r="C43" i="1"/>
</calcChain>
</file>

<file path=xl/sharedStrings.xml><?xml version="1.0" encoding="utf-8"?>
<sst xmlns="http://schemas.openxmlformats.org/spreadsheetml/2006/main" count="3842" uniqueCount="1730">
  <si>
    <t>Particulars</t>
  </si>
  <si>
    <t>Notes</t>
  </si>
  <si>
    <t>I</t>
  </si>
  <si>
    <t>ASSETS</t>
  </si>
  <si>
    <t>(1)</t>
  </si>
  <si>
    <t>Non-current assets</t>
  </si>
  <si>
    <t>(a) Property, Plant and Equipment</t>
  </si>
  <si>
    <t>(b) Intangible assets</t>
  </si>
  <si>
    <t>(2)</t>
  </si>
  <si>
    <t>Current assets</t>
  </si>
  <si>
    <t>(a) Inventories</t>
  </si>
  <si>
    <t>(b) Financial Assets</t>
  </si>
  <si>
    <t>(c) Other current assets</t>
  </si>
  <si>
    <t>Total Assets</t>
  </si>
  <si>
    <t>II</t>
  </si>
  <si>
    <t>EQUITY AND LIABILITIES</t>
  </si>
  <si>
    <t>Equity</t>
  </si>
  <si>
    <t>(a) Equity Share capital</t>
  </si>
  <si>
    <t>(b) Other Equity</t>
  </si>
  <si>
    <t>LIABILITIES</t>
  </si>
  <si>
    <t>Non-current liabilities</t>
  </si>
  <si>
    <t>(a) Financial Liabilities</t>
  </si>
  <si>
    <t>(i) Long-term borrowings</t>
  </si>
  <si>
    <t>Current liabilities</t>
  </si>
  <si>
    <t>(i) Short-term borrowings</t>
  </si>
  <si>
    <t>(ii) Other trade payables</t>
  </si>
  <si>
    <t>(b) Short-term provisions</t>
  </si>
  <si>
    <t>Total Equity and Liabilities</t>
  </si>
  <si>
    <t>Revenue from operations</t>
  </si>
  <si>
    <t>Other income</t>
  </si>
  <si>
    <t>Total income</t>
  </si>
  <si>
    <t>Expenses</t>
  </si>
  <si>
    <t xml:space="preserve">Changes in inventories </t>
  </si>
  <si>
    <t>Employee benefits expense</t>
  </si>
  <si>
    <t>Finance costs</t>
  </si>
  <si>
    <t xml:space="preserve">Depreciation and amortisation expense </t>
  </si>
  <si>
    <t>Other expenses</t>
  </si>
  <si>
    <t xml:space="preserve">Total expenses </t>
  </si>
  <si>
    <t>Profit before exceptional items and tax</t>
  </si>
  <si>
    <t>Exceptional items</t>
  </si>
  <si>
    <t>Profit before tax</t>
  </si>
  <si>
    <t>Tax expense</t>
  </si>
  <si>
    <t>(1) Current tax</t>
  </si>
  <si>
    <t>Other comprehensive income:</t>
  </si>
  <si>
    <t>Items that will not be reclassified to profit or loss</t>
  </si>
  <si>
    <t>Remeasurement of net defined benefit liability</t>
  </si>
  <si>
    <t>Income tax relating to items not reclassified</t>
  </si>
  <si>
    <t>Items that will be reclassified subsequently to profit or loss</t>
  </si>
  <si>
    <t>Income tax relating to items that will be reclassified</t>
  </si>
  <si>
    <t>Earnings per share</t>
  </si>
  <si>
    <t>Basic earnings (loss) per share</t>
  </si>
  <si>
    <t>Total</t>
  </si>
  <si>
    <t>Diluted earnings (loss) per share</t>
  </si>
  <si>
    <t>Statement of Profit and Loss</t>
  </si>
  <si>
    <t>2017-18</t>
  </si>
  <si>
    <t xml:space="preserve">Profit for the year </t>
  </si>
  <si>
    <t>Additions</t>
  </si>
  <si>
    <t>Depreciation</t>
  </si>
  <si>
    <t>Considered good</t>
  </si>
  <si>
    <t>Considered doubtful</t>
  </si>
  <si>
    <t>Less: Provision for doubtful debts</t>
  </si>
  <si>
    <t>Balances with banks in:</t>
  </si>
  <si>
    <t>Balance with scheduled banks</t>
  </si>
  <si>
    <t xml:space="preserve">   - current accounts</t>
  </si>
  <si>
    <t>Cash in hand</t>
  </si>
  <si>
    <t>Other bank balances</t>
  </si>
  <si>
    <t>Authorised</t>
  </si>
  <si>
    <t>Number of equity shares</t>
  </si>
  <si>
    <t>Increase/(decrease) during the year</t>
  </si>
  <si>
    <t>Dues to other than micro, small and medium enterprises</t>
  </si>
  <si>
    <t>Gross block - at cost</t>
  </si>
  <si>
    <t>Depreciation/ Amortisation</t>
  </si>
  <si>
    <t>Net block</t>
  </si>
  <si>
    <t xml:space="preserve">                                           </t>
  </si>
  <si>
    <t>As at</t>
  </si>
  <si>
    <t xml:space="preserve">GAAP </t>
  </si>
  <si>
    <t>For the</t>
  </si>
  <si>
    <t>Adjustments</t>
  </si>
  <si>
    <t xml:space="preserve"> Adjustments</t>
  </si>
  <si>
    <t>Deductions</t>
  </si>
  <si>
    <t>year</t>
  </si>
  <si>
    <t>Tangible assets</t>
  </si>
  <si>
    <t xml:space="preserve">          Electrical installations                                              </t>
  </si>
  <si>
    <t>Intangible assets</t>
  </si>
  <si>
    <t xml:space="preserve">            Computer software</t>
  </si>
  <si>
    <t xml:space="preserve">          </t>
  </si>
  <si>
    <t>Computers</t>
  </si>
  <si>
    <t xml:space="preserve">          Computers</t>
  </si>
  <si>
    <t xml:space="preserve">          Furniture and fixtures</t>
  </si>
  <si>
    <t xml:space="preserve">          Office equipments</t>
  </si>
  <si>
    <t xml:space="preserve">           Website Development</t>
  </si>
  <si>
    <t>Deferred tax asset arising on account of (A)</t>
  </si>
  <si>
    <t>Timing difference between book depreciation and depreciation as per Income Tax Act ,1961</t>
  </si>
  <si>
    <t>Employees benefit expenses</t>
  </si>
  <si>
    <t>Deferred tax liability arising on account of (B)</t>
  </si>
  <si>
    <t>1908 E-VENTURES PVT. LTD.</t>
  </si>
  <si>
    <t>Ador House, 5th Floor,</t>
  </si>
  <si>
    <t>Mumbai</t>
  </si>
  <si>
    <t>Trial Balance</t>
  </si>
  <si>
    <t/>
  </si>
  <si>
    <t>Closing Balance</t>
  </si>
  <si>
    <t>Debit</t>
  </si>
  <si>
    <t>Credit</t>
  </si>
  <si>
    <t>Capital Account</t>
  </si>
  <si>
    <t>Equity Share Capital</t>
  </si>
  <si>
    <t>Loans (Liability)</t>
  </si>
  <si>
    <t>Bank OD A/c</t>
  </si>
  <si>
    <t>Unsecured Loans</t>
  </si>
  <si>
    <t>9.5 % Unsecured  Fully Compulsorily Convertible Deb</t>
  </si>
  <si>
    <t>Financial liabilities</t>
  </si>
  <si>
    <t>Current Liabilities</t>
  </si>
  <si>
    <t>Duties &amp; Taxes</t>
  </si>
  <si>
    <t>Statutory dues payable</t>
  </si>
  <si>
    <t>Profession Tax</t>
  </si>
  <si>
    <t>Staff Income Tax</t>
  </si>
  <si>
    <t>Sundry Creditors</t>
  </si>
  <si>
    <t>Other trade payables</t>
  </si>
  <si>
    <t>Outstanding Expenses</t>
  </si>
  <si>
    <t>Bonus Payable</t>
  </si>
  <si>
    <t>Short-term provisions</t>
  </si>
  <si>
    <t>Bonus payable</t>
  </si>
  <si>
    <t>Corporate Credit Card No 4718 6501 0001 4304</t>
  </si>
  <si>
    <t>Deposit Linked Insurance @ 0.50%</t>
  </si>
  <si>
    <t>Other current financial liabilities</t>
  </si>
  <si>
    <t>Interest accrued but not due</t>
  </si>
  <si>
    <t>PF Employees Contribution @ 12%</t>
  </si>
  <si>
    <t>PF Payable</t>
  </si>
  <si>
    <t>Provision for Gratuity</t>
  </si>
  <si>
    <t>Gratuity</t>
  </si>
  <si>
    <t>Provision for Leave Benefits</t>
  </si>
  <si>
    <t>Leave entitlement</t>
  </si>
  <si>
    <t>Fixed Assets</t>
  </si>
  <si>
    <t>Furniture &amp; Fixtures</t>
  </si>
  <si>
    <t>Current Assets</t>
  </si>
  <si>
    <t>Opening Stock</t>
  </si>
  <si>
    <t>Inventories</t>
  </si>
  <si>
    <t>Stock in trade</t>
  </si>
  <si>
    <t>Deposits (Asset)</t>
  </si>
  <si>
    <t>Security Deposit</t>
  </si>
  <si>
    <t>Loans &amp; Advances (Asset)</t>
  </si>
  <si>
    <t>Loans &amp; Advances to Employees</t>
  </si>
  <si>
    <t>Advance for Expenses</t>
  </si>
  <si>
    <t>MVAT Deposit</t>
  </si>
  <si>
    <t>Prepaid Expenses</t>
  </si>
  <si>
    <t>Sundry Debtors</t>
  </si>
  <si>
    <t>Deep Lalvani</t>
  </si>
  <si>
    <t>Ninotchka Nagpal</t>
  </si>
  <si>
    <t>Bank Accounts</t>
  </si>
  <si>
    <t>Cash-in-Hand</t>
  </si>
  <si>
    <t>Cash and cash equivalents</t>
  </si>
  <si>
    <t>Kotak Mahindra Bank</t>
  </si>
  <si>
    <t>Deferred Tax Asset</t>
  </si>
  <si>
    <t>Assets</t>
  </si>
  <si>
    <t>Deferred tax Assets (Net)</t>
  </si>
  <si>
    <t>FD with HDFC Bank</t>
  </si>
  <si>
    <t>Other non-current financial assets</t>
  </si>
  <si>
    <t>Interest Accrued But Not Due</t>
  </si>
  <si>
    <t>Tax Paid on RCM</t>
  </si>
  <si>
    <t>Sales Accounts</t>
  </si>
  <si>
    <t>Purchase Accounts</t>
  </si>
  <si>
    <t>Custom Duty</t>
  </si>
  <si>
    <t>Purchase Import</t>
  </si>
  <si>
    <t>Purchase Interstate</t>
  </si>
  <si>
    <t>Purchase  Local</t>
  </si>
  <si>
    <t>Direct Expenses</t>
  </si>
  <si>
    <t>Packing Material</t>
  </si>
  <si>
    <t>Indirect Incomes</t>
  </si>
  <si>
    <t>Discount Recieved</t>
  </si>
  <si>
    <t>Interest on FD</t>
  </si>
  <si>
    <t>Sundry Receipts</t>
  </si>
  <si>
    <t>Indirect Expenses</t>
  </si>
  <si>
    <t>Salary</t>
  </si>
  <si>
    <t>Basic Salary</t>
  </si>
  <si>
    <t>Conveyance Allowance</t>
  </si>
  <si>
    <t>House Rent Allowance</t>
  </si>
  <si>
    <t>Leave Benefits</t>
  </si>
  <si>
    <t>Leave Travel Allowance</t>
  </si>
  <si>
    <t>Medical Allowance</t>
  </si>
  <si>
    <t>Other Allowance</t>
  </si>
  <si>
    <t>Special Allowance</t>
  </si>
  <si>
    <t>Supplementary Allowance</t>
  </si>
  <si>
    <t>Telephone Allowance</t>
  </si>
  <si>
    <t>Variable Incentives</t>
  </si>
  <si>
    <t>Administrative Expenses</t>
  </si>
  <si>
    <t>Advertisement Expenses</t>
  </si>
  <si>
    <t>Audit Fees</t>
  </si>
  <si>
    <t>Auditor Out Of Pocket Expenses</t>
  </si>
  <si>
    <t>Bank Charges</t>
  </si>
  <si>
    <t>Bonus</t>
  </si>
  <si>
    <t>Brand Registeration</t>
  </si>
  <si>
    <t>Business Promotion Expenses</t>
  </si>
  <si>
    <t>Clearing &amp; Forwarding Charges</t>
  </si>
  <si>
    <t>Commission</t>
  </si>
  <si>
    <t>Computer Expenses</t>
  </si>
  <si>
    <t>Conveyance Expenses</t>
  </si>
  <si>
    <t>Discount Given</t>
  </si>
  <si>
    <t>Electricity Charges</t>
  </si>
  <si>
    <t>Entertainment Expenses</t>
  </si>
  <si>
    <t>Exchange Rate Difference</t>
  </si>
  <si>
    <t>Family Pension @ 8.33%</t>
  </si>
  <si>
    <t>Insurance Premium</t>
  </si>
  <si>
    <t>Interest on Debentures</t>
  </si>
  <si>
    <t>Interest on OD</t>
  </si>
  <si>
    <t>Interest on TDS</t>
  </si>
  <si>
    <t>Internet Expenses</t>
  </si>
  <si>
    <t>Labour Charge</t>
  </si>
  <si>
    <t>Legal &amp; Professional Charges</t>
  </si>
  <si>
    <t>Marketing Expenses</t>
  </si>
  <si>
    <t>Office Expenses</t>
  </si>
  <si>
    <t>Other Service Charges</t>
  </si>
  <si>
    <t>Paytm Commission</t>
  </si>
  <si>
    <t>PF Administrative Expenses</t>
  </si>
  <si>
    <t>PF Employers Contribution @ 3.67%</t>
  </si>
  <si>
    <t>Postage &amp; Courier</t>
  </si>
  <si>
    <t>Profession Tax- Company</t>
  </si>
  <si>
    <t>Registration Fees</t>
  </si>
  <si>
    <t>Rent</t>
  </si>
  <si>
    <t>Repairs - Others</t>
  </si>
  <si>
    <t>Retainership Fees</t>
  </si>
  <si>
    <t>Rounding Off</t>
  </si>
  <si>
    <t>Staff Welfare</t>
  </si>
  <si>
    <t>Stipend</t>
  </si>
  <si>
    <t>Sundry Expenses</t>
  </si>
  <si>
    <t>Telephone Expenses</t>
  </si>
  <si>
    <t>Travelling Expenses</t>
  </si>
  <si>
    <t>Website Expenses</t>
  </si>
  <si>
    <t xml:space="preserve">Deposit with maturity of more than 3 months but less than 12 months from reporting date </t>
  </si>
  <si>
    <t>Other advances</t>
  </si>
  <si>
    <t>Loans and advances to employees</t>
  </si>
  <si>
    <t>Confirm</t>
  </si>
  <si>
    <t>Asset</t>
  </si>
  <si>
    <t>Prepaid expenses</t>
  </si>
  <si>
    <t>Advance Income Tax (Net of Provision)</t>
  </si>
  <si>
    <t>Equity shares of INR 10 each</t>
  </si>
  <si>
    <t xml:space="preserve"> - Gratuity</t>
  </si>
  <si>
    <t xml:space="preserve"> - Leave entitlement</t>
  </si>
  <si>
    <t>Whether to classify as secured?</t>
  </si>
  <si>
    <t xml:space="preserve">Dues to micro, small and medium enterprises </t>
  </si>
  <si>
    <t>Breakup</t>
  </si>
  <si>
    <t>Outstanding expenses</t>
  </si>
  <si>
    <t>Sale of products</t>
  </si>
  <si>
    <t>Other operating revenue</t>
  </si>
  <si>
    <t>Interest income:</t>
  </si>
  <si>
    <t xml:space="preserve"> - on bank deposits</t>
  </si>
  <si>
    <t>Sundry balances written  back</t>
  </si>
  <si>
    <t>Sundry receipts</t>
  </si>
  <si>
    <t>Business Support Services</t>
  </si>
  <si>
    <t>Inventories at the end of the year</t>
  </si>
  <si>
    <t xml:space="preserve">   Finished goods</t>
  </si>
  <si>
    <t>Inventories at the beginning of the year</t>
  </si>
  <si>
    <t>Salaries, wages and bonus</t>
  </si>
  <si>
    <t>Staff welfare expense</t>
  </si>
  <si>
    <t>Purchases of Stock-in-Trade</t>
  </si>
  <si>
    <t>Interest on debentures</t>
  </si>
  <si>
    <t>Marketing expenses</t>
  </si>
  <si>
    <t>Electricity expense</t>
  </si>
  <si>
    <t>Packing material</t>
  </si>
  <si>
    <t>Advertisement expenses</t>
  </si>
  <si>
    <t>Travelling and conveyance</t>
  </si>
  <si>
    <t>Legal and professional</t>
  </si>
  <si>
    <t>Printing and stationery</t>
  </si>
  <si>
    <t>Miscellaneous expenses</t>
  </si>
  <si>
    <t>01)</t>
  </si>
  <si>
    <t>Deposit details</t>
  </si>
  <si>
    <t>Deposit amount (Rs)</t>
  </si>
  <si>
    <t xml:space="preserve">Capital repayment at the end of each year </t>
  </si>
  <si>
    <t>Interest receivable annually</t>
  </si>
  <si>
    <t>Maturity period (years)</t>
  </si>
  <si>
    <t>Market interest rate for a similar deposit</t>
  </si>
  <si>
    <t>02)</t>
  </si>
  <si>
    <t>Initial measurement (fair value of the deposit)</t>
  </si>
  <si>
    <t>Y1</t>
  </si>
  <si>
    <t>Y2</t>
  </si>
  <si>
    <t>Y3</t>
  </si>
  <si>
    <t>Deposit repayment</t>
  </si>
  <si>
    <t>Interest payment</t>
  </si>
  <si>
    <t>Discount rate</t>
  </si>
  <si>
    <t>To be discussed</t>
  </si>
  <si>
    <t>Fair value of deposit</t>
  </si>
  <si>
    <t>03)</t>
  </si>
  <si>
    <t>Subsequent measurement (amortize cost for each year)</t>
  </si>
  <si>
    <t>Accounting journal entries</t>
  </si>
  <si>
    <t>Dr</t>
  </si>
  <si>
    <t>Deferred Rent Expense (B/S)</t>
  </si>
  <si>
    <t>Cash</t>
  </si>
  <si>
    <t>Cr</t>
  </si>
  <si>
    <t>Being the security deposit made with the landloard</t>
  </si>
  <si>
    <t>Interest Income</t>
  </si>
  <si>
    <t>Being the interest income on the deposit</t>
  </si>
  <si>
    <t>Finance Expenses</t>
  </si>
  <si>
    <t>Deferred rent expense</t>
  </si>
  <si>
    <t>Being amortization of deferred rent expenses</t>
  </si>
  <si>
    <t>Interest Expense</t>
  </si>
  <si>
    <t>Being the refund of the deposit</t>
  </si>
  <si>
    <t>Account entries</t>
  </si>
  <si>
    <t>Security Deposit (Balance Sheet)</t>
  </si>
  <si>
    <t>Deferred Rent Expense (Balance Sheet)</t>
  </si>
  <si>
    <t>Y0 - Cash</t>
  </si>
  <si>
    <t>Y1 - Finance exp</t>
  </si>
  <si>
    <t>Y1 - Interest Income</t>
  </si>
  <si>
    <t>C/D</t>
  </si>
  <si>
    <t>B/F - Y2</t>
  </si>
  <si>
    <t>Refund received</t>
  </si>
  <si>
    <t>B/F Y2</t>
  </si>
  <si>
    <t>Y2 - Finance exp</t>
  </si>
  <si>
    <t>Y2 - Interest Income</t>
  </si>
  <si>
    <t>B/F Y3</t>
  </si>
  <si>
    <t>Y3 - Finance exp</t>
  </si>
  <si>
    <t>Y3 - Interest Income</t>
  </si>
  <si>
    <t>Finance Expense</t>
  </si>
  <si>
    <t>Y1 - Deferred Rent</t>
  </si>
  <si>
    <t>Y1 - Security Deposit</t>
  </si>
  <si>
    <t>TRF Income Statement</t>
  </si>
  <si>
    <t>Y2 - Deferred Rent</t>
  </si>
  <si>
    <t>Y2 - Security Deposit</t>
  </si>
  <si>
    <t>Y3 - Deferred Rent</t>
  </si>
  <si>
    <t>Security deposits on leased office premises</t>
  </si>
  <si>
    <t>Y4</t>
  </si>
  <si>
    <t>Y5</t>
  </si>
  <si>
    <t>Other finance costs</t>
  </si>
  <si>
    <t>Insurance charges</t>
  </si>
  <si>
    <t>A. Equity share capital</t>
  </si>
  <si>
    <t>B. Other equity</t>
  </si>
  <si>
    <t>Reserves and surplus</t>
  </si>
  <si>
    <t>Total equity</t>
  </si>
  <si>
    <t>Retained earnings</t>
  </si>
  <si>
    <t>Profit for the year</t>
  </si>
  <si>
    <t>Other comprehensive income</t>
  </si>
  <si>
    <t>Total comprehensive income for the year</t>
  </si>
  <si>
    <t>For and on behalf of the Board of Directors</t>
  </si>
  <si>
    <t>Chartered Accountants</t>
  </si>
  <si>
    <t xml:space="preserve">Auditors' remuneration </t>
  </si>
  <si>
    <t>Issued, Subscribed and fully paid up</t>
  </si>
  <si>
    <t>a) Reconciliation of equity shares outstanding at the beginning and at the end of the reporting period</t>
  </si>
  <si>
    <t>b). Terms/rights attached to equity shares</t>
  </si>
  <si>
    <t>The Company has only one class of equity shares having a par value of Rs 10 per share. Each holder of equity shares is entitled to one vote per share. The Company declares and pays dividends in Indian Rupees. The dividend, if proposed by the Board of Directors, is subject to the approval of the shareholders in the ensuing Annual General Meeting, except interim dividend.</t>
  </si>
  <si>
    <t>In the event of liquidation of the Company, the holders of equity shares will be entitled to receive remaining assets of the Company, after distribution of all preferential amounts, if any. The distribution will be in proportion to the number of equity shares held by the shareholders.</t>
  </si>
  <si>
    <t>c). Shareholders holding more than 5% of the shares in the Company</t>
  </si>
  <si>
    <t>Others</t>
  </si>
  <si>
    <t>Interest accrued but not due liability</t>
  </si>
  <si>
    <t>(b) Long-term provisions</t>
  </si>
  <si>
    <t>Start date</t>
  </si>
  <si>
    <t>End date</t>
  </si>
  <si>
    <t>On maturity</t>
  </si>
  <si>
    <t>Equity share capital</t>
  </si>
  <si>
    <t>Deferred notional rent expense</t>
  </si>
  <si>
    <t xml:space="preserve">Finance income on interest free security deposits  </t>
  </si>
  <si>
    <t>Amortisation of prepaid rent</t>
  </si>
  <si>
    <t>Current portion of deferred notional rent expense</t>
  </si>
  <si>
    <t>See Groupings</t>
  </si>
  <si>
    <t>Statement of Changes in Equity</t>
  </si>
  <si>
    <t>For Sunil Modi &amp; Co</t>
  </si>
  <si>
    <t>Firm Registration No. 142806W</t>
  </si>
  <si>
    <t>Sunil Modi</t>
  </si>
  <si>
    <t>Ninotchka Malkani Nagpal</t>
  </si>
  <si>
    <t>Deep A. Lalvani</t>
  </si>
  <si>
    <t>Partner</t>
  </si>
  <si>
    <t>Chairman</t>
  </si>
  <si>
    <t>Membership No. 042562</t>
  </si>
  <si>
    <t>DIN: 00031985</t>
  </si>
  <si>
    <t>DIN: 01771000</t>
  </si>
  <si>
    <t>Place : Mumbai</t>
  </si>
  <si>
    <t>Other non-current tax assets</t>
  </si>
  <si>
    <t>Other non-current assets</t>
  </si>
  <si>
    <t>Other current financial assets</t>
  </si>
  <si>
    <t>Other current assets</t>
  </si>
  <si>
    <t>Long-term provisions</t>
  </si>
  <si>
    <t>Short-term borrowings</t>
  </si>
  <si>
    <t>Sanction terms to see</t>
  </si>
  <si>
    <t>Changes in inventories</t>
  </si>
  <si>
    <t>Employee benefit expenses</t>
  </si>
  <si>
    <t>Finance Costs</t>
  </si>
  <si>
    <t>Other Equity</t>
  </si>
  <si>
    <t>Retained Earnings</t>
  </si>
  <si>
    <t>Other Comprehensive Income (OCI)</t>
  </si>
  <si>
    <t>See groupings</t>
  </si>
  <si>
    <t>Deposit  with maturity  more than 12 months from reporting date</t>
  </si>
  <si>
    <t>Deposit</t>
  </si>
  <si>
    <t>D. rent</t>
  </si>
  <si>
    <t>Y3 - Security Deposit</t>
  </si>
  <si>
    <t>Equity shares of Rs 10 each, fully paid up</t>
  </si>
  <si>
    <t>J.B.Advani &amp; Company Pvt. Ltd.</t>
  </si>
  <si>
    <t>Ador Multiproducts Ltd.</t>
  </si>
  <si>
    <t>Number</t>
  </si>
  <si>
    <t>% Holding</t>
  </si>
  <si>
    <t xml:space="preserve">Total comprehensive income for the year </t>
  </si>
  <si>
    <t>i) Net profit after tax as per statement of profit and loss attributable to equity shareholders</t>
  </si>
  <si>
    <t>ii) Weighted average number of equity shares used as denominator for calculating basic ESPS</t>
  </si>
  <si>
    <t>Audit fees</t>
  </si>
  <si>
    <t>Auditor out of pocket expenses</t>
  </si>
  <si>
    <t>Website expenses</t>
  </si>
  <si>
    <t xml:space="preserve">Telephone postage &amp; communication </t>
  </si>
  <si>
    <t>Registration fees</t>
  </si>
  <si>
    <t>Leave &amp; licence Fees</t>
  </si>
  <si>
    <t>Internet expenses</t>
  </si>
  <si>
    <t>a</t>
  </si>
  <si>
    <t>Leases</t>
  </si>
  <si>
    <t>Contingent liabilities are disclosed when there is a possible obligation arising from past events, the existence of which will be confirmed only by the occurrence or non occurrence of one or more uncertain future events not wholly within the control of the Company or a present obligation that arises from past events where it is either not probable that an outflow of resources will be required to settle or a reliable estimate of the amount cannot be made.</t>
  </si>
  <si>
    <t>Critical estimates and judgements</t>
  </si>
  <si>
    <t>A</t>
  </si>
  <si>
    <t>Fair value measurements</t>
  </si>
  <si>
    <t>Financial instruments by category:</t>
  </si>
  <si>
    <t>FVTPL</t>
  </si>
  <si>
    <t>Amortised cost</t>
  </si>
  <si>
    <t>Financial Assets - Non-current</t>
  </si>
  <si>
    <t>Financial Assets - Current</t>
  </si>
  <si>
    <t>Trade receivables</t>
  </si>
  <si>
    <t>Other Bank balances</t>
  </si>
  <si>
    <t>Other current financial asset</t>
  </si>
  <si>
    <t>Financial Liabilities - Non Current</t>
  </si>
  <si>
    <t>Financial Liabilities - Current</t>
  </si>
  <si>
    <t>Trade payables</t>
  </si>
  <si>
    <t>I. Fair value hierarchy</t>
  </si>
  <si>
    <t>II. Valuation techniques used to determine fair value</t>
  </si>
  <si>
    <t xml:space="preserve">III. Financial assets and liabilities measured at fair value Fair value hierarchy - recurring fair value measurement: </t>
  </si>
  <si>
    <t>Level 1</t>
  </si>
  <si>
    <t>Level 2</t>
  </si>
  <si>
    <t>Level 3</t>
  </si>
  <si>
    <t>IV. Financial assets and liabilities measured at amortised cost for which fair values are disclosed:</t>
  </si>
  <si>
    <t>Financial liabilities - Non-current</t>
  </si>
  <si>
    <t>Note:</t>
  </si>
  <si>
    <t>During the periods mentioned above, there have been no transfers amongst the levels of hierarchy.</t>
  </si>
  <si>
    <t>The carrying amounts of trade receivables, cash and bank balances, other bank balances, non-current loans, current loans, other current financial asset, trade payables and other current financial liabilities are considered to be approximately equal to the fair value.</t>
  </si>
  <si>
    <t>The fair values computed above for assets and liabilities measured at amortised cost are based on discounted cash flows using a current borrowing rate. They are classified as level 2 fair values in the fair value hierarchy due to the use of observable inputs.</t>
  </si>
  <si>
    <t>Financial risk management</t>
  </si>
  <si>
    <t>The Company’s principal financial liabilities comprise deposits, trade and other payables. The main purpose of these financial liabilities is to finance the Company’s operations. The Company’s principal financial assets include current loans, trade and other receivables, and cash and cash equivalents that derive directly from its operations.
The Company is exposed to credit risk, market risk and liquidity risk. The Company’s senior management oversees the management of these risks.</t>
  </si>
  <si>
    <t xml:space="preserve">Credit risk </t>
  </si>
  <si>
    <t>The company is exposed to credit risk from its operating activities (primarily for trade receivables) and from its financing activities (deposits with banks and other financial instruments).</t>
  </si>
  <si>
    <t>Credit risk management</t>
  </si>
  <si>
    <t>To manage credit risk, the Company follows a policy of providing 30-180 days credit to the customers basis the nature of customers. The credit limit policy is established considering the current economic trends of the industry in which the company is operating.
However, the trade receivables are monitored on a periodic basis for assessing any significant risk of non-recoverability of dues and provision is created accordingly.</t>
  </si>
  <si>
    <t>Bank balances are held with only high rated banks and majority of other security deposits are placed majorly with government agencies/public sector undertakings.</t>
  </si>
  <si>
    <t>Age of receivables that are past due:</t>
  </si>
  <si>
    <t>Upto 30 days</t>
  </si>
  <si>
    <t>30-60 days</t>
  </si>
  <si>
    <t>60-90 days</t>
  </si>
  <si>
    <t>More than 90 days</t>
  </si>
  <si>
    <t>B</t>
  </si>
  <si>
    <t xml:space="preserve">Liquidity risk </t>
  </si>
  <si>
    <t>Liquidity risk is defined as the risk that the Company will not be able to settle or meet its obligations on time or at a reasonable price. For the Company, liquidity risk arises from obligations on account of financial liabilities – trade payables and other financial liabilities.</t>
  </si>
  <si>
    <t>Liquidity risk management</t>
  </si>
  <si>
    <t>The Company’s management is responsible for liquidity and funding as well as settlement management. In addition, processes and policies related to such risks are overseen by senior management. Management monitors the Company’s net liquidity position through rolling forecasts on the basis of expected cash flows.</t>
  </si>
  <si>
    <t>C</t>
  </si>
  <si>
    <t>Market risk</t>
  </si>
  <si>
    <t>(i)</t>
  </si>
  <si>
    <t>Price Risk</t>
  </si>
  <si>
    <t>The company is exposed to price risk from its investment in mutual fund, investment in equity shares and investment in preference shares classified in the balance sheet at fair value through profit and loss.</t>
  </si>
  <si>
    <t>To manage its price risk arising from the investment, the Company has invested in the mutual fund and equity shares after considering the risk and return profile of the mutual funds and equity shares i.e. the debt profile indicates that the debt has been given to creditworthy parties and equity investment is made after considering the performance of the stock.. However, the entity being risk averse has opted to invest its substantial funds in debt oriented mutual funds.</t>
  </si>
  <si>
    <t>Sensitivity</t>
  </si>
  <si>
    <t>Impact on profit after tax for 5% increase in NAV/price</t>
  </si>
  <si>
    <t>Impact on profit after tax for 5% decrease in NAV/Price</t>
  </si>
  <si>
    <t>Capital Management</t>
  </si>
  <si>
    <t>Risk management</t>
  </si>
  <si>
    <t>The company’s objectives when managing capital are to
• safeguard their ability to continue as a going concern, so that they can continue to provide returns for shareholders and benefits for other stakeholders, and
• maintain an optimal capital structure to reduce the cost of capital.
Apart from trade payables and other current liabilities, there is no debt on the company. Therefore, the company manages its capital and return to shareholders by adequately investing in mutual funds and equity shares and adjusting the amount of dividend paid to the shareholders.</t>
  </si>
  <si>
    <t>Freight Charges</t>
  </si>
  <si>
    <t>Interest on Income Tax Refund</t>
  </si>
  <si>
    <t>Cc Avenue Fees</t>
  </si>
  <si>
    <t>Donation</t>
  </si>
  <si>
    <t>Shipping Charges</t>
  </si>
  <si>
    <t xml:space="preserve"> - on income tax refunds</t>
  </si>
  <si>
    <t>Un Secured</t>
  </si>
  <si>
    <t>TB</t>
  </si>
  <si>
    <t>Working</t>
  </si>
  <si>
    <t>Direct</t>
  </si>
  <si>
    <t>Prev year</t>
  </si>
  <si>
    <t>PL</t>
  </si>
  <si>
    <t>prev year</t>
  </si>
  <si>
    <t>as per bs</t>
  </si>
  <si>
    <t>see working</t>
  </si>
  <si>
    <t>Mannual</t>
  </si>
  <si>
    <t>OCI</t>
  </si>
  <si>
    <t>Prev yr</t>
  </si>
  <si>
    <t>Up to one year</t>
  </si>
  <si>
    <t>Between one and five years</t>
  </si>
  <si>
    <t>More than five years</t>
  </si>
  <si>
    <t>Operating leases</t>
  </si>
  <si>
    <t>i. The Company has entered into various lease agreements under operating lease arrangements. The schedule of future minimum rentals payments in respect of non-cancellable operating leases agreements is set out below :</t>
  </si>
  <si>
    <t>difference is 69k for stall and debot note</t>
  </si>
  <si>
    <t>iv) Total weighted average number of equity shares used as denominator for  calculating diluted EPS</t>
  </si>
  <si>
    <t>v) Net profit after tax for diluted EPS</t>
  </si>
  <si>
    <t>Leases as lessee</t>
  </si>
  <si>
    <t>2018-19</t>
  </si>
  <si>
    <t>2019-20</t>
  </si>
  <si>
    <t>2020-21</t>
  </si>
  <si>
    <t>working ind as</t>
  </si>
  <si>
    <t>Security and other deposits*</t>
  </si>
  <si>
    <t>*Comprises of Security deposit given to related parties:
J.B.Advani &amp; Co Private Limited</t>
  </si>
  <si>
    <t>Considered good:</t>
  </si>
  <si>
    <t>Year ended</t>
  </si>
  <si>
    <t>A. Cash flow from operating activities</t>
  </si>
  <si>
    <t>Net Profit before tax</t>
  </si>
  <si>
    <t>Adjustments for:</t>
  </si>
  <si>
    <t>Depreciation and amortisation expense</t>
  </si>
  <si>
    <t>Interest income</t>
  </si>
  <si>
    <t>Operating profit before working capital changes</t>
  </si>
  <si>
    <t xml:space="preserve">Adjustment for: </t>
  </si>
  <si>
    <t>Decrease/ (Increase) in inventories</t>
  </si>
  <si>
    <t>Decrease/ (Increase) in trade receivable</t>
  </si>
  <si>
    <t>(Decrease)/Increase in trade and other payables</t>
  </si>
  <si>
    <t>Cash generated from operations</t>
  </si>
  <si>
    <t>Income tax refund/(paid)</t>
  </si>
  <si>
    <t>Net cash (used in)/ generated from operating activities</t>
  </si>
  <si>
    <t>B. Cash flow from investing activities</t>
  </si>
  <si>
    <t>Acquisition of fixed assets and capital work in progress</t>
  </si>
  <si>
    <t xml:space="preserve">Interest income on fixed deposits and other advances </t>
  </si>
  <si>
    <t>Net cash (used in)/ generated from investing activities</t>
  </si>
  <si>
    <t>C. Cash flow from financing activities</t>
  </si>
  <si>
    <t>Net cash (used in)/ generated from  financing activities</t>
  </si>
  <si>
    <t>Net (decrease)/ increase in cash and cash equivalents (A+B+C)</t>
  </si>
  <si>
    <t>Cash and cash equivalents as at the beginning of year</t>
  </si>
  <si>
    <t>Cash and cash equivalents at the end of year</t>
  </si>
  <si>
    <t>Balance with scheduled banks in current accounts</t>
  </si>
  <si>
    <t>This is the Cash flow statement referred to in our audit report of even date</t>
  </si>
  <si>
    <t>Components of cash and cash equivalents (Also, refer note 10)</t>
  </si>
  <si>
    <t>NPV</t>
  </si>
  <si>
    <t>Sundry balances written back/written-off</t>
  </si>
  <si>
    <t>Exchange gain</t>
  </si>
  <si>
    <t>Decrease/ (Increase) in long term loans and advances and other receivables</t>
  </si>
  <si>
    <t>Decrease/ (Increase) in other assets and receivables</t>
  </si>
  <si>
    <t>Opening DTA</t>
  </si>
  <si>
    <t>3. Property Plant &amp; Equipment</t>
  </si>
  <si>
    <t>Provision for Leave encashment</t>
  </si>
  <si>
    <t>Proceeds from issuance of Debentures</t>
  </si>
  <si>
    <t>TCS (GST) FY 2018-19</t>
  </si>
  <si>
    <t>HDFC Bank</t>
  </si>
  <si>
    <t>Leave Encashment</t>
  </si>
  <si>
    <t>Miscellenous  Income</t>
  </si>
  <si>
    <t>Sundry Advances / Credit Balance Written Off</t>
  </si>
  <si>
    <t>Overtime Allowance</t>
  </si>
  <si>
    <t>Annual Maintenance Expenses</t>
  </si>
  <si>
    <t>Finance/Interest Charges (Credit Card)</t>
  </si>
  <si>
    <t>Hdfc Credit Card Charges</t>
  </si>
  <si>
    <t>Miscellenous Expenses</t>
  </si>
  <si>
    <t>Printing &amp; Stationery - Expenses</t>
  </si>
  <si>
    <t>Renewal Fees</t>
  </si>
  <si>
    <t>Repairs &amp; Maintainance</t>
  </si>
  <si>
    <t>Software Expense</t>
  </si>
  <si>
    <t>Tax Audit Fees</t>
  </si>
  <si>
    <t>Training Charges</t>
  </si>
  <si>
    <t>Transportation Expenses</t>
  </si>
  <si>
    <t>Repairs &amp; Maintenance expense</t>
  </si>
  <si>
    <t>Share-based payment arrangements</t>
  </si>
  <si>
    <t>Vesting commences on</t>
  </si>
  <si>
    <t>Options exercised during the year</t>
  </si>
  <si>
    <t>of which</t>
  </si>
  <si>
    <t>1908 E-Ventures Pvt. Ltd.</t>
  </si>
  <si>
    <t>1908 E-Ventures Pvt. Ltd. (01/04/18 -</t>
  </si>
  <si>
    <t>GST</t>
  </si>
  <si>
    <t>TDS</t>
  </si>
  <si>
    <t>PF Admin Charges @ 0.50%</t>
  </si>
  <si>
    <t>Advance Income Tax</t>
  </si>
  <si>
    <t>National Rent Expenses</t>
  </si>
  <si>
    <t>Branch / Divisions</t>
  </si>
  <si>
    <t>Bangalore - Division</t>
  </si>
  <si>
    <t>Branch Account -  Bangalore</t>
  </si>
  <si>
    <t>Non current financial assets</t>
  </si>
  <si>
    <t>Deposit with statutory authorities</t>
  </si>
  <si>
    <t>Employee stock options (net)</t>
  </si>
  <si>
    <t>Employee stock options granted and outstanding #</t>
  </si>
  <si>
    <t>Rupees (at face value)</t>
  </si>
  <si>
    <t>Rupees (at face value)*</t>
  </si>
  <si>
    <t>Number**</t>
  </si>
  <si>
    <t>Reserves &amp; Surplus</t>
  </si>
  <si>
    <t>e). Stock option schemes</t>
  </si>
  <si>
    <t>i). Terms :</t>
  </si>
  <si>
    <t>SD</t>
  </si>
  <si>
    <t>2021-22</t>
  </si>
  <si>
    <t>2022-23</t>
  </si>
  <si>
    <t>Mahalaxmi</t>
  </si>
  <si>
    <t>Regus</t>
  </si>
  <si>
    <t>Adore House</t>
  </si>
  <si>
    <t>Rent payable Annual</t>
  </si>
  <si>
    <t>Adore House 5%</t>
  </si>
  <si>
    <t>Mahalaxmi 10%</t>
  </si>
  <si>
    <t>2023-24</t>
  </si>
  <si>
    <t>Total Security deposit</t>
  </si>
  <si>
    <t>(i) Trade receivables</t>
  </si>
  <si>
    <t>(ii) Cash and cash equivalents</t>
  </si>
  <si>
    <t>Expenses on employee stock option scheme</t>
  </si>
  <si>
    <t>Net profit as per IND</t>
  </si>
  <si>
    <t>Link with PL</t>
  </si>
  <si>
    <t>Difference</t>
  </si>
  <si>
    <t>Add notional rent</t>
  </si>
  <si>
    <t>ESOP expense</t>
  </si>
  <si>
    <t xml:space="preserve">BASIS OF PREPARATION OF FINANCIAL STATEMENTS </t>
  </si>
  <si>
    <t>(a)</t>
  </si>
  <si>
    <t xml:space="preserve">Basis of preparation and compliance with Ind AS </t>
  </si>
  <si>
    <t>(ii)</t>
  </si>
  <si>
    <t xml:space="preserve">In accordance with the notification issued by the Ministry of Corporate Affairs, the Company has adopted Indian Accounting Standards (Ind AS) notified under Section 133 (as amended) of the Act (collectively, “Ind AS”) with effect from 1 April, 2017. </t>
  </si>
  <si>
    <t>(b)</t>
  </si>
  <si>
    <t xml:space="preserve">The preparation of Financial Statements in conformity with Ind AS which requires management to make estimates, assumptions and exercise judgement in applying the accounting policies that affect the reported amount of assets, liabilities and disclosure of contingent liabilities at the date of financial statements and the reported amounts of income and expenses during the year. </t>
  </si>
  <si>
    <t xml:space="preserve">The Management believes that these estimates are prudent and reasonable and are based upon the management’s best knowledge of current events and actions. Actual results could differ from these estimates and differences between actual results and estimates are recognised in the periods in which the results are known or materialised.               </t>
  </si>
  <si>
    <t>This note provides an overview of the areas that involved a higher degree of judgement or complexity, and of items which are more likely to be materially adjusted due to estimates and assumptions turning out to be different than those originally assessed.</t>
  </si>
  <si>
    <t>Useful lives of property, plant and equipment</t>
  </si>
  <si>
    <t xml:space="preserve">Property, Plant and Equipment represent a significant proportion of the asset base of the Company . The charge in respect of periodic depreciation is derived after determining an estimate of an asset’s expected useful life and the expected residual value at the end of its life. The useful lives and residual values of Company’s assets are determined by the management at the time the asset is acquired and reviewed periodically, including at each financial year end. </t>
  </si>
  <si>
    <t>Valuation of deferred tax assets</t>
  </si>
  <si>
    <t xml:space="preserve">The Company reviews the carrying amount of deferred tax assets at the end of each reporting period. Significant judgement is involved in arriving at the deferred tax assets and liabilities, which is based on the Company’s current operations and projections for the future. </t>
  </si>
  <si>
    <t>Defined benefit obligation</t>
  </si>
  <si>
    <t>(c)</t>
  </si>
  <si>
    <t xml:space="preserve">Basis of measurement </t>
  </si>
  <si>
    <t xml:space="preserve">The Ind AS financial statements have been prepared on a going concern basis using historical cost convention and on an accrual method of accounting, except for certain financial assets and liabilities which have been measured at fair value as described below and defined benefit plans which have been measured at actuarial valuation as required by relevant Ind AS. 
</t>
  </si>
  <si>
    <t xml:space="preserve">Fair value measurement </t>
  </si>
  <si>
    <t xml:space="preserve">The Company measures certain financial assets and liabilities at fair value at each balance sheet date. Fair value is the price that would be received to sell an asset or paid to transfer a liability in an orderly transaction between market participants at the measurement date. The fair value measurement is based on the presumption that the transaction to sell the asset or transfer the liability takes place either: </t>
  </si>
  <si>
    <t xml:space="preserve">    - In the principal market for the asset or liability, or </t>
  </si>
  <si>
    <t xml:space="preserve">    - In the absence of a principal market, in the most advantageous market for the asset or liability </t>
  </si>
  <si>
    <t xml:space="preserve">The principal or the most advantageous market must be accessible by the Company . </t>
  </si>
  <si>
    <t xml:space="preserve">The fair value of an asset or a liability is measured using the assumptions that market participants would use when pricing the asset or liability, assuming that market participants act in their economic best interest. </t>
  </si>
  <si>
    <t xml:space="preserve">A fair value measurement of a non-financial asset takes into account a market participant’s ability to generate economic benefits by using the asset in its highest and best use or by selling it to another market participant that would use the asset in its highest and best use. </t>
  </si>
  <si>
    <t xml:space="preserve">Fair value for measurement and /or disclosure purpose in these financial statements is determined on such a basis, except for leasing transactions that are within the scope of Ind AS 17, and measurements that have some similarities to fair value, such as net realisable value in Ind AS 2 or value in use in Ind AS 36. </t>
  </si>
  <si>
    <t xml:space="preserve">The Company uses valuation techniques that are appropriate in the circumstances and for which sufficient data are available to measure fair value, maximising the use of relevant observable inputs and minimising the use of unobservable inputs. </t>
  </si>
  <si>
    <t xml:space="preserve">All assets and liabilities for which fair value is measured or disclosed in the financial statements are categorised within the fair value hierarchy, described as follows, based on the lowest level input that is significant to the fair value measurement as a whole: </t>
  </si>
  <si>
    <t xml:space="preserve">Level 1 — Quoted (unadjusted) market prices in active markets for identical assets or liabilities </t>
  </si>
  <si>
    <t xml:space="preserve">Level  3  — Valuation techniques for which the lowest level input that is significant to the fair value measurement is unobservable </t>
  </si>
  <si>
    <t xml:space="preserve">For the purpose of fair value disclosures, the Company has determined classes of assets and liabilities on the basis of the nature, characteristics and risks of the asset or liability and the level of the fair value hierarchy as explained above. </t>
  </si>
  <si>
    <t>(e)</t>
  </si>
  <si>
    <t xml:space="preserve">Functional and presentation currency </t>
  </si>
  <si>
    <t>These Ind AS Financial Statements are prepared in Indian Rupee which is the Company’s functional currency.</t>
  </si>
  <si>
    <t xml:space="preserve">SIGNIFICANT ACCOUNTING POLICIES </t>
  </si>
  <si>
    <t>Revenue from sale of goods</t>
  </si>
  <si>
    <t xml:space="preserve">Revenue is measured at the fair value of the consideration received or receivable, net of discounts, volume rebates, outgoing sales taxes and other indirect taxes excluding excise duty. </t>
  </si>
  <si>
    <t>Revenue from sale of goods is recognised when all significant risks and rewards of ownership of the goods sold are transferred to the customer which generally coincides with delivery.</t>
  </si>
  <si>
    <t>Revenue from Services</t>
  </si>
  <si>
    <t>In contract involving rendering of services, revenue is recognised using the proportionate completion method in line with agreements / arrangements with concerned parties and is net of goods and service tax. Revenue from services is recognised when the services are rendered in accordance with the specific terms of contract and when collectability of the resulting receivable is reasonably assured.</t>
  </si>
  <si>
    <t>(iii)</t>
  </si>
  <si>
    <t>Revenue from Contracts</t>
  </si>
  <si>
    <t>Revenue from fixed price contracts is recognised using the percentage of completion method. Percentage of completion is determined as a proportion of the cost incurred up to the reporting date of the total estimated contract costs. Proportionate completion is measured based upon the efforts incurred to date in relation to the total estimated efforts to complete the contract.  The Company monitors estimates of total contract revenue and costs on a regular basis throughout the delivery period. The cumulative impact of any change in estimates of the contract value or cost is reflected in the period in which the changes become known.  In the event that a loss is anticipated on a particular contract, provision is made for the estimated loss.</t>
  </si>
  <si>
    <t>(iv)</t>
  </si>
  <si>
    <t xml:space="preserve">Interest income is accounted on accrual basis in time proportion. Interest income is recognised using effective rate of interest method. 
</t>
  </si>
  <si>
    <t>(v)</t>
  </si>
  <si>
    <t>Dividend income</t>
  </si>
  <si>
    <t xml:space="preserve">Dividend income is recognised as and when the right to receive payment is established. </t>
  </si>
  <si>
    <t xml:space="preserve">Property, Plant and Equipment </t>
  </si>
  <si>
    <t xml:space="preserve">Property, plant and equipment </t>
  </si>
  <si>
    <t>On transition to Ind AS, the Company has elected to continue with the carrying value of all of its property, plant and equipment recognised as at 1 April 2016 measured as per the previous GAAP and use that carrying value as the deemed cost of the property, plant and equipment.</t>
  </si>
  <si>
    <t xml:space="preserve">Freehold land is carried at historical cost. All other items of Property, plant and equipment are shown at cost, less accumulated depreciation and impairment, if any. The initial cost of property, plant and equipment comprises its purchase price, including import duties and non-refundable purchase taxes, attributable borrowing cost and any other directly attributable costs of bringing an asset to working condition and location for its intended use. It also includes the present value of the expected cost for the decommissioning and removing of an asset and restoring the site after its use, if the recognition criteria for a provision are met. </t>
  </si>
  <si>
    <t xml:space="preserve">The Company provides depreciation on all assets on written down value basis over its useful life of asset which is in line with Schedule II of Companies Act,2013. </t>
  </si>
  <si>
    <t>Expenditure incurred after the property, plant and equipment have been put into operation, such as repairs and maintenance, are normally charged to the statements of profit and loss in the period in which the costs are incurred. Major inspection and overhaul expenditure is capitalized if the recognition criteria are met.</t>
  </si>
  <si>
    <t xml:space="preserve">When significant parts of plant and equipment are required to be replaced at intervals, the Company depreciates them separately based on their specific useful lives. Likewise, when a major inspection is performed, its cost is recognised in the carrying amount of the plant and equipment as a replacement if the recognition criteria are satisfied. All other repair and maintenance costs are recognised in the statement of profit and loss as incurred. </t>
  </si>
  <si>
    <t xml:space="preserve">Gains and losses on disposal of an item of property, plant and equipment are determined by comparing the proceeds from disposal with the carrying amount of property, plant and equipment, and are recognized net within other income/other expenses in statement of profit and loss. </t>
  </si>
  <si>
    <t xml:space="preserve">An item of property, plant and equipment and any significant part initially recognised is derecognised upon disposal or when no future economic benefits are expected from its use or disposal. Any gain or loss arising on derecognition of the asset (calculated as the difference between the net disposal proceeds and the carrying amount of the asset) is included in the statement of profit and loss, when the asset is derecognised. </t>
  </si>
  <si>
    <t xml:space="preserve">The residual values, useful lives and methods of depreciation of property, plant and equipment are reviewed at each financial year end and adjusted prospectively, if appropriate. </t>
  </si>
  <si>
    <t xml:space="preserve">Capital work in progress </t>
  </si>
  <si>
    <t xml:space="preserve">Assets in the course of construction are capitalized in capital work in progress account. At the point when an asset is capable of operating in the manner intended by management, the cost of construction is transferred to the appropriate category of property, plant and equipment. Costs associated with the commissioning of an asset are capitalised till the time asset is available for use for operating at normal levels. Revenue generated from production during the trial period is credited to capital work in progress. </t>
  </si>
  <si>
    <t>Investment properties:</t>
  </si>
  <si>
    <t xml:space="preserve">Property that is held for long-term rental yields or for capital appreciation or both, and that is not in use by the Company, is classified as investment property. Land held for a currently undetermined future use is also classified as an investment property. Investment property is measured initially at its acquisition cost, including related transaction costs and where applicable borrowing costs.              </t>
  </si>
  <si>
    <t xml:space="preserve">On transition to Ind AS, the Company has elected to continue with the carrying value of all of its investment properties recognised as at 1 April 2016 measured under IGAAP as the deemed cost of investment properties.                                                                                                                                                 </t>
  </si>
  <si>
    <t xml:space="preserve">Depreciation </t>
  </si>
  <si>
    <t>Depreciation is provided on a pro-rata basis on the Written down value (WDV) method based on useful life as estimated by the Management and aligned to Schedule II to the Companies Act, 2013 in order to reflect the actual usage of assets. Depreciation on assets acquired under finance lease is spread over the lease period or useful life, whichever is shorter.</t>
  </si>
  <si>
    <t xml:space="preserve">Intangible assets acquired are measured on initial recognition at cost. Following initial recognition, intangible assets are carried at cost less any accumulated amortisation and accumulated impairment losses. 
</t>
  </si>
  <si>
    <t xml:space="preserve">The useful lives of intangible assets are assessed as either finite or indefinite. The Company currently does not have any intangible assets with indefinite useful life. Intangible assets are amortised over the useful economic life and assessed for impairment whenever there is an indication that the intangible asset may be impaired. The amortisation period and the amortisation method for an intangible asset are reviewed at least at the end of each reporting period. Changes in the expected useful life or the expected pattern of consumption of future economic benefits embodied in the asset are considered to modify the amortisation period or method, as appropriate, and are treated as changes in accounting estimates. The amortisation expense on intangible assets is recognised in the statement of profit and loss unless such expenditure forms part of carrying value of another asset. </t>
  </si>
  <si>
    <t xml:space="preserve">Gains or losses arising from derecognition of an intangible asset are measured as the difference between the net disposal proceeds and the carrying amount of the asset and are recognised in the statement of profit and loss when the asset is derecognised. </t>
  </si>
  <si>
    <t>On transition to Ind AS, the Company has elected to continue with the carrying value of all of its intangible assets recognised as at 1 April 2016 measured as per the previous GAAP (Indian GAAP) and use that carrying value as the deemed cost of the intangible assets.</t>
  </si>
  <si>
    <t>Intangible assets are amortised on a Straight Line basis over their estimated useful lives. The amortisation period and the amortisation method are reviewed at least at each financial year end. If the expected useful life of the asset is significantly different from previous estimates, the amortisation period is changed accordingly.</t>
  </si>
  <si>
    <t>(d)</t>
  </si>
  <si>
    <t xml:space="preserve">Financial instruments </t>
  </si>
  <si>
    <t xml:space="preserve">A financial instrument is any contract that gives rise to a financial asset of one entity and a financial liability or equity instrument of another entity. </t>
  </si>
  <si>
    <t xml:space="preserve">Financial assets </t>
  </si>
  <si>
    <t xml:space="preserve">Initial recognition and measurement </t>
  </si>
  <si>
    <t xml:space="preserve">All financial assets are recognised initially at fair value plus, in the case of financial assets not recorded at fair value through statement of profit and loss, transaction costs that are attributable to the acquisition of the financial asset. Purchases or sales of financial assets that require delivery of assets within a time frame established by regulation or convention in the market place (regular way trades) are recognised on the trade date, i.e., the date that the Company commits to purchase or sell the asset. </t>
  </si>
  <si>
    <t xml:space="preserve">Subsequent measurement </t>
  </si>
  <si>
    <t>Subsequent measurement of financial assets is described below -</t>
  </si>
  <si>
    <t xml:space="preserve">Debt instruments at amortised cost </t>
  </si>
  <si>
    <t xml:space="preserve">A 'debt instrument' is measured at the amortised cost if both the following conditions are met: </t>
  </si>
  <si>
    <t xml:space="preserve">The asset is held within a business model whose objective is to hold assets for collecting contractual  cash flows, and </t>
  </si>
  <si>
    <t xml:space="preserve">Contractual terms of the asset give rise on specified dates to cash flows that are solely payments of  principal and interest (SPPI) on the principal amount outstanding. </t>
  </si>
  <si>
    <t xml:space="preserve">
</t>
  </si>
  <si>
    <t xml:space="preserve">After initial measurement, such financial assets are subsequently measured at amortised cost using the effective interest rate (EIR) method. Amortised cost is calculated by taking into account any discount or premium on acquisition and fees or costs that are an integral part of the EIR. The EIR amortisation is included in finance income in the statement of profit and loss. The losses arising from impairment are recognised in the statement of profit and loss. This category generally applies to trade and other receivables. 
</t>
  </si>
  <si>
    <t xml:space="preserve">Debt instrument at FVTOCI </t>
  </si>
  <si>
    <t xml:space="preserve">A ‘debt instrument’ is classified as at the FVTOCI if both of the following criteria are met: </t>
  </si>
  <si>
    <t>The objective of the business model is achieved both by collecting contractual cash flows and selling the financial assets, and</t>
  </si>
  <si>
    <t>The asset’s contractual cash flows represent SPPI.</t>
  </si>
  <si>
    <t xml:space="preserve">Debt instruments included within the FVTOCI category are measured initially as well as at each reporting date at fair value. Fair value movements are recognized in the other comprehensive income (OCI). However, the Company recognizes interest income, impairment losses &amp; reversals and foreign exchange gain or loss in the statement of profit and loss. On derecognition of the asset, cumulative gain or loss previously recognised in OCI is reclassified from the equity to statement of profit and loss. Interest earned while holding FVTOCI debt instrument is reported as interest income using the EIR method. 
</t>
  </si>
  <si>
    <t xml:space="preserve">Debt instrument at FVTPL </t>
  </si>
  <si>
    <t xml:space="preserve">FVTPL is a residual category for debt instruments. Any debt instrument, which does not meet the criteria for categorization as at amortized cost or as FVTOCI, is classified as at FVTPL. 
</t>
  </si>
  <si>
    <t xml:space="preserve">In addition, the Company may elect to designate a debt instrument, which otherwise meets amortized cost or FVTOCI criteria, as at FVTPL. However, such election is allowed only if doing so reduces or eliminates a measurement or recognition inconsistency  (referred to as ‘accounting mismatch’). The Company has designated its investments in debt instruments as FVTPL. Debt instruments included within the FVTPL category are measured at fair value with all changes recognized in the statement of profit and loss. 
</t>
  </si>
  <si>
    <t xml:space="preserve">Financial Assets - Derecognition </t>
  </si>
  <si>
    <t xml:space="preserve">A financial asset (or, where applicable, a part of a financial asset or part of a Company of similar financial assets) is primarily derecognised (i.e. removed from the Company’s balance sheet) when: </t>
  </si>
  <si>
    <t xml:space="preserve">The rights to receive cash flows from the asset have expired, or </t>
  </si>
  <si>
    <t xml:space="preserve">The Company has transferred its rights to receive cash flows from the asset or has assumed an  obligation to pay the received cash flows in full without material delay to a third party under a ‘pass-  through’ arrangement; and either (a) the Company has transferred substantially all the risks and  rewards of the asset, or (b) the Company has neither transferred nor retained substantially all the risks and rewards of the asset, but has transferred control of the asset. </t>
  </si>
  <si>
    <t xml:space="preserve">When the Company has transferred its rights to receive cash flows from an asset or has entered into a pass-through arrangement, it evaluates if and to what extent it has retained the risks and rewards of ownership. When it has neither transferred nor retained substantially all of the risks and rewards of the asset, nor transferred control of the asset, the Company continues to recognise the transferred asset to the extent of the Company’s continuing involvement. In that case, the Company also recognises an associated liability. The transferred asset and the associated liability are measured on a basis that reflects the rights and obligations that the Company has retained. Continuing involvement that takes the form of a guarantee over the transferred asset is measured at the lower of the original carrying amount of the asset and the maximum amount of consideration that the Company could be required to repay.  </t>
  </si>
  <si>
    <t xml:space="preserve">Impairment of financial assets </t>
  </si>
  <si>
    <t xml:space="preserve">In accordance with Ind AS 109, the Company applies expected credit loss (ECL) model for measurement and recognition of impairment loss on the financial assets that are debt instruments, and are measured at amortised cost e.g., loans, debt securities, deposits and trade receivables or any contractual right to receive cash or another financial asset that result from transactions that are within the scope of Ind AS 18. 
</t>
  </si>
  <si>
    <t xml:space="preserve">The Company follows 'simplified approach' for recognition of impairment loss allowance on trade receivables. The application of simplified approach does not require the Company to track changes in credit risk. Rather, it recognises impairment loss allowance based on lifetime ECLs at each reporting date, right from its initial recognition. </t>
  </si>
  <si>
    <t xml:space="preserve">For recognition of impairment loss on other financial assets and risk exposure, the Company determines that whether there has been a significant increase in the credit risk since initial recognition. If credit risk  has not increased significantly, 12-month ECL is used to provide for impairment loss. However, if credit risk has increased significantly, lifetime ECL is used. If, in a subsequent period, credit quality of the instrument improves such that there is no longer a significant increase in credit risk since initial recognition, the Company reverts to recognising impairment loss allowance based on 12-month ECL. 
</t>
  </si>
  <si>
    <t xml:space="preserve">Lifetime ECL are the expected credit losses resulting from all possible default events over the expected life of a financial instrument. The 12-month ECL is a portion of the lifetime ECL which results from default events that are possible within 12 months after the reporting date. </t>
  </si>
  <si>
    <t xml:space="preserve">ECL is the difference between all contractual cash flows that are due to the Company in accordance with the contract and all the cash flows that the entity expects to receive (i.e., all cash shortfalls), discounted at the original EIR. </t>
  </si>
  <si>
    <t xml:space="preserve">ECL impairment loss allowance (or reversal) recognized during the period is recognized as income/ expense in the statement of profit and loss. This amount is reflected under the head 'other expenses' in the statement of profit and loss. The balance sheet presentation for various financial instruments is described below: </t>
  </si>
  <si>
    <t xml:space="preserve">Financial assets measured as at amortised cost: ECL is presented as an allowance, i.e., as an integral  part of the measurement of those assets in the balance sheet. The allowance reduces the net carrying  amount. Until the asset meets write-off criteria, the Company does not reduce impairment allowance  from the gross carrying amount.
</t>
  </si>
  <si>
    <t xml:space="preserve">Debt instruments measured at FVTPL: Since financial assets are already reflected at fair value,  impairment allowance is not further reduced from its value. The change in fair value is taken to the  statement of Profit and Loss. </t>
  </si>
  <si>
    <t xml:space="preserve">Debt instruments measured at FVTOCI: Since financial assets are already reflected at fair value,  impairment allowance is not further reduced from its value. Rather, ECL amount is presented as 'accumulated impairment amount' in the OCI. '
</t>
  </si>
  <si>
    <t xml:space="preserve">The Company does not have any purchased or originated credit-impaired (POCI) financial assets, i.e., financial assets which are credit impaired on purchase/ origination. </t>
  </si>
  <si>
    <t xml:space="preserve">Financial liabilities - Recognition and measurement </t>
  </si>
  <si>
    <t xml:space="preserve">Financial liabilities are classified, at initial recognition, as financial liabilities at fair value through statement of profit and loss, loans and borrowings, payables, or as derivatives designated as hedging instruments in an effective hedge, as appropriate. </t>
  </si>
  <si>
    <t xml:space="preserve">All financial liabilities are recognised initially at fair value and, in the case of loans and borrowings and payables, net of directly attributable transaction costs. 
</t>
  </si>
  <si>
    <t xml:space="preserve">The Company’s financial liabilities include trade and other payables, loans and borrowings including bank overdrafts, financial guarantee contracts and derivative financial instruments. </t>
  </si>
  <si>
    <t xml:space="preserve">The measurement of financial liabilities depends on their classification, as described below: </t>
  </si>
  <si>
    <t xml:space="preserve">Financial liabilities at fair value through statement of profit and loss </t>
  </si>
  <si>
    <t xml:space="preserve">Financial liabilities at fair value through statement of profit and loss include financial liabilities held for trading and financial liabilities designated upon initial recognition as at fair value through statement of profit and loss. Financial liabilities are classified as held for trading if they are incurred for the purpose of repurchasing in the near term. This category also includes derivative financial instruments entered into by the Company that are not designated as hedging instruments in hedge relationships as defined by Ind AS 109. Separated embedded derivatives are also classified as held for trading unless they are designated as effective hedging instruments. </t>
  </si>
  <si>
    <t xml:space="preserve">Gains or losses on liabilities held for trading are recognised in the statement of profit and loss. </t>
  </si>
  <si>
    <t xml:space="preserve">Financial liabilities designated upon initial recognition at fair value through statement of profit and loss are designated as such at the initial date of recognition, and only if the criteria in Ind AS 109 are satisfied. For liabilities designated as FVTPL, fair value gains/ losses attributable to changes in own credit risk are recognized in OCI. These gains/ losses are not subsequently transferred to statement of profit and loss. However, the Company may transfer the cumulative gain or loss within equity. All other changes in fair value of such liability are recognised in the statement of profit and loss. The Company has not designated any financial liability as at fair value through statement of profit and loss. </t>
  </si>
  <si>
    <t xml:space="preserve">Loans and Borrowings </t>
  </si>
  <si>
    <t xml:space="preserve">After initial recognition, interest-bearing loans and borrowings are subsequently measured at amortised cost using the effective interest rate (hereinafter referred as EIR) method. Gains and losses are recognised in statement of profit and  loss when the liabilities are derecognised as well as through the EIR amortisation process. </t>
  </si>
  <si>
    <t xml:space="preserve">Amortised cost is calculated by taking into account any discount or premium on acquisition and fees or costs that are an integral part of the EIR. The EIR amortisation is included as finance costs in the statement of profit and loss. </t>
  </si>
  <si>
    <t xml:space="preserve">Financial liabilities - Derecognition </t>
  </si>
  <si>
    <t xml:space="preserve">A financial liability is derecognised when the obligation under the liability is discharged or cancelled or expires. When an existing financial liability is replaced by another from the same lender on substantially different terms, or the terms of an existing liability are substantially modified, such an exchange or modification is treated as the derecognition of the original liability and the recognition of a new liability. The difference in the respective carrying amounts is recognised in the statement of profit and loss. 
</t>
  </si>
  <si>
    <t xml:space="preserve">Offsetting of financial instruments </t>
  </si>
  <si>
    <t xml:space="preserve">Financial assets and financial liabilities are offset and the net amount is reported in the balance sheet if there is a currently enforceable legal right to offset the recognised amounts and there is an intention to settle on a net basis, to realise the assets and settle the liabilities simultaneously. </t>
  </si>
  <si>
    <t xml:space="preserve">Cash and cash equivalent in the balance sheet comprise cash at banks and on hand and short-term deposits with an original maturity of three months or less, which are subject to an insignificant risk of changes in value. </t>
  </si>
  <si>
    <t xml:space="preserve">For the purpose of the statement of cash flows, cash and cash equivalents consist of cash and short-term deposits, as defined above. </t>
  </si>
  <si>
    <t>(f)</t>
  </si>
  <si>
    <t>Borrowing costs</t>
  </si>
  <si>
    <t xml:space="preserve">Borrowing costs directly attributable to the acquisition, construction or production of an asset that necessarily takes a substantial period of time to get ready for its intended use or sale are capitalised as part of the cost of the asset. All other borrowing costs are expensed in the period in which they occur. Borrowing costs consist of interest and other costs that an entity incurs in connection with the borrowing of funds. Borrowing cost also includes exchange differences to the extent regarded as an adjustment to the borrowing costs. 
</t>
  </si>
  <si>
    <t>(g)</t>
  </si>
  <si>
    <t xml:space="preserve">Impairment of non-financial assets </t>
  </si>
  <si>
    <t>The Company assesses, at each reporting date, whether there is an indication that an asset may be impaired. If any indication exists, or when annual impairment testing for an asset is required, the Company estimates the asset’s recoverable amount. An asset’s recoverable amount is the higher of an asset’s or cash-generating unit’s (CGU) fair value less costs of disposal and its value in use. Recoverable amount is determined for an individual asset, unless the asset does not generate cash inflows that are largely independent of those from other assets or Companys of assets. When the carrying amount of an asset or CGU exceeds its recoverable amount, the asset is considered impaired and is written down to its recoverable amount.</t>
  </si>
  <si>
    <t>In assessing value in use, the estimated future cash flows are discounted to their present value using a post-tax discount rate that reflects current market assessments of the time value of money and the risks specific to the asset. In determining fair value less costs of disposal, recent market transactions are taken into account. If no such transactions can be identified, an appropriate valuation model is used. These calculations are corroborated by valuation multiples, quoted share prices for publicly traded companies or other available fair value indicators.</t>
  </si>
  <si>
    <t>The Company bases its impairment calculation on detailed budgets and forecast calculations, which are prepared separately for each of the Company’s CGUs to which the individual assets are allocated.</t>
  </si>
  <si>
    <t xml:space="preserve">Impairment losses of continuing operations, including impairment on inventories, are recognised in the statement of profit and loss. </t>
  </si>
  <si>
    <t xml:space="preserve">An assessment is made at each reporting date to determine whether there is an indication that previously recognised impairment losses no longer exist or have decreased. If such indication exists, the Company estimates the asset’s or CGU’s recoverable amount. A previously recognised impairment loss is reversed only if there has been a change in the assumptions used to determine the asset’s recoverable amount since the last impairment loss was recognised. The reversal is limited so that the carrying amount of the asset does  not  exceed  its  recoverable amount,  nor  exceed  the  carrying  amount  that  would  have  been determined, net of depreciation, had no impairment loss been recognised for the asset in prior years. Such reversal is recognised in the statement of profit and loss. 
</t>
  </si>
  <si>
    <t>(h)</t>
  </si>
  <si>
    <t>Government grants</t>
  </si>
  <si>
    <t xml:space="preserve">Government grants are recognised where there is reasonable assurance that the grant will be received and all attached conditions will be complied with. When the grant relates to an expense item, it is recognised as income on a systematic basis over the periods that the related costs, for which it is intended to compensate, are expensed. When the grant relates to an asset, it is treated as deferred income and released to the statement of profit and loss over the expected useful lives of the assets concerned. When the Company receives grants of non-monetary assets, the asset and the grant are recorded at fair value amounts and released to statement of profit and loss over the expected useful life in a pattern of consumption of the benefit of the underlying asset. When loans or similar assistance are provided by  governments or related institutions, with an interest rate below the current applicable market rate, the effect of this favorable interest is regarded as a government grant. The loan or assistance is initially recognised and measured at fair value and the government grant is measured as the difference between the initial carrying value of the loan and the proceeds received. The loan is subsequently measured as per the accounting policy applicable to financial liabilities. 
</t>
  </si>
  <si>
    <t xml:space="preserve">Inventories are valued at the lower of cost and net realisable value except scrap and by products which are valued at net realisable value. </t>
  </si>
  <si>
    <t xml:space="preserve">Costs incurred in bringing the inventory to its present location and condition are accounted for as follows: </t>
  </si>
  <si>
    <t xml:space="preserve">Raw materials: cost includes cost of purchase and other costs incurred in bringing the inventories to  their present location and condition. Cost is determined on first in first out (FIFO) basis. </t>
  </si>
  <si>
    <t xml:space="preserve">Finished goods and work in progress: cost includes cost of direct materials and labour and a  proportion of manufacturing overheads based on the normal operating capacity, but excluding  borrowing costs. Cost is determined on weighted average basis.
</t>
  </si>
  <si>
    <t xml:space="preserve">Net realisable value is the estimated selling price in the ordinary course of business, less estimated costs of completion and the estimated costs necessary to make the sale. </t>
  </si>
  <si>
    <t xml:space="preserve">Obsolete inventories are identified and written down to net realisable value. Slow moving and defective inventories are identified and provided to net realisable value. </t>
  </si>
  <si>
    <t>(j)</t>
  </si>
  <si>
    <t>Taxation</t>
  </si>
  <si>
    <t xml:space="preserve">Current income tax </t>
  </si>
  <si>
    <t xml:space="preserve">Current income tax relating to items recognised outside profit or loss is recognised outside profit or loss (either in other comprehensive income or in equity). Current tax items are recognised in correlation to the underlying transaction either in OCI or directly in equity. Management periodically evaluates positions taken in the tax returns with respect to situations in which applicable tax regulations are subject to interpretation and establishes provisions where appropriate. </t>
  </si>
  <si>
    <t xml:space="preserve">Deferred tax </t>
  </si>
  <si>
    <t xml:space="preserve">Deferred tax is provided using the liability method on temporary differences between the tax bases of assets and liabilities and their carrying amounts for financial reporting purposes at the reporting date. Deferred tax liabilities are recognised for all taxable temporary differences except when it is probable that the temporary differences will not reverse in the foreseeable future. </t>
  </si>
  <si>
    <t xml:space="preserve">Deferred tax assets are recognised for all deductible temporary differences, the carry forward of unused tax credits and any unused tax losses. Deferred tax assets are recognised to the extent that it is probable that taxable profit will be available against which the deductible temporary differences, and the carry forward of unused tax credits and unused tax losses can be utilized. 
</t>
  </si>
  <si>
    <t>The carrying amount of deferred tax assets is reviewed at each reporting date and reduced to the extent that it is no longer probable that sufficient taxable profit will be available to allow all or part of the deferred tax asset to be utilised. Unrecognised deferred tax assets are re-assessed at each reporting date and are recognised to the extent that it has become probable that future taxable profits will allow the deferred tax asset to be recovered.</t>
  </si>
  <si>
    <t xml:space="preserve">Deferred tax assets and liabilities are measured at the tax rates that are expected to apply in the year when the asset is realised or the liability is settled, based on tax rates (and tax laws) that have been enacted or substantively enacted at the reporting date. </t>
  </si>
  <si>
    <t xml:space="preserve">Deferred tax relating to items recognised outside profit or loss is recognised outside profit or loss (either in other comprehensive income or in equity). Deferred tax items are recognised in correlation to the underlying transaction either in OCI or directly in equity. </t>
  </si>
  <si>
    <t>Deferred tax assets and deferred tax liabilities are offset if a legally enforceable right exists to set off current tax assets against current tax liabilities and the deferred taxes relate to the same taxable entity and the same taxation authority.</t>
  </si>
  <si>
    <t xml:space="preserve">Minimum Alternate Tax (MAT) paid in accordance with the tax laws, which gives future economic benefits in the form of adjustment to future income tax liability, is considered as an asset if there is convincing evidence that the Company will pay normal income tax. Accordingly, MAT is recognised as an asset in the Balance Sheet when it is probable that future economic benefit associated with it will flow to the Company. 
</t>
  </si>
  <si>
    <t>(k)</t>
  </si>
  <si>
    <t>Employee benefit schemes</t>
  </si>
  <si>
    <t>(a) Short-term employee benefits</t>
  </si>
  <si>
    <t xml:space="preserve">Employee benefits payable wholly within twelve months of receiving employee services are classified as short-term employee benefits. These benefits include salaries and wages, performance incentives and compensated absences which are expected to occur in next twelve months. The undiscounted amount of short-term employee benefits to be paid in exchange for employee services is recognised as an expense as the related service is rendered by employees. </t>
  </si>
  <si>
    <t xml:space="preserve">Compensated absences: </t>
  </si>
  <si>
    <t xml:space="preserve">Compensated absences accruing to employees and which can be carried to future periods but where there are restrictions on availment or encashment or where the availment or encashment is not expected to occur wholly in the next twelve months, the liability on account of the benefit is determined actuarially using the projected unit credit method. 'Re-measurement  gains  and  losses  arising  from  experience  adjustments  and  changes  in  actuarial assumptions are recognised in the period in which they occur, directly to statement of profit and loss. 
</t>
  </si>
  <si>
    <t xml:space="preserve">(b) Post-employment benefits </t>
  </si>
  <si>
    <t xml:space="preserve">(i) Defined contribution plan </t>
  </si>
  <si>
    <t xml:space="preserve">Contributions to defined contribution schemes such as contribution to Provident Fund, Superannuation Fund, Employees’ State Insurance Corporation and Labours Welfare Fund are charged as an expense to the Statement of Profit and Loss based on the amount of contribution required to be made as and when services are rendered by the employees. The above benefits are classified as Defined Contribution Schemes as the Company has no further defined obligations beyond the monthly contributions.  The Company makes specified monthly contributions towards employee provident fund to Government administered provident fund scheme which is a defined contribution plan.                                                                                                              </t>
  </si>
  <si>
    <t xml:space="preserve">(ii) Defined benefit plans </t>
  </si>
  <si>
    <t xml:space="preserve">Gratuity </t>
  </si>
  <si>
    <t xml:space="preserve">The present value of the defined benefit obligation is determined by discounting the estimated future cash outflows by reference to market yields at the end of the reporting period on government bonds that have terms approximating to the terms of the related obligation. The net interest cost is calculated by applying the discount rate to the net balance of the defined benefit obligation and the fair value of plan assets if any. This cost is included in employee benefit expense in the statement of profit and loss. 
</t>
  </si>
  <si>
    <t xml:space="preserve">The liability or asset recognised in the balance sheet in respect of gratuity plan is the present value of the defined benefit obligation at the end of the reporting period less the fair value of plan assets if any. The defined benefit obligation is calculated annually by actuaries using the projected unit credit method. 
</t>
  </si>
  <si>
    <t xml:space="preserve">Re-measurement  gains  and  losses  arising  from  experience  adjustments  and  changes  in  actuarial assumptions are recognised in the period in which they occur, directly in other comprehensive income and are never reclassified to profit or loss. Changes in the present value of the defined benefit obligation resulting from plan amendments or curtailments are recognised immediately in the statement of profit and loss as past service cost. </t>
  </si>
  <si>
    <t xml:space="preserve">Provident Fund </t>
  </si>
  <si>
    <t>Eligible employees of the Company receive benefits from a provident fund, which is a defined contribution plan. Both the eligible employee and the Company make monthly contributions to the provident fund plan equal to a specified percentage of the covered employee's salary. Contributions to defined contribution schemes are charged as an expense based on the amount of contribution required to be made as and when services are rendered by the employees. The Company has no further defined obligations beyond the monthly contributions.</t>
  </si>
  <si>
    <t>(l)</t>
  </si>
  <si>
    <t xml:space="preserve">Provision for liabilities and charges, Contingent liabilities and contingent assets </t>
  </si>
  <si>
    <t xml:space="preserve">The assessments undertaken in recognising provisions and contingencies have been made in accordance with the applicable Ind AS. </t>
  </si>
  <si>
    <t xml:space="preserve">Provisions represent liabilities to the Company for which the amount or timing is uncertain. Provisions are recognized when the Company has a present obligation (legal or constructive), as a result of past events, and it is probable that an outflow of resources, that can be reliably estimated, will be required to settle such an obligation. If the effect of the time value of money is material, provisions are determined by discounting the expected future cash flows to net present value using an appropriate pre-tax discount rate that reflects current market assessments of the time value of money and, where appropriate, the risks specific to the liability. Unwinding of the discount is recognized in the statement of profit and loss as a finance cost. Provisions are reviewed at each reporting date and are adjusted to reflect the current best estimate. 
</t>
  </si>
  <si>
    <t xml:space="preserve">Contingent assets are not recognised but disclosed in the financial statements when an inflow of economic benefits is probable. </t>
  </si>
  <si>
    <t>(m)</t>
  </si>
  <si>
    <t>Foreign currency transactions</t>
  </si>
  <si>
    <t xml:space="preserve">In the financial statements of the Company , transactions in currencies other than the functional currency are translated into the functional currency at the exchange rates ruling at the date of the transaction. Monetary assets and liabilities denominated in other currencies are translated into the functional currency  at  exchange  rates  prevailing  on  the  reporting  date.  Non-monetary  assets  and  liabilities denominated in other currencies and measured at historical cost or fair value are translated at the exchange rates prevailing on the dates on which such values were determined. </t>
  </si>
  <si>
    <t>(n)</t>
  </si>
  <si>
    <t xml:space="preserve">The Company presents basic and diluted earnings per share (“EPS”) data for its equity shares. Basic EPS is calculated by dividing the profit and loss attributable to equity shareholders of the Company by the weighted average number of equity shares outstanding during the period. Diluted EPS is determined by adjusting the profit and loss attributable to equity shareholders and the weighted average number of equity shares outstanding for the effects of all dilutive potential equity shares. </t>
  </si>
  <si>
    <t>(o)</t>
  </si>
  <si>
    <t>Operating Segments</t>
  </si>
  <si>
    <t>Operating segments are reported in a manner consistent with the internal reporting provided to the chief operating decision-maker (CODM). The CODM, who is responsible for allocating resources and assessing performance of the operating segments.</t>
  </si>
  <si>
    <t>Segments are organised based on business which have similar economic characteristics as well as exhibit similarities in nature of products and services offered, the nature of production processes, the type and class of customer and distribution methods.</t>
  </si>
  <si>
    <t xml:space="preserve">“Unallocated Corporate Expenses” include revenue and expenses that relate to initiatives/costs attributable to the enterprise as a whole and are not attributable to segments. </t>
  </si>
  <si>
    <t>(p)</t>
  </si>
  <si>
    <t>The Company as lessee</t>
  </si>
  <si>
    <t xml:space="preserve"> </t>
  </si>
  <si>
    <t>The Company as a Lessor</t>
  </si>
  <si>
    <t>Leases in which the Company does not transfer substantially all the risks and rewards of ownership of an asset are classified as operating leases. Where the Company is a lessor under an operating lease, the asset is capitalised within property, plant and equipment and depreciated over its useful economic life. Payments received under operating leases are recognised in the statement of profit and loss on a straight-line basis over the term of the lease, unless the payments to the lessor are structured to increase in line with expected general inflation to compensate for the inflationary cost increases.</t>
  </si>
  <si>
    <t>(q)</t>
  </si>
  <si>
    <t>(r)</t>
  </si>
  <si>
    <t>Product Warranty</t>
  </si>
  <si>
    <t>In respect of warranties given by the Company on sale of certain products, the estimated costs of these warranties are accrued at the time of sale. The estimates for accounting of warranties are reviewed and revisions are made as required.</t>
  </si>
  <si>
    <t>(s)</t>
  </si>
  <si>
    <t xml:space="preserve">Standard issued but not yet effective </t>
  </si>
  <si>
    <t>Ind AS 115</t>
  </si>
  <si>
    <t>On 28 March 2018, the Ministry of Corporate Affairs (MCA), in consultation with the National Advisory Committee on Accounting Standards, has issued Companies (Indian Accounting Standards) Amendment Rules, 2018 to amend the Companies (Indian Accounting Standards) Rules, 2015. This results in introduction of Ind AS 115, Revenue from Contracts with customers, that comprehensively revamps the revenue recognition guidance. Consequently, Ind AS 18 and Ind AS 11 have been withdrawn, and other standards are suitably modified.  The amendment is applicable to the Company from 01 April 2018. The Company is currently assessing the potential impact of this amendment.</t>
  </si>
  <si>
    <t>Appendix B of Ind AS 21</t>
  </si>
  <si>
    <t>This appendix is for determining the date of transaction where the entity has received / paid any foreign currency advances. This appendix states that the date of transaction shall be the date on which such advance is received or paid. Therefore these non-monetary advances will not be restated at the time of their adjustment against the particular transaction. The Company is currently assessing the potential impact of this amendment.</t>
  </si>
  <si>
    <t xml:space="preserve">Company information </t>
  </si>
  <si>
    <t>Year Of sale</t>
  </si>
  <si>
    <t>2015-16</t>
  </si>
  <si>
    <t>2016-17</t>
  </si>
  <si>
    <t>Proceeds from Short term borrowings</t>
  </si>
  <si>
    <t>Cost 90%</t>
  </si>
  <si>
    <t>Deposits</t>
  </si>
  <si>
    <t>Financial Assets - Non Current</t>
  </si>
  <si>
    <t>Fully Compulsorily Convertible debentures</t>
  </si>
  <si>
    <t>The fair values of security deposits are based on discounted cash flows using a discount rate being incremental borrowing rate (refer note III below)</t>
  </si>
  <si>
    <t>iii) Weighted average number of potential equity shares on account of employee stock options</t>
  </si>
  <si>
    <t>(iii) Other current financial assets</t>
  </si>
  <si>
    <t>Number of Shares</t>
  </si>
  <si>
    <t>9.5% Compulsory convertible debentures ##</t>
  </si>
  <si>
    <t>Other expnses</t>
  </si>
  <si>
    <t>Names of related parties and description of relationship</t>
  </si>
  <si>
    <t>Enterprise where control exists</t>
  </si>
  <si>
    <t>i)</t>
  </si>
  <si>
    <t>Holding Company</t>
  </si>
  <si>
    <t>J. B. Advani &amp; Company Pvt Ltd.</t>
  </si>
  <si>
    <t>Others related party withwhom transactions have been taken place during the year</t>
  </si>
  <si>
    <t>Ador Multiproduct Limited</t>
  </si>
  <si>
    <t>ii)</t>
  </si>
  <si>
    <t>3D Future Technologies Pvt. Ltd.</t>
  </si>
  <si>
    <t>iii)</t>
  </si>
  <si>
    <t xml:space="preserve">Ador Powertron Ltd. </t>
  </si>
  <si>
    <t>iv)</t>
  </si>
  <si>
    <t>v)</t>
  </si>
  <si>
    <t xml:space="preserve">Ador Fontech Ltd. </t>
  </si>
  <si>
    <t>vi)</t>
  </si>
  <si>
    <t>Aditya Malkani</t>
  </si>
  <si>
    <t>vii)</t>
  </si>
  <si>
    <t>Shirin Neterwala Malkani</t>
  </si>
  <si>
    <t>Key management personnel (KMP)</t>
  </si>
  <si>
    <t>None</t>
  </si>
  <si>
    <t>Transactions with related parties for the year are as follows:</t>
  </si>
  <si>
    <t>Transaction during the year</t>
  </si>
  <si>
    <t>Ador Multi Products Ltd.</t>
  </si>
  <si>
    <t>J. B. Advani &amp; Company Pvt. Ltd.</t>
  </si>
  <si>
    <t>Ador Powertron Ltd.</t>
  </si>
  <si>
    <t xml:space="preserve">Aditya Malkani </t>
  </si>
  <si>
    <t>Loans &amp; Advances from:</t>
  </si>
  <si>
    <t>Repayment of Loans &amp; Advances;</t>
  </si>
  <si>
    <t>Balances at the year end :</t>
  </si>
  <si>
    <t>Outstanding balance included in other current liabilities</t>
  </si>
  <si>
    <t>Reshma Lalwani</t>
  </si>
  <si>
    <t>Director</t>
  </si>
  <si>
    <t>Grant date</t>
  </si>
  <si>
    <t>Options granted and outstanding at the end of the year</t>
  </si>
  <si>
    <t>no. of options vested</t>
  </si>
  <si>
    <t>Profit/(loss) for the year</t>
  </si>
  <si>
    <t>Employee share options (net)</t>
  </si>
  <si>
    <t>Remeasurement of defined employee benefit plan</t>
  </si>
  <si>
    <t>the amount of interest paid by the buyer in terms section 16 of the Micro, Small and Medium Enterprises Development  Act, 2006 along with the amounts of the payment made to the supplier beyond the appointed day during each accounting year;</t>
  </si>
  <si>
    <t xml:space="preserve">The amount of interest accrued and remaining unpaid at the end of each accounting year; and </t>
  </si>
  <si>
    <t>the principal amount and the interest due thereon (to be shown separately) remaining unpaid to any supplier as at the end of each accounting year;</t>
  </si>
  <si>
    <t>the amount of further interest remaining due and payable even in the succeeding year, until such date when the interest dues as above are actually paid to the small enterprise, for the purpose of disallowance as a deductible expenditure under section 23 of  the Micro, Small and Medium Enterprises Development (MSMED) Act, 2006;</t>
  </si>
  <si>
    <t>Details relating to Micro, Small and Medium Enterprises:</t>
  </si>
  <si>
    <t>Employee Benefits</t>
  </si>
  <si>
    <t>(ii) Defined Benefit Plan:</t>
  </si>
  <si>
    <t>Liability towards long term defined employee benefits - leave encashment and gratuity are determined on actuarial valuation by independent actuaries at the year-end by using Projected Unit Credit method. Liability so determined is not funded.</t>
  </si>
  <si>
    <t>A. Movement in net defined benefit (asset) liability</t>
  </si>
  <si>
    <t>April 1, 
2015</t>
  </si>
  <si>
    <t>Opening balance</t>
  </si>
  <si>
    <t>Included in profit or loss</t>
  </si>
  <si>
    <t>Current service cost</t>
  </si>
  <si>
    <t xml:space="preserve">Interest cost </t>
  </si>
  <si>
    <t>Included in OCI</t>
  </si>
  <si>
    <t>Remeasurement loss or (gain):</t>
  </si>
  <si>
    <t>Actuarial loss or (gain) arising from:</t>
  </si>
  <si>
    <t>Financial assumptions</t>
  </si>
  <si>
    <t>Experience adjustment</t>
  </si>
  <si>
    <t>Other</t>
  </si>
  <si>
    <t>Liability Taken Over of Employees</t>
  </si>
  <si>
    <t>Contributions paid by the employer</t>
  </si>
  <si>
    <t>Benefits paid</t>
  </si>
  <si>
    <t>Closing balance</t>
  </si>
  <si>
    <t>B. Defined benefit obligations</t>
  </si>
  <si>
    <t>i. Actuarial assumptions</t>
  </si>
  <si>
    <t>The following were the weighted average assumptions used to determine benefit obligations at the reporting date.</t>
  </si>
  <si>
    <t>Salary escalation rate</t>
  </si>
  <si>
    <t>Employee turnover rate</t>
  </si>
  <si>
    <t>Age(Years)</t>
  </si>
  <si>
    <t>21-30</t>
  </si>
  <si>
    <t>31-40</t>
  </si>
  <si>
    <t>41-59</t>
  </si>
  <si>
    <t>Mortality rate during employment</t>
  </si>
  <si>
    <t>ii. Sensitivity analysis</t>
  </si>
  <si>
    <t>Reasonably possible changes at the reporting date to one of the relevant actuarial assumptions, holding other assumptions constant, would have affected the defined benefit obligation by the amounts shown below.</t>
  </si>
  <si>
    <t>Increase</t>
  </si>
  <si>
    <t xml:space="preserve">Decrease </t>
  </si>
  <si>
    <t>Discount rate (0.5% movement)</t>
  </si>
  <si>
    <t>Future salary growth (0.5% movement)</t>
  </si>
  <si>
    <t>iii. Expected future contributions to defined benefit plan</t>
  </si>
  <si>
    <t>1st following year (next reporting period)</t>
  </si>
  <si>
    <t xml:space="preserve">2nd following year </t>
  </si>
  <si>
    <t xml:space="preserve">3rd following year </t>
  </si>
  <si>
    <t xml:space="preserve">4th following year </t>
  </si>
  <si>
    <t xml:space="preserve">5th following year </t>
  </si>
  <si>
    <t>6th following year</t>
  </si>
  <si>
    <t>7th following year</t>
  </si>
  <si>
    <t>8th following year</t>
  </si>
  <si>
    <t>9th following year</t>
  </si>
  <si>
    <t>10th and following years</t>
  </si>
  <si>
    <t>Other long term retirement benefit</t>
  </si>
  <si>
    <t>Related Party Disclosures :</t>
  </si>
  <si>
    <t xml:space="preserve">Ador welding Ltd. </t>
  </si>
  <si>
    <t xml:space="preserve"> Relatives of Key Management Personnel where transactions have taken place</t>
  </si>
  <si>
    <r>
      <rPr>
        <b/>
        <sz val="11"/>
        <rFont val="Garamond"/>
        <family val="1"/>
      </rPr>
      <t>(i) Defined Contribution Plans:</t>
    </r>
    <r>
      <rPr>
        <sz val="11"/>
        <rFont val="Garamond"/>
        <family val="1"/>
      </rPr>
      <t xml:space="preserve">
Provident Fund is a defined contribution scheme and the contributions as required by the statute are charged to the Statement of Profit and Loss as incurred. The contributions are made to a government administered Provident Fund.</t>
    </r>
  </si>
  <si>
    <r>
      <rPr>
        <b/>
        <sz val="11"/>
        <rFont val="Garamond"/>
        <family val="1"/>
      </rPr>
      <t xml:space="preserve">Discount rate :- </t>
    </r>
    <r>
      <rPr>
        <sz val="11"/>
        <rFont val="Garamond"/>
        <family val="1"/>
      </rPr>
      <t xml:space="preserve"> The discount rate is based on the prevailing market yields of Indian government securities at the end of the reporting period for the estimated terms of obligations </t>
    </r>
  </si>
  <si>
    <r>
      <rPr>
        <b/>
        <sz val="11"/>
        <rFont val="Garamond"/>
        <family val="1"/>
      </rPr>
      <t xml:space="preserve">Salary escalation rate:-  </t>
    </r>
    <r>
      <rPr>
        <sz val="11"/>
        <rFont val="Garamond"/>
        <family val="1"/>
      </rPr>
      <t>The estimates of future salary increases take into account the inflation, seniority, promotion and other relevant factors, such as supply and demand in the employment market.</t>
    </r>
  </si>
  <si>
    <t>Changes in demographic assumptions</t>
  </si>
  <si>
    <t>The fair values of the financial assets and liabilities are included at the amount that would be received to sell an asset or paid to transfer a liability in an orderly transaction between market participants at the measurement date.
This section explains the judgements and estimates made in determining the fair values of the financial instruments that are 
(a) recognised and measured at fair value and 
(b) measured at amortised cost and for which fair values are disclosed in the financial statements.
 To provide an indication about the reliability of the inputs used in determining fair value, the group has classified its financial instruments into the three levels prescribed under the accounting standard. An explanation of each level follows underneath the table.</t>
  </si>
  <si>
    <t>Contingent liabilities and Commitments</t>
  </si>
  <si>
    <t>(a) Contingent liabilities</t>
  </si>
  <si>
    <t>There is no contingent liabilities of the company for the reporting periods.</t>
  </si>
  <si>
    <t>(b) Commitments</t>
  </si>
  <si>
    <t>Segment Information</t>
  </si>
  <si>
    <t>The Company is engaged in the business of trading of personal care products. The performance of the Company is assessed and reviewed by the Chief Operating Decision Maker (‘CODM’) as a single operating segment and accordingly "Personal care products" is the only operating segment.</t>
  </si>
  <si>
    <t>The company is domiciled in India. The amount of it's revenue from external customer broken down by location of the customers is shown in table below:</t>
  </si>
  <si>
    <t>(Amount in Rs.)</t>
  </si>
  <si>
    <t>Revenue from external customer</t>
  </si>
  <si>
    <t>India</t>
  </si>
  <si>
    <t>Outside India</t>
  </si>
  <si>
    <t>Total Revenue</t>
  </si>
  <si>
    <t>All Non-current assets of the Company are located in India.</t>
  </si>
  <si>
    <t>Risk analysis</t>
  </si>
  <si>
    <t>Company is exposed to a number of risks in the defined benefit plans. Most significant risks pertaining to defined benefits plans and management estimation of the impact of these risks are as follows:</t>
  </si>
  <si>
    <t>The amount of defined benefit obligation, plan assets, the deficit thereof and the experience adjustments on plan assets and plan liabilities for the current and previous four years are as follows:</t>
  </si>
  <si>
    <t>Salary growth risks</t>
  </si>
  <si>
    <t>Life expectancy / Longevity risks</t>
  </si>
  <si>
    <t>The present value of the defined benefit plan liability is calculated by reference to the best estimates of the mortality of plan participants both during and after their employment. Mortality tables as per Indian Assured Lives Mortality (2006-08) modified Ult. is used for during the employment and post retirement respectively. An increase in the life expectancy of the plan participants will increase the plan's liability. Since the benefits are lump sum in nature the plan is not subject to longevity risks.</t>
  </si>
  <si>
    <t>Interest rate risks</t>
  </si>
  <si>
    <t>A decrease in the bond interest rate will increase the plan liability.</t>
  </si>
  <si>
    <t>Inflation risks</t>
  </si>
  <si>
    <t>Micro and small enterprises</t>
  </si>
  <si>
    <t xml:space="preserve">There are no Micro, Small and Medium Enterprises, to whom the Company owes dues, which are outstanding for more than 45 days as at 31 March 2018. This information as required to be disclosed under the Micro, Small and Medium Enterprises Development Act, 2006, has been determined to the extent such parties have been identified on the basis of information available with the Company. </t>
  </si>
  <si>
    <t>Previous Year Comparative</t>
  </si>
  <si>
    <t>Previous year’s figures have been regrouped/reclassified wherever necessary to correspond with the current year's classification/disclosure.</t>
  </si>
  <si>
    <t>Income tax</t>
  </si>
  <si>
    <t>1908 E-Ventures Private Limited</t>
  </si>
  <si>
    <t xml:space="preserve">Notes forming part of the financial statements </t>
  </si>
  <si>
    <t>1908 E VENTURES PVT LTD.</t>
  </si>
  <si>
    <t>Sr. No.</t>
  </si>
  <si>
    <t>Amount (Rs.)</t>
  </si>
  <si>
    <t>Tax @ 25.75%</t>
  </si>
  <si>
    <t>COMPUTATION FOR ACCOUNTING FOR TAX</t>
  </si>
  <si>
    <t>Items leading to Deferred Tax Assets:</t>
  </si>
  <si>
    <t>as per income tax Act</t>
  </si>
  <si>
    <t xml:space="preserve">Less: </t>
  </si>
  <si>
    <t>as per Companies Act, 2013</t>
  </si>
  <si>
    <t>Reversal of Last Years DTL</t>
  </si>
  <si>
    <t>Items leading to Deferred Tax Asset</t>
  </si>
  <si>
    <t>Op DTA</t>
  </si>
  <si>
    <t>Deduction u/s 35 D (Reversal of DTA)</t>
  </si>
  <si>
    <t>Provision for Bonus</t>
  </si>
  <si>
    <t>Provision for Leave Encashment</t>
  </si>
  <si>
    <t>Unabsorbed Depreciation A Y. 2016-17</t>
  </si>
  <si>
    <t>Unabsorbed Depreciation A Y. 2017-18</t>
  </si>
  <si>
    <t>Unabsorbed Depreciation A Y. 2018-19</t>
  </si>
  <si>
    <t>Carried Forward Losses</t>
  </si>
  <si>
    <t>Losses A.Y. 2016-17</t>
  </si>
  <si>
    <t>Losses A.Y. 2017-18</t>
  </si>
  <si>
    <t>Losses A.Y. 2018-19</t>
  </si>
  <si>
    <t>Net Deferred Tax Assets/(Liability)</t>
  </si>
  <si>
    <t>Deferred Tax Assets:</t>
  </si>
  <si>
    <t>Expenses allowable in subsequents years under law</t>
  </si>
  <si>
    <t>Deferred Tax Liability:</t>
  </si>
  <si>
    <t>Expenses disallowed in earlier years now allowed in payment basis</t>
  </si>
  <si>
    <t>A Y 2016-17</t>
  </si>
  <si>
    <t>A Y 2017-18</t>
  </si>
  <si>
    <t>A Y 2018-19</t>
  </si>
  <si>
    <t xml:space="preserve">Losses </t>
  </si>
  <si>
    <t>IT Dep</t>
  </si>
  <si>
    <t>Bal Fig is  Bus Loss</t>
  </si>
  <si>
    <t>FINANCIAL YEAR 2018-19</t>
  </si>
  <si>
    <t>---A D D I T I O N S---</t>
  </si>
  <si>
    <t>---D E D U C T I O N S---</t>
  </si>
  <si>
    <t>S.No</t>
  </si>
  <si>
    <t>Description/Block of asset</t>
  </si>
  <si>
    <t>Opening WDV</t>
  </si>
  <si>
    <t>Rate</t>
  </si>
  <si>
    <t>180 Days OR more</t>
  </si>
  <si>
    <t>Less Then 180 Days</t>
  </si>
  <si>
    <t>Capital Gain</t>
  </si>
  <si>
    <t>Add. Depreciation</t>
  </si>
  <si>
    <t>Additional Depreciation on Opening Assets</t>
  </si>
  <si>
    <t>Total Depreciation</t>
  </si>
  <si>
    <t>Closing WDV Depreciation</t>
  </si>
  <si>
    <t>Block Nill(Y/N)</t>
  </si>
  <si>
    <t xml:space="preserve">Intangible Assets </t>
  </si>
  <si>
    <t>25 %</t>
  </si>
  <si>
    <t>N</t>
  </si>
  <si>
    <t xml:space="preserve">Furniture and fittings </t>
  </si>
  <si>
    <t>10 %</t>
  </si>
  <si>
    <t>40 %</t>
  </si>
  <si>
    <t xml:space="preserve">Machinery and plant </t>
  </si>
  <si>
    <t>15 %</t>
  </si>
  <si>
    <t>WDV of Fixed Assets as on 31.03.2019</t>
  </si>
  <si>
    <t>Reversal of earlier year excess deferred tax created on losses</t>
  </si>
  <si>
    <t>Opening Balance - Assets/ (Liability) as on 31/03/2018</t>
  </si>
  <si>
    <t>Movement in Deferred tax during the year</t>
  </si>
  <si>
    <t>Net Deferred Tax Assets/ (Liability) as on 31/03/2019</t>
  </si>
  <si>
    <t>Brought forward depreciation / Unabsorbed losses</t>
  </si>
  <si>
    <t>DTA created in 15-16</t>
  </si>
  <si>
    <t>Reversal of DTA</t>
  </si>
  <si>
    <t>FY 16-17</t>
  </si>
  <si>
    <t>FY 17-18</t>
  </si>
  <si>
    <t>FY 18-19</t>
  </si>
  <si>
    <t>FY 19-20</t>
  </si>
  <si>
    <t>Incorporation Expenses (one fifth of Rs. 9,26,310) 3rd Installment</t>
  </si>
  <si>
    <t>Actual</t>
  </si>
  <si>
    <t>Reversed so far</t>
  </si>
  <si>
    <t>Pending to be reversed</t>
  </si>
  <si>
    <t>Preliminary expenses</t>
  </si>
  <si>
    <t>The accompanying notes are integral part of the financial statements (all amounts in rupees)</t>
  </si>
  <si>
    <t>In terms of our report on even date attached</t>
  </si>
  <si>
    <t>The present value of the defined benefit plan liability is calculated by reference to the future salaries of plan participates. Salary increase considered @ 7.50%. As such, an increase in the salary of the plan participants will increase the plan's liability.</t>
  </si>
  <si>
    <t>The present value of the defined benefit plan liability is calculated using 5% inflation rate. As such, a decrease in the inflation rate will increase the plan's liability.</t>
  </si>
  <si>
    <t>Depreciation/Amortisation</t>
  </si>
  <si>
    <t>(2) Deferred tax asset/(liability)</t>
  </si>
  <si>
    <t>Defined benefit obligation (Rs.)</t>
  </si>
  <si>
    <t>Amount in Rs.
(at par value)</t>
  </si>
  <si>
    <t>vi) Basic earnings per share (Rs.)</t>
  </si>
  <si>
    <t>viii) Face value per equity share (Rs.)</t>
  </si>
  <si>
    <t>The accompanying notes are integral part of the financial statements (all amounts in Rupees)
In terms of our report on even date attached</t>
  </si>
  <si>
    <t>Rs.</t>
  </si>
  <si>
    <t xml:space="preserve">For all periods upto and including the year ended 31 March 2017, the Company prepared its financial statements  in  accordance  with  Generally  Accepted  Accounting  Principles  in  India  (IGAAP)  and complied  with  the  accounting  standards  (Previous  GAAP)  as  notified  under  Section  133  of  the Companies Act, 2013 read together with Rule 7 of the Companies (Accounts) Rules, 2014, (as amended), to the extent applicable and the presentation requirements of the Companies Act, 2013. </t>
  </si>
  <si>
    <t>Notes to the financial statements</t>
  </si>
  <si>
    <t>The fair value has been calculated using the Black Scholes Option Pricing Model and the significant assumptions and inputs to estimate the fair value of options granted during the year are as follows:</t>
  </si>
  <si>
    <t>A) Compounded risk free interest rate</t>
  </si>
  <si>
    <t>NIL</t>
  </si>
  <si>
    <t>G) Method used to determine expected volatility</t>
  </si>
  <si>
    <t>The company is not exposed to any price risk.</t>
  </si>
  <si>
    <t>no. of options yet to vest</t>
  </si>
  <si>
    <t>C) Expected volatility</t>
  </si>
  <si>
    <t>D) Expected dividends over the life of options</t>
  </si>
  <si>
    <t>F) Weighted Average Exercise price</t>
  </si>
  <si>
    <t>B) Weighted Average Expected life of options</t>
  </si>
  <si>
    <t xml:space="preserve">the  amount  of  interest due and payable  for  the  period of  delay in making payment (which have been paid but beyond the appointed day during the year) but without adding the interest specified  under the Micro, Small and Medium Enterprises Development  Act, 2006; </t>
  </si>
  <si>
    <t>The following table shows a reconciliation from the opening balances to the closing balances for net defined benefit (asset) liability and its components:</t>
  </si>
  <si>
    <t>Extra Entry</t>
  </si>
  <si>
    <t>Ador Multiproducts Ltd (Inter-Company Deposits)</t>
  </si>
  <si>
    <t>Salary Payable</t>
  </si>
  <si>
    <t>Anatomicals Ador India Pvt Ltd</t>
  </si>
  <si>
    <t>TCS (GST) FY 2019-20</t>
  </si>
  <si>
    <t>Business Support Service Charges</t>
  </si>
  <si>
    <t>Freight on Sales</t>
  </si>
  <si>
    <t>Razorpay's Service Fees</t>
  </si>
  <si>
    <t>Testing Charges</t>
  </si>
  <si>
    <t>Testing charges</t>
  </si>
  <si>
    <t>Final closing balance</t>
  </si>
  <si>
    <t>From Banks</t>
  </si>
  <si>
    <t>From other parties.</t>
  </si>
  <si>
    <t>Loans and advances from related parties;</t>
  </si>
  <si>
    <t>Loans from Directors</t>
  </si>
  <si>
    <t>Bad Debts</t>
  </si>
  <si>
    <t>Interest on Inter Company Deposits.</t>
  </si>
  <si>
    <t>Interest on Inter Corporate Deposits</t>
  </si>
  <si>
    <t>Interest on borrowings from banks</t>
  </si>
  <si>
    <t>Securities premium</t>
  </si>
  <si>
    <t>Bad debts</t>
  </si>
  <si>
    <t>Securities
premium</t>
  </si>
  <si>
    <t>Employee share
options (net)</t>
  </si>
  <si>
    <t>Issue of equity shares</t>
  </si>
  <si>
    <t>Add: Shares issued on exercise of employee stock options during the year</t>
  </si>
  <si>
    <t>Add: Shares issued on conversion of Convertible debenture during the year</t>
  </si>
  <si>
    <t>Balance as at the end of the year</t>
  </si>
  <si>
    <t>Amount in Rupees</t>
  </si>
  <si>
    <t>Options granted and outstanding at the beginning of the year</t>
  </si>
  <si>
    <t>Options granted during the year</t>
  </si>
  <si>
    <t>Options lapsed during the year</t>
  </si>
  <si>
    <t>viii)</t>
  </si>
  <si>
    <t>Ador Fontech Ltd.</t>
  </si>
  <si>
    <t>Interest on Inter-company deposits</t>
  </si>
  <si>
    <t>Transfer from/to general reserve/retained earnings during the year</t>
  </si>
  <si>
    <t>Overdraft facility from bank*</t>
  </si>
  <si>
    <t>Inter corporate deposits**</t>
  </si>
  <si>
    <t xml:space="preserve"> To employee Gratuty BS</t>
  </si>
  <si>
    <t>Being gratuity expense booked</t>
  </si>
  <si>
    <t>Leave encashment exp dr</t>
  </si>
  <si>
    <t xml:space="preserve">   To Leave liability</t>
  </si>
  <si>
    <t>ST</t>
  </si>
  <si>
    <t>LT</t>
  </si>
  <si>
    <t>(Being Leave liability booked)</t>
  </si>
  <si>
    <t>ESOP A/c dr</t>
  </si>
  <si>
    <t>TO Employee stock option liability</t>
  </si>
  <si>
    <t>Capital</t>
  </si>
  <si>
    <t>Being Expense for the year recognised</t>
  </si>
  <si>
    <t xml:space="preserve">  to Retained earning</t>
  </si>
  <si>
    <t xml:space="preserve">Being reversed for the options exersised </t>
  </si>
  <si>
    <t>Leave encashment</t>
  </si>
  <si>
    <t>Notional Rent exp</t>
  </si>
  <si>
    <t>To Notional rent Asset</t>
  </si>
  <si>
    <t>Notional int income</t>
  </si>
  <si>
    <t>pL Income</t>
  </si>
  <si>
    <t>Employee stock options</t>
  </si>
  <si>
    <t>Proceeds from issuance of Equity shares</t>
  </si>
  <si>
    <t>Tanya Advani</t>
  </si>
  <si>
    <t>Aruna Advani</t>
  </si>
  <si>
    <t>Sales</t>
  </si>
  <si>
    <t>% of return</t>
  </si>
  <si>
    <t>The stock options granted to employees pursuant to the Company’s Stock Options Schemes, are measured at the fair value of the options at the grant date. The fair value of the options is treated as discount and accounted as employee compensation cost over the vesting period on a straight line basis. The amount recognised as expense in each year is arrived at based on the number of grants expected to vest. If a grant lapses after the vesting period, the cumulative discount recognised as expense in respect of such grant is transferred to the general reserve/ retained earnings within equity.</t>
  </si>
  <si>
    <t>vii) Anti-dilutive earnings per share (Rs.)</t>
  </si>
  <si>
    <t>Exchange Loss</t>
  </si>
  <si>
    <t>ix)</t>
  </si>
  <si>
    <t>Advance from customers</t>
  </si>
  <si>
    <t>x)</t>
  </si>
  <si>
    <t>SECTION 115BBA</t>
  </si>
  <si>
    <t>FINANCIAL YEAR 2019-20</t>
  </si>
  <si>
    <t xml:space="preserve">Tax Rate </t>
  </si>
  <si>
    <t>Surcharge</t>
  </si>
  <si>
    <t>Amount already recognized till March 2019</t>
  </si>
  <si>
    <t>Differential DTA/DTL</t>
  </si>
  <si>
    <t>Health and Education cess:</t>
  </si>
  <si>
    <t>Effetive Tax Rate</t>
  </si>
  <si>
    <t>LAST YEAR</t>
  </si>
  <si>
    <t>Incorporation Expenses (one fifth of Rs. 9,26,310) 4th Installment</t>
  </si>
  <si>
    <t>Unabsorbed Depreciation A Y. 2019-20</t>
  </si>
  <si>
    <t>Alreadt Created DTA due to loss</t>
  </si>
  <si>
    <t>Unabsorbed Depreciation A Y. 2020-21</t>
  </si>
  <si>
    <t>FY 15-16</t>
  </si>
  <si>
    <t>Losses A.Y. 2019-20</t>
  </si>
  <si>
    <t>Losses A.Y. 2020-21</t>
  </si>
  <si>
    <t>DTA TO BE MADE</t>
  </si>
  <si>
    <t>A Y 2019-20</t>
  </si>
  <si>
    <t>Incremental impact</t>
  </si>
  <si>
    <t>Depreciation Chart for the Year Ending '2018-2019'</t>
  </si>
  <si>
    <t>Machinery And plant- computer</t>
  </si>
  <si>
    <t>Unused Tax Losses</t>
  </si>
  <si>
    <t>Unabsorbed Tax depreciation</t>
  </si>
  <si>
    <t>Temporary differences</t>
  </si>
  <si>
    <t>Unabsorbed depreciation does not have any expiry period under the Income Tax Act, 1961.</t>
  </si>
  <si>
    <t>Tax @ 22.9%</t>
  </si>
  <si>
    <t>WDV of Fixed Assets as on 31.03.2020</t>
  </si>
  <si>
    <t>Remeasurement of net defined benefit liability (OCI)</t>
  </si>
  <si>
    <t>The Company has not recognized deferred tax asset on unabsorbed depreciation &amp; carried forward business losses under tax laws and other temporary differences in view that it not probable that taxable profits will be available against which the deductible temporary differences can be utilized.
Unused tax losses, unabsorbed depreciation and temporary differences on which no deferred tax asset is recognised in Balance Sheet</t>
  </si>
  <si>
    <t>Indian Assured Lives Mortality
(2012-14)</t>
  </si>
  <si>
    <t>Assumption regarding the future mortality experience are set in accordance with the Indian Assured Live Mortality statistics (2012-14).</t>
  </si>
  <si>
    <t>1908 E-Ventures Pvt. Ltd. is a private limited company  incorporated under the provision of the Companies Act, 2013. The Company was promoted &amp; incorporated by M/s. J.B. Advani &amp; Company Pvt. Ltd. and M/s. Ador Multiproducts Ltd. on 18th August 2015 to carry on  the business to create an e-commerce platform - both website based &amp; mobile application based that will showcase, display and sell multiple brands and provide all e - commerce based trading of consumer goods.
1908 E-Ventures Pvt. Ltd. (‘the Company’) is a private limited company and was incorporated in 2015. The registered and corporate office of the company is situated at 5th floor, Ador House, 6K Dubash Marg, Fort, 6, K Dubash Marg, Kala Ghoda, Fort, Mumbai, Maharashtra 400001.</t>
  </si>
  <si>
    <t>Deferred tax</t>
  </si>
  <si>
    <t>The cost of post-employment benefits is determined using actuarial valuations. The actuarial valuation involves making assumptions about discount rates, expected rate of return on assets, future salary increases and mortality rates. Due to the long term nature of these plans such estimates are subject to significant uncertainty. The assumptions used as disclosed in Note 32.</t>
  </si>
  <si>
    <t>The Company amortises intangible assets with a finite useful life using the straight-line method over the following periods: Computer Software/Website Development - 3 to 5 years.</t>
  </si>
  <si>
    <t>Current income tax assets and liabilities are measured at the amount expected to be recovered from or paid to the taxation authorities. The tax rates and tax laws used to compute the amount are those that are enacted or substantively enacted, at the reporting date.</t>
  </si>
  <si>
    <t xml:space="preserve">The results and financial position of foreign operations (none of which has the currency of a hyperinflationary economy) that have a functional currency different from the presentation currency are translated into the presentation currency as follows:
(a) Assets and liabilities are translated at the closing rate on the balance sheet date
(b) Income and expenses are translated at the average exchange rate (unless this is not a reasonable approximation of the cumulative effect of the rates prevailing on the transaction dates, in which case income and expenses are translated at the date of transaction
(c) All resulting exchange differences are recognised in other comprehensive income
When a foreign operation is sold, the associated exchange differences are reclassified to statement of profit and loss, as part of the gain or loss on sale.
Fair value adjustments arising on the acquisition of a foreign operation are treated as assets and liabilities of the foreign operation and translated at the closing rate.
</t>
  </si>
  <si>
    <t>General Reserve</t>
  </si>
  <si>
    <t>Flipkart Tds</t>
  </si>
  <si>
    <t>TCS (GST) FY 20-21</t>
  </si>
  <si>
    <t>Union Bank of India - 510101005905914</t>
  </si>
  <si>
    <t>Tax on RCM - IGST</t>
  </si>
  <si>
    <t>Branch Account - Delhi</t>
  </si>
  <si>
    <t>Purchase Interstate@0.25%</t>
  </si>
  <si>
    <t>Purchase Interstate@12%</t>
  </si>
  <si>
    <t>Purchase Interstate@5%</t>
  </si>
  <si>
    <t>Purchase Local@12%</t>
  </si>
  <si>
    <t>Purchase Local@3%</t>
  </si>
  <si>
    <t>Discount Given (Non GST)</t>
  </si>
  <si>
    <t>Discount Received( Sales)</t>
  </si>
  <si>
    <t>Freight on SL  Sales</t>
  </si>
  <si>
    <t>Sales Interstate ( Damage Stock )</t>
  </si>
  <si>
    <t>Citibank Card Late Charges</t>
  </si>
  <si>
    <t>GST Late Fees</t>
  </si>
  <si>
    <t>Round Off</t>
  </si>
  <si>
    <t>SBI Credit Card Late Fees</t>
  </si>
  <si>
    <t>Sponsership Service Charges</t>
  </si>
  <si>
    <t>Stamp Duty Fees</t>
  </si>
  <si>
    <t>Stripe Commission</t>
  </si>
  <si>
    <t>Telephone and Internet Reimbursement</t>
  </si>
  <si>
    <t>Profit &amp; Loss A/c</t>
  </si>
  <si>
    <t>Grand Total</t>
  </si>
  <si>
    <t>Branch purchase account</t>
  </si>
  <si>
    <t>Main</t>
  </si>
  <si>
    <t>Delh</t>
  </si>
  <si>
    <t>Banglor</t>
  </si>
  <si>
    <t>Closing stock</t>
  </si>
  <si>
    <t>Delhi</t>
  </si>
  <si>
    <t>Banglore</t>
  </si>
  <si>
    <t xml:space="preserve">           Brand acquisition</t>
  </si>
  <si>
    <t>1908 E ventures Pvt. Ltd</t>
  </si>
  <si>
    <t>23 Yards India Pvt Ltd</t>
  </si>
  <si>
    <t>Reshma Lalvani</t>
  </si>
  <si>
    <t>B)</t>
  </si>
  <si>
    <t xml:space="preserve"> Relatives of Key Management Personnel</t>
  </si>
  <si>
    <t>Other related parties</t>
  </si>
  <si>
    <t>Purchases of Goods (Gross)</t>
  </si>
  <si>
    <t>Ador Multi Products Ltd. - Santic</t>
  </si>
  <si>
    <t>Postage and courier charges recovered</t>
  </si>
  <si>
    <t>Sale of personal Care Product (Gross)</t>
  </si>
  <si>
    <t>License fees and common area maintenance charges paid (Gross)</t>
  </si>
  <si>
    <t>Business support charges paid (Gross)</t>
  </si>
  <si>
    <t>Contd….</t>
  </si>
  <si>
    <t>Transactions with related parties for the year are as follows: (Contd….)</t>
  </si>
  <si>
    <t>Reimbursement of Expenses</t>
  </si>
  <si>
    <t>Ador Multiproducts Ltd</t>
  </si>
  <si>
    <t>Other Service Charges (Gross)</t>
  </si>
  <si>
    <t>Business Support Service rendered</t>
  </si>
  <si>
    <t>Ador Multiproducts Ltd. - Inter company deposits</t>
  </si>
  <si>
    <t>Repayment of Excess payment</t>
  </si>
  <si>
    <t>Inter-company deposit converted into Equity shares</t>
  </si>
  <si>
    <t>Needs to be seen</t>
  </si>
  <si>
    <t>Holding pattern to be changed</t>
  </si>
  <si>
    <t>0.8 years</t>
  </si>
  <si>
    <t>Reserve reconciliation</t>
  </si>
  <si>
    <t xml:space="preserve">Proceeds from issuance of Inter corporate deposits*incl conversion </t>
  </si>
  <si>
    <t xml:space="preserve"> Long-term borrowings</t>
  </si>
  <si>
    <t>Assets in the course of development or construction and freehold land are not depreciated. 
Other property, plant and equipment are stated at cost less accumulated depreciation and any provision for impairment. Depreciation commences when the assets are ready for their intended use. 
Depreciation is calculated on the depreciable amount, which is the cost of an asset less its residual value. Depreciation is provided at rates calculated to write off the cost, less estimated residual value, of each asset on a  written down value basis over its expected useful life determined by the management and aligned to the schedule II to the Companies Act, 2013 in order to reflect the actual usage of assets. 
Major inspection and overhaul costs are depreciated over the estimated life of the economic benefit derived from such costs. The carrying amount of the remaining previous overhaul cost is charged to the statement of profit and loss if the next overhaul is undertaken earlier than the previously estimated life of the economic benefit. 
When significant spare parts of an item of property, plant and equipment have different useful lives, they are accounted for as separate items (major components) of property, plant and equipment.
Depreciation methods, useful lives and residual values are reviewed at each financial year end and changes in estimates, if any, are accounted for prospectively.</t>
  </si>
  <si>
    <t xml:space="preserve">Level  2  — Valuation techniques for which the lowest level input that is significant to the fair value measurement is directly or indirectly observable </t>
  </si>
  <si>
    <t>Balance at the beginning of the year</t>
  </si>
  <si>
    <t>Income Recognition</t>
  </si>
  <si>
    <t>Incorporation Expenses (one fifth of Rs. 9,26,310) 5th Installment</t>
  </si>
  <si>
    <t>Impact not given in FY 20-21 financials to be considered in FY 21-22 financials</t>
  </si>
  <si>
    <t>Depreciation Chart for the Year Ending '2019-2020'</t>
  </si>
  <si>
    <t>WDV of Fixed Assets as on 31.03.2021</t>
  </si>
  <si>
    <t>Amount already recognized till March 2020</t>
  </si>
  <si>
    <t>Unabsorbed Depreciation A Y. 2021-22</t>
  </si>
  <si>
    <t>Losses A.Y. 2021-22</t>
  </si>
  <si>
    <t>Opening Balance - Assets/ (Liability) as on 31/03/2020</t>
  </si>
  <si>
    <t xml:space="preserve">The Company has a defined benefit plan (the “Gratuity Plan”). The Gratuity Plan provides a lump sum payment to employees who have completed five years or more of service at retirement, disability or termination of employment, being an amount based on the respective employee’s last drawn salary and the number of years of employment with the Company.
</t>
  </si>
  <si>
    <t xml:space="preserve"> As at  31st March, 2022</t>
  </si>
  <si>
    <t xml:space="preserve">UDIN: </t>
  </si>
  <si>
    <t>2021-2022</t>
  </si>
  <si>
    <t>Balance as at 31 March 2022</t>
  </si>
  <si>
    <t>As at 01 April 2021</t>
  </si>
  <si>
    <t>As at 31st March, 2022</t>
  </si>
  <si>
    <t>Significant accounting policies and other explanatory information for the year ended 31st March, 2022</t>
  </si>
  <si>
    <t>1 April 2021</t>
  </si>
  <si>
    <t>31 March 2022</t>
  </si>
  <si>
    <t>For the year ended 31 March 2022</t>
  </si>
  <si>
    <t>Bhadu</t>
  </si>
  <si>
    <t>Aunty</t>
  </si>
  <si>
    <t>EMI</t>
  </si>
  <si>
    <t>Dhupani</t>
  </si>
  <si>
    <t>Bank transfer</t>
  </si>
  <si>
    <t>Adj</t>
  </si>
  <si>
    <t>Reference</t>
  </si>
  <si>
    <t>Equity &amp; Reserves</t>
  </si>
  <si>
    <t xml:space="preserve"> - on security deposits measured at amortised cost</t>
  </si>
  <si>
    <t xml:space="preserve">      (i) Lease liabilities</t>
  </si>
  <si>
    <t>pending</t>
  </si>
  <si>
    <t>From related parties;-Un secured</t>
  </si>
  <si>
    <t xml:space="preserve">      (ia) Lease liabilities</t>
  </si>
  <si>
    <t>OSL</t>
  </si>
  <si>
    <t>Employee Bonus payable</t>
  </si>
  <si>
    <t>working</t>
  </si>
  <si>
    <t>Interest on bank deposit</t>
  </si>
  <si>
    <t>Interest on income tax refunds</t>
  </si>
  <si>
    <t>Closing Stock</t>
  </si>
  <si>
    <t>opening Stock</t>
  </si>
  <si>
    <t xml:space="preserve">Contribution to provident and other funds </t>
  </si>
  <si>
    <t xml:space="preserve">Contribution to gratuity </t>
  </si>
  <si>
    <t>Interest on debentures issued</t>
  </si>
  <si>
    <t>Brand Registeration expense</t>
  </si>
  <si>
    <t>Packing material expense</t>
  </si>
  <si>
    <t xml:space="preserve">Advertisement expenses </t>
  </si>
  <si>
    <t>Bad debt</t>
  </si>
  <si>
    <t>check</t>
  </si>
  <si>
    <t>Security deposit amortised cost</t>
  </si>
  <si>
    <t>Particular</t>
  </si>
  <si>
    <t>Taxable Value</t>
  </si>
  <si>
    <t>GST Amount</t>
  </si>
  <si>
    <t>Order Deliverd Before 31st March 22</t>
  </si>
  <si>
    <t>Order Deliverd After 01st April  22</t>
  </si>
  <si>
    <t>Sales revesals for delivery after 31.3.22</t>
  </si>
  <si>
    <t>Cost considered 90%</t>
  </si>
  <si>
    <t>NA</t>
  </si>
  <si>
    <t>3 years avg</t>
  </si>
  <si>
    <t>6 - K. Dubash Marg, Fort,</t>
  </si>
  <si>
    <t>Mumbai - 400 001.</t>
  </si>
  <si>
    <t>1-Apr-2021 to 31-Mar-2022</t>
  </si>
  <si>
    <t>Kudos Finanice Ltd - Getvantage</t>
  </si>
  <si>
    <t>Esic 0.75%</t>
  </si>
  <si>
    <t>HDFC Bank CA</t>
  </si>
  <si>
    <t>Suspense A/c</t>
  </si>
  <si>
    <t>Branch Purchase</t>
  </si>
  <si>
    <t>Local@0%</t>
  </si>
  <si>
    <t>Purchase Interstate@3%</t>
  </si>
  <si>
    <t>Purchase Local@0%</t>
  </si>
  <si>
    <t>Purchase Local@5%</t>
  </si>
  <si>
    <t>Marketing Activities ( Advertisement )</t>
  </si>
  <si>
    <t>Axis Bank Credit Card Charges</t>
  </si>
  <si>
    <t>E-Gift Card- Sublime Life</t>
  </si>
  <si>
    <t>Esic 3.25%</t>
  </si>
  <si>
    <t>Fine and Penalties</t>
  </si>
  <si>
    <t>For March 21</t>
  </si>
  <si>
    <t>For March 22</t>
  </si>
  <si>
    <t>JB Advani &amp; Co. 5%</t>
  </si>
  <si>
    <t>Period from</t>
  </si>
  <si>
    <t xml:space="preserve">Period to </t>
  </si>
  <si>
    <t>2024-25</t>
  </si>
  <si>
    <t>2025-26</t>
  </si>
  <si>
    <t>Days total</t>
  </si>
  <si>
    <t>Year 1</t>
  </si>
  <si>
    <t>Year2</t>
  </si>
  <si>
    <t>Year 3</t>
  </si>
  <si>
    <t>Total rent</t>
  </si>
  <si>
    <t>Per day</t>
  </si>
  <si>
    <t>End of Year 2 (31/03/2023)</t>
  </si>
  <si>
    <t>End of Year 3 (31/03/2023)</t>
  </si>
  <si>
    <t>End of Year 4 (14/02/2025)</t>
  </si>
  <si>
    <t>31.3.22</t>
  </si>
  <si>
    <t>laST YEARS DEOPOSIT</t>
  </si>
  <si>
    <t>New deposit</t>
  </si>
  <si>
    <t>Year 0 (At the time of deposit) 15/02/22</t>
  </si>
  <si>
    <t>To SD</t>
  </si>
  <si>
    <t>Notional rent Asset</t>
  </si>
  <si>
    <t>Being leave expense booked</t>
  </si>
  <si>
    <t>IND AS Entries For FY 31.3.22</t>
  </si>
  <si>
    <t>Being old deposit amortised</t>
  </si>
  <si>
    <t>Being New deposit booked and notional rent asset recorded</t>
  </si>
  <si>
    <t xml:space="preserve">Amortised for the year </t>
  </si>
  <si>
    <t>Notional income booked for the year as per working</t>
  </si>
  <si>
    <t>Sales account dr</t>
  </si>
  <si>
    <t xml:space="preserve">  To Sundry debtors</t>
  </si>
  <si>
    <t>Closing stock account Dr</t>
  </si>
  <si>
    <t>To Cost of material sold/purchase account</t>
  </si>
  <si>
    <t>(Being 90% of sales reversal is treated as cost and booked)</t>
  </si>
  <si>
    <t>Slaes return for 21-22</t>
  </si>
  <si>
    <t>Less returns already considered</t>
  </si>
  <si>
    <t>Balance to be booked</t>
  </si>
  <si>
    <t>(Being sales reversal for the year based on working recorded for sales delivered post 31 march 2022)</t>
  </si>
  <si>
    <t>Employee benefit exp Gratuty Dr</t>
  </si>
  <si>
    <t xml:space="preserve">  To Accumulated depreciation - Furniture</t>
  </si>
  <si>
    <t xml:space="preserve">  To Accumulated depreciation - OE</t>
  </si>
  <si>
    <t xml:space="preserve">  To Accumulated depreciation - Electrical</t>
  </si>
  <si>
    <t xml:space="preserve">  To Accumulated depreciation - Computers</t>
  </si>
  <si>
    <t xml:space="preserve">Electrical </t>
  </si>
  <si>
    <t>Office equipments</t>
  </si>
  <si>
    <t>(Being depreciation for the year 21-22)</t>
  </si>
  <si>
    <t>(Being rectification entries passed as pe working)</t>
  </si>
  <si>
    <t xml:space="preserve">  To Accumulated depreciation - computer software</t>
  </si>
  <si>
    <t>Amoritisation</t>
  </si>
  <si>
    <t xml:space="preserve">  To Accumulated depreciation - Brand acquisition</t>
  </si>
  <si>
    <t xml:space="preserve">                      -  </t>
  </si>
  <si>
    <t>to be identified</t>
  </si>
  <si>
    <t>Sukesh Sutar (Loan A/c)</t>
  </si>
  <si>
    <t>Varsha Jadhav Employee Loan</t>
  </si>
  <si>
    <t>Business Support Service (Expense)</t>
  </si>
  <si>
    <t>Notional Interest Income</t>
  </si>
  <si>
    <t>Employee compensation expense</t>
  </si>
  <si>
    <t>Government  Fees</t>
  </si>
  <si>
    <t>Remeasurement of Defined Emoployee Benefit Plan Exp</t>
  </si>
  <si>
    <t>exchange gain</t>
  </si>
  <si>
    <t>Branch purchase</t>
  </si>
  <si>
    <t xml:space="preserve">                    -  </t>
  </si>
  <si>
    <t>Tax audit fees</t>
  </si>
  <si>
    <t>Leave benefits</t>
  </si>
  <si>
    <t>Add: Shares issued on private placement</t>
  </si>
  <si>
    <t>Add: Shares issued on conversion of ICD/Loan during the year</t>
  </si>
  <si>
    <t>b</t>
  </si>
  <si>
    <t>d4</t>
  </si>
  <si>
    <t>Loans and advances from other parties</t>
  </si>
  <si>
    <t>From others</t>
  </si>
  <si>
    <t>ESIC 0.75%</t>
  </si>
  <si>
    <t>Contant writing charges</t>
  </si>
  <si>
    <t>Interest on GST</t>
  </si>
  <si>
    <t>Platform charges</t>
  </si>
  <si>
    <t>Add: Shares issued on conversion of ICD/loan during the year</t>
  </si>
  <si>
    <t>Add: Shares issued on private placement during the year</t>
  </si>
  <si>
    <t>Add: Shares issued on conversion of ICD/loans during the year</t>
  </si>
  <si>
    <t>e). Shares reserved for issue under options outstanding as at the end of the year on un-issued share capital:</t>
  </si>
  <si>
    <t>d).  Shareholding of Promoters</t>
  </si>
  <si>
    <t>Name of Promoter</t>
  </si>
  <si>
    <t>Equity shares of Rs. 10 each, fully paid up</t>
  </si>
  <si>
    <t>Number of shares held</t>
  </si>
  <si>
    <t>% of total shares</t>
  </si>
  <si>
    <t>% Change during the year</t>
  </si>
  <si>
    <t>Total Income</t>
  </si>
  <si>
    <t>Total Expense</t>
  </si>
  <si>
    <t>Net</t>
  </si>
  <si>
    <t>Depreciaition</t>
  </si>
  <si>
    <t>Liabilities</t>
  </si>
  <si>
    <t>Current year profit</t>
  </si>
  <si>
    <t>Profit on sale of assets</t>
  </si>
  <si>
    <t>Profit on sale of  fixed assets</t>
  </si>
  <si>
    <t>Name if lessor</t>
  </si>
  <si>
    <t>Ador Welding Limited</t>
  </si>
  <si>
    <t>Lease arrangement</t>
  </si>
  <si>
    <t>Arrangement period (years)</t>
  </si>
  <si>
    <t>Lease end date</t>
  </si>
  <si>
    <t>Lease rent p.a.</t>
  </si>
  <si>
    <t>Incremental borrowing rate as on 1.4.2019 (P.M.)</t>
  </si>
  <si>
    <t>A. Right to use of assets (ROU)</t>
  </si>
  <si>
    <t>FY</t>
  </si>
  <si>
    <t>Gross Amount</t>
  </si>
  <si>
    <t>Accumulated Dep</t>
  </si>
  <si>
    <t>Useful life</t>
  </si>
  <si>
    <t>Salvage value</t>
  </si>
  <si>
    <t>Tenure</t>
  </si>
  <si>
    <t>Completed period</t>
  </si>
  <si>
    <t>Balance</t>
  </si>
  <si>
    <t>Dep for the year</t>
  </si>
  <si>
    <t>FY 2021-22</t>
  </si>
  <si>
    <t>FY 2022-23</t>
  </si>
  <si>
    <t>B. Lease liability</t>
  </si>
  <si>
    <t>Opening lease liability (As at 01/07/20)</t>
  </si>
  <si>
    <t>Lease Rent</t>
  </si>
  <si>
    <t>Interest charge</t>
  </si>
  <si>
    <t>Payment against lease liability</t>
  </si>
  <si>
    <t>Closing balance of lease liability</t>
  </si>
  <si>
    <t>Depreciation (WDV Method)</t>
  </si>
  <si>
    <t>Net Book Value (ROU Assets)</t>
  </si>
  <si>
    <t>1908 ROU Working</t>
  </si>
  <si>
    <t>FY 2023-24</t>
  </si>
  <si>
    <t>FY 2024-25</t>
  </si>
  <si>
    <t>Right-of-use asset</t>
  </si>
  <si>
    <t>Gross carrying value</t>
  </si>
  <si>
    <t>Disposals</t>
  </si>
  <si>
    <t>Closing carrying value</t>
  </si>
  <si>
    <t>Accumulated amortisation</t>
  </si>
  <si>
    <t>Amortisation during the year</t>
  </si>
  <si>
    <t>(d) Deferred tax Assets (Net)</t>
  </si>
  <si>
    <t>(e) Non-current financial assets</t>
  </si>
  <si>
    <t>(f) Other non-current tax assets</t>
  </si>
  <si>
    <t>(g) Other non-current assets</t>
  </si>
  <si>
    <t>(c) Right-of-use asset</t>
  </si>
  <si>
    <t>(ii) Long-term borrowings</t>
  </si>
  <si>
    <t>(i) Lease liabilities</t>
  </si>
  <si>
    <t>Lease liabilities</t>
  </si>
  <si>
    <t>Depreciation on property, plant and equipment (Refer note 3)</t>
  </si>
  <si>
    <t>Depreciation on on Right-of-use assets  (Refer note 4)</t>
  </si>
  <si>
    <t>Amortisation of intangible assets (Refer note 3)</t>
  </si>
  <si>
    <t xml:space="preserve">Tanya Advani </t>
  </si>
  <si>
    <t>Ador Multiproducts Ltd - Advance taken</t>
  </si>
  <si>
    <t>31st March, 2022</t>
  </si>
  <si>
    <t>23 Yards India Pvt. Ltd. - Receivable</t>
  </si>
  <si>
    <t>Ratios</t>
  </si>
  <si>
    <t>Current Ratio</t>
  </si>
  <si>
    <t>Debt-Equity ratio</t>
  </si>
  <si>
    <t>Debt service coverage ratio</t>
  </si>
  <si>
    <t>Return on equity ratio</t>
  </si>
  <si>
    <t>Inventory turnover ratio</t>
  </si>
  <si>
    <t>Trade receivables turnover ratio</t>
  </si>
  <si>
    <t>Trade payables turnover ratio</t>
  </si>
  <si>
    <t>Net capital turnover ratio</t>
  </si>
  <si>
    <t>Net profit ratio</t>
  </si>
  <si>
    <t>Return on capital employed</t>
  </si>
  <si>
    <t>Return on investment</t>
  </si>
  <si>
    <t xml:space="preserve"> As at 31st March, 2022</t>
  </si>
  <si>
    <t>(ii) Short-term borrowings</t>
  </si>
  <si>
    <t>(iii) Other trade payables</t>
  </si>
  <si>
    <t>(iv) Other current financial liabilities</t>
  </si>
  <si>
    <t>Total outstanding dues to micro and small enterprises</t>
  </si>
  <si>
    <t>Total outstanding dues to creditors other than micro and small enterprises</t>
  </si>
  <si>
    <t>Storage and handeling charges</t>
  </si>
  <si>
    <t>Storage and handling charges</t>
  </si>
  <si>
    <t>Trade payable aging schedule:</t>
  </si>
  <si>
    <t>(i) MSME</t>
  </si>
  <si>
    <t>Less than 1year</t>
  </si>
  <si>
    <t>1-2 years</t>
  </si>
  <si>
    <t>More than 3 years</t>
  </si>
  <si>
    <t>(ii) Others</t>
  </si>
  <si>
    <t>There are no disputed  dues MSME and others</t>
  </si>
  <si>
    <t>01-03-2020 onwards</t>
  </si>
  <si>
    <t>For operating lease commitments, Refer Note 34</t>
  </si>
  <si>
    <t>Brand acquired have been amortised over the estimated useful lives of 7 years.</t>
  </si>
  <si>
    <t>Trade Receivables aging schedule:</t>
  </si>
  <si>
    <t>Outstanding for following periods from the date of the transaction</t>
  </si>
  <si>
    <t>(i) Undisputed Trade receivables – considered good</t>
  </si>
  <si>
    <t>Less than 6 months</t>
  </si>
  <si>
    <t>6 months -1 year</t>
  </si>
  <si>
    <t>2-3 years</t>
  </si>
  <si>
    <t>(ii) Undisputed Trade Receivables – considered doubtful</t>
  </si>
  <si>
    <t>(iii) Disputed Trade Receivables considered good</t>
  </si>
  <si>
    <t>(iv) Disputed Trade Receivables considered doubtful</t>
  </si>
  <si>
    <t>Cash losses Calculation</t>
  </si>
  <si>
    <t>Profit &amp; Loss ( excluding other comprehensive income)</t>
  </si>
  <si>
    <t>Add: Interest charge as per Ind AS 116</t>
  </si>
  <si>
    <t>Less: Interest income on security deposit given</t>
  </si>
  <si>
    <t>Less: Amortisation of Rent income</t>
  </si>
  <si>
    <t>Add: Net gain /loss on FV changes on redemtion of Mutual Fund</t>
  </si>
  <si>
    <t>Add: Gratuity</t>
  </si>
  <si>
    <t>Add: Loss on settlement of financial assets</t>
  </si>
  <si>
    <t>Less: Defered Tax</t>
  </si>
  <si>
    <t>Net cash loss</t>
  </si>
  <si>
    <t>1908 E-ventures Private Limited</t>
  </si>
  <si>
    <t>Add: Depreciation and amortisation</t>
  </si>
  <si>
    <t>Add: Foreign exchange gain/loss</t>
  </si>
  <si>
    <t>The Company has adopted Ind AS 116-Leases effective 1 April 2019, using the modified retrospective method. The Company has applied the standard to its leases with the cumulative impact recognised on the date of initial application (1 April 2019).  
The Company’s lease asset classes primarily consist of leases for Land and Buildings. The Company assesses whether a contract is or contains a lease, at inception of a contract. A contract is, or contains, a lease if the contract conveys the right to control the use of an identified asset for a period of time in exchange for consideration. To assess whether a contract conveys the right to control the use of an identified asset, the Company assesses whether:
(i)   the contract involves the use of an identified asset
(ii)  the Company has substantially all of the economic benefits from use of the asset through the period of the lease and
(iii) the Company has the right to direct the use of the asset.
At the date of commencement of the lease, the Company recognises a right-of-use asset (“ROU”) and a corresponding lease liability for all lease arrangements in which it is a lessee, except for leases with a term of twelve months or less (short term leases) and leases of low value assets. For these short term and leases of low value assets, the Company recognises the lease payments as an operating expense on a straightline basis over the term of the lease.
The right-of-use assets are initially recognised at cost, which comprises the initial amount of the lease liability adjusted for any lease payments made at or prior to the commencement date of the lease plus any initial direct costs less any lease incentives. They are subsequently measured at cost less accumulated depreciation and impairment losses, if any. Right-of-use assets are depreciated from the commencement date on a straight-line basis over the shorter of the lease term and useful life of the underlying asset.
The lease liability is initially measured at the present value of the future lease payments. The lease payments are discounted using the interest rate implicit in the lease or, if not readily determinable, using the incremental borrowing rates. The lease liability is subsequently remeasured by increasing the carrying amount to reflect interest on the lease liability, reducing the carrying amount to reflect the lease payments made. A lease liability is remeasured upon the occurrence of certain events such as a change in the lease term or a change in an index or rate used to determine lease payments. The remeasurement normally also adjusts the leased assets.</t>
  </si>
  <si>
    <t>(This space has been left intentionally blank)</t>
  </si>
  <si>
    <t>Numerator</t>
  </si>
  <si>
    <t>Denominator</t>
  </si>
  <si>
    <t>Ratio Current period</t>
  </si>
  <si>
    <t>Ratio Previous period</t>
  </si>
  <si>
    <t>% of Variance</t>
  </si>
  <si>
    <t>Total Debt</t>
  </si>
  <si>
    <t>Shareholder’s Equity</t>
  </si>
  <si>
    <t>Earnings available for debt service</t>
  </si>
  <si>
    <t>Debt Service</t>
  </si>
  <si>
    <t>Net Profits after taxes – Preference Dividend (if any)</t>
  </si>
  <si>
    <t>Average Shareholder’s Equity</t>
  </si>
  <si>
    <t>Cost of goods sold OR sales</t>
  </si>
  <si>
    <t>Average Inventory</t>
  </si>
  <si>
    <t>Net Credit Sales</t>
  </si>
  <si>
    <t>Average Accounts Receivable</t>
  </si>
  <si>
    <t>Net Credit Purchases</t>
  </si>
  <si>
    <t>Average Trade Payables</t>
  </si>
  <si>
    <t>Net Sales</t>
  </si>
  <si>
    <t>Average Working Capital</t>
  </si>
  <si>
    <t>Net Profit</t>
  </si>
  <si>
    <t>Earning before interest and taxes</t>
  </si>
  <si>
    <t>{MV(T1) – MV(T0) – Sum [C(t)]}</t>
  </si>
  <si>
    <t>{MV(T0) + Sum [W(t) * C(t)]}</t>
  </si>
  <si>
    <t>For Retun on investments</t>
  </si>
  <si>
    <t>C(t) = Cash inflow, cash outflow on specific date</t>
  </si>
  <si>
    <t>W(t) = Weight of the net cash flow (i.e. either net inflow or net outflow) on day ‘t’, calculated as [T1 – t] / T1</t>
  </si>
  <si>
    <t>Security deposits receivable</t>
  </si>
  <si>
    <t>Add: ESOP expense</t>
  </si>
  <si>
    <t>The tax benefits for the losses would expire if not utilised starting from financial year 2023-24 to 2030-31</t>
  </si>
  <si>
    <t>FINANCIAL YEAR 2021-22</t>
  </si>
  <si>
    <t>WDV of Fixed Assets as on 31.03.2022</t>
  </si>
  <si>
    <t>Depreciation Chart for the Year Ending '2020-2021'</t>
  </si>
  <si>
    <t>Depreciation Chart for the Year Ending '2021-2022'</t>
  </si>
  <si>
    <t>Amount already recognized till March 2021</t>
  </si>
  <si>
    <t>Impact not given in FY 20-21 financials is now considered in FY 21-22 financials</t>
  </si>
  <si>
    <t>Losses A.Y. 2022-23</t>
  </si>
  <si>
    <t>Unabsorbed Depreciation A Y. 2022-23</t>
  </si>
  <si>
    <t>Since DTA reversal and DTL to be created, impact given in unused tax loss in FY 21-22</t>
  </si>
  <si>
    <t>Cash flow statement for the year ended 31st March, 2023</t>
  </si>
  <si>
    <t>31st March, 2023</t>
  </si>
  <si>
    <t>Balance Sheet as at 31st March, 2023</t>
  </si>
  <si>
    <t xml:space="preserve"> As at  31st March, 2023</t>
  </si>
  <si>
    <t>For the year ended 31st March, 2023</t>
  </si>
  <si>
    <t>As at 01 April 2022</t>
  </si>
  <si>
    <t>As at 31st March, 2023</t>
  </si>
  <si>
    <t>For the year ended 31 March 2023</t>
  </si>
  <si>
    <t>Just check</t>
  </si>
  <si>
    <t>1 April 2022</t>
  </si>
  <si>
    <t>31 March 2023</t>
  </si>
  <si>
    <t>Balance as at 1 April 2022</t>
  </si>
  <si>
    <t>Balance as at 31 March 2023</t>
  </si>
  <si>
    <t>1-Apr-22 to 31-Mar-23</t>
  </si>
  <si>
    <t>HDFC O/D 6905</t>
  </si>
  <si>
    <t>Kudos Finance Ltd - Getvantage</t>
  </si>
  <si>
    <t>Donation Received</t>
  </si>
  <si>
    <t>ROU Lease Liability</t>
  </si>
  <si>
    <t>Stipend Payable</t>
  </si>
  <si>
    <t>Intangible Assets</t>
  </si>
  <si>
    <t>Office Equipment</t>
  </si>
  <si>
    <t>Accumulated Depreciation</t>
  </si>
  <si>
    <t>Bar Code Printer</t>
  </si>
  <si>
    <t>Electrical Installations</t>
  </si>
  <si>
    <t>Tablet</t>
  </si>
  <si>
    <t>Investments</t>
  </si>
  <si>
    <t>Investment In Boofotel</t>
  </si>
  <si>
    <t>Deferred Rent Expense (Ind-AS Asset)</t>
  </si>
  <si>
    <t>ROU Asset</t>
  </si>
  <si>
    <t>Branch Account- Haryana</t>
  </si>
  <si>
    <t>Sales Bills to Make</t>
  </si>
  <si>
    <t>Brancha Sales Account</t>
  </si>
  <si>
    <t>Interstate@0%</t>
  </si>
  <si>
    <t>Interstate Sales</t>
  </si>
  <si>
    <t>Local Sales</t>
  </si>
  <si>
    <t>Sales- Interstate</t>
  </si>
  <si>
    <t>SALES LOCAL</t>
  </si>
  <si>
    <t>Clearing &amp; Forwarding Charges (Import)</t>
  </si>
  <si>
    <t>Purchase Account - Packing Material</t>
  </si>
  <si>
    <t>Purchase Interstate@28%</t>
  </si>
  <si>
    <t>Transportation Expenses (Import)</t>
  </si>
  <si>
    <t>Freight</t>
  </si>
  <si>
    <t>Printing &amp; Labelling</t>
  </si>
  <si>
    <t>Marketing Charges</t>
  </si>
  <si>
    <t>Exchnge Rate Loss</t>
  </si>
  <si>
    <t>Hotel Charges</t>
  </si>
  <si>
    <t>Loading/Unloading Charges</t>
  </si>
  <si>
    <t>Loss on Sale of Assets</t>
  </si>
  <si>
    <t>Recruitment Charges</t>
  </si>
  <si>
    <t>Recycling and Disposal of Plastic Waste</t>
  </si>
  <si>
    <t>RoundOff</t>
  </si>
  <si>
    <t>Simpl Commission</t>
  </si>
  <si>
    <t>Sundry Advances / Debit Balance Written Off</t>
  </si>
  <si>
    <t>Warehouse Service Charges</t>
  </si>
  <si>
    <t>Waste Disposal Charges</t>
  </si>
  <si>
    <t>if error exp</t>
  </si>
  <si>
    <t>Commission and gateway charges</t>
  </si>
  <si>
    <t xml:space="preserve">Total </t>
  </si>
  <si>
    <t>PY</t>
  </si>
  <si>
    <t>Balancesheet</t>
  </si>
  <si>
    <t>Storage and handeling chargess</t>
  </si>
  <si>
    <t>Auditors' remuneration  s</t>
  </si>
  <si>
    <t xml:space="preserve">Website expenses </t>
  </si>
  <si>
    <t xml:space="preserve">Testing charges </t>
  </si>
  <si>
    <t xml:space="preserve">Amortisation of prepaid rent </t>
  </si>
  <si>
    <t xml:space="preserve">Internet expenses </t>
  </si>
  <si>
    <t xml:space="preserve">Marketing expenses </t>
  </si>
  <si>
    <t xml:space="preserve">Clearing &amp; Forwarding Charges </t>
  </si>
  <si>
    <t xml:space="preserve">Business Promotion Expenses </t>
  </si>
  <si>
    <t xml:space="preserve">Administrative Expenses </t>
  </si>
  <si>
    <t xml:space="preserve">Sundry receipts </t>
  </si>
  <si>
    <t xml:space="preserve">Leave encashment </t>
  </si>
  <si>
    <t xml:space="preserve">Exchange rate difference </t>
  </si>
  <si>
    <t xml:space="preserve">Registration fees </t>
  </si>
  <si>
    <t>If eror</t>
  </si>
  <si>
    <t>Employee related dues</t>
  </si>
  <si>
    <t>Security deposit in detail</t>
  </si>
  <si>
    <t>TCS (GST) FY 22-23</t>
  </si>
  <si>
    <t>Lease related assets net</t>
  </si>
  <si>
    <t xml:space="preserve">      (i) Investments</t>
  </si>
  <si>
    <t xml:space="preserve">      (ii) Other financial assets</t>
  </si>
  <si>
    <t>1908 Eventures Pvt Ltd (Delhi)</t>
  </si>
  <si>
    <t>1908 E Ventures Pvt Ltd - Bangalore</t>
  </si>
  <si>
    <t>1908 E-Ventures Pvt Ltd- Haryana</t>
  </si>
  <si>
    <t>Tds on Advertisement</t>
  </si>
  <si>
    <t>Tds on Commission</t>
  </si>
  <si>
    <t>Tds on Contract</t>
  </si>
  <si>
    <t>Tds on Rent</t>
  </si>
  <si>
    <t>Computer System</t>
  </si>
  <si>
    <t>TCS AY 22-23</t>
  </si>
  <si>
    <t>Head Office - Mumbai</t>
  </si>
  <si>
    <t>Branch-Sales</t>
  </si>
  <si>
    <t>Interstate@5%</t>
  </si>
  <si>
    <t>Branch Purchase Account</t>
  </si>
  <si>
    <t>Amazon Storage, Pick Pack, Transp and Shipping Fees</t>
  </si>
  <si>
    <t>Business Support Service</t>
  </si>
  <si>
    <t>Electricity Expenses</t>
  </si>
  <si>
    <t>Gst Late Filing Fees</t>
  </si>
  <si>
    <t>Maintenance Expenses</t>
  </si>
  <si>
    <t>Storage, Shipping and Pick and Pack Fees</t>
  </si>
  <si>
    <t>Haryana</t>
  </si>
  <si>
    <t>haryana</t>
  </si>
  <si>
    <t>vloo bs</t>
  </si>
  <si>
    <t>vlook pl</t>
  </si>
  <si>
    <t>Groupings BS</t>
  </si>
  <si>
    <t>Profit or (loss) as per Tally</t>
  </si>
  <si>
    <t>Profit reconciliation</t>
  </si>
  <si>
    <t>As per Tally Reserves</t>
  </si>
  <si>
    <t>As per Tally PL balances</t>
  </si>
  <si>
    <t>Net  reserves</t>
  </si>
  <si>
    <t>Link with FS</t>
  </si>
  <si>
    <t>IND AS</t>
  </si>
  <si>
    <t>Paid to best</t>
  </si>
  <si>
    <t>Interest on Sec depo Lease</t>
  </si>
  <si>
    <t>Notional Interest exp on lease rent</t>
  </si>
  <si>
    <t>Rent adjustment</t>
  </si>
  <si>
    <t>Less deprciaton adjustment amortisation</t>
  </si>
  <si>
    <t>Notional interest expe</t>
  </si>
  <si>
    <t>Add notional income</t>
  </si>
  <si>
    <t>Amortisation of ROU Assets</t>
  </si>
  <si>
    <t xml:space="preserve">Non current </t>
  </si>
  <si>
    <t>Current</t>
  </si>
  <si>
    <t>Loss on sale of property plant &amp; equipement</t>
  </si>
  <si>
    <t>Profit on sale of property plant &amp; equipement</t>
  </si>
  <si>
    <t>Accouting entries for FY 2022_23</t>
  </si>
  <si>
    <t>31.3.23</t>
  </si>
  <si>
    <t>Short term leave balance</t>
  </si>
  <si>
    <t>Long term balance</t>
  </si>
  <si>
    <t>Total liability</t>
  </si>
  <si>
    <t>Current portion</t>
  </si>
  <si>
    <t>Gratuity current portion</t>
  </si>
  <si>
    <t xml:space="preserve">Short term </t>
  </si>
  <si>
    <t>Short term leave</t>
  </si>
  <si>
    <t>Short term Gratuity</t>
  </si>
  <si>
    <t>ix) Anti-dilutive earnings per share (Rs.)</t>
  </si>
  <si>
    <t xml:space="preserve"> As at 31st March, 2023</t>
  </si>
  <si>
    <t>31st March, 2023 
(Rs.)</t>
  </si>
  <si>
    <t>31st March, 2022
(Rs.)</t>
  </si>
  <si>
    <t>31.3.2021</t>
  </si>
  <si>
    <t>Groupings PL</t>
  </si>
  <si>
    <t>1908 E-Ventures Pvt Ltd Sales Returns Year Wise Details FY 22-23</t>
  </si>
  <si>
    <t>Total Return</t>
  </si>
  <si>
    <t> ₹ 44,19,561.00</t>
  </si>
  <si>
    <t> ₹    1,15,96,562.66</t>
  </si>
  <si>
    <t> ₹                    -  </t>
  </si>
  <si>
    <t> ₹    1,60,16,123.66</t>
  </si>
  <si>
    <t> ₹ 17,87,04,301.66</t>
  </si>
  <si>
    <t> ₹      51,515.68</t>
  </si>
  <si>
    <t> ₹ 17,87,55,817.34</t>
  </si>
  <si>
    <t> ₹                        -  </t>
  </si>
  <si>
    <t> ₹ 19,03,00,864.32</t>
  </si>
  <si>
    <t> ₹ 19,47,71,941.00</t>
  </si>
  <si>
    <t>To discuss with akash</t>
  </si>
  <si>
    <t>BOOFOOTEL PRIVATE LIMITED</t>
  </si>
  <si>
    <t>Every Last Details</t>
  </si>
  <si>
    <t>xi)</t>
  </si>
  <si>
    <t>Expressphotos</t>
  </si>
  <si>
    <t>xii)</t>
  </si>
  <si>
    <t>Boofootel Private Limited</t>
  </si>
  <si>
    <t>3D Future Technologies Pvt Ltd</t>
  </si>
  <si>
    <t>Rent Paid</t>
  </si>
  <si>
    <t>Investment Made</t>
  </si>
  <si>
    <t>31.3.2020</t>
  </si>
  <si>
    <t>Profit/(loss) on sale of PPE</t>
  </si>
  <si>
    <t>Proceeds from sale of PPE</t>
  </si>
  <si>
    <t>Purchase of investments</t>
  </si>
  <si>
    <t>Opening Balance</t>
  </si>
  <si>
    <t>The weighted average duration of the defined benefit obligation is 18.39 years (for 31st March, 2022: 18.88 years).</t>
  </si>
  <si>
    <t>OCI Gratuity</t>
  </si>
  <si>
    <t>as per tb</t>
  </si>
  <si>
    <t>As at 31 March 2023</t>
  </si>
  <si>
    <t>Investments in equity shares (fully paid- up)</t>
  </si>
  <si>
    <t xml:space="preserve">Unquoted </t>
  </si>
  <si>
    <t>4,000 (31 March 2022: NIL) equity shares of Rs. 10 each.</t>
  </si>
  <si>
    <t>tally</t>
  </si>
  <si>
    <t>20 lacs against FD of Directors</t>
  </si>
  <si>
    <t>FINANCIAL YEAR 2022-23</t>
  </si>
  <si>
    <t>WDV of Fixed Assets as on 31.03.2023</t>
  </si>
  <si>
    <t>Depreciation Chart for the Year Ending '2022-2023'</t>
  </si>
  <si>
    <t>Unabsorbed Depreciation A Y. 2023-24</t>
  </si>
  <si>
    <t>Losses A.Y. 2023-24</t>
  </si>
  <si>
    <t>Amount already recognized till March 2022</t>
  </si>
  <si>
    <t>Date : 22 May 2023</t>
  </si>
  <si>
    <t xml:space="preserve">  In Indian Associate company measured at cost</t>
  </si>
  <si>
    <t>Provsion for doubtful debts</t>
  </si>
  <si>
    <t>Balance with revenue authorities</t>
  </si>
  <si>
    <t>In respect of stock options granted pursuant to the Company’s stock options schemes, the fair value of the options is treated as discount and accounted as employee compensation over the vesting period.
Expense on Employee Stock Option Schemes debited to the Statement of Profit and Loss during 2022-23 is Rupees NIL, (previous year: Rupees 2074000).</t>
  </si>
  <si>
    <t>The expected volatility has been determined on basis of, inter alia, historical data, forecasted growth of the company and other factors as deemed reasonable and appropriate for the purposes of this valuation.</t>
  </si>
  <si>
    <t>A. The major components of income tax expense for the year are as under :</t>
  </si>
  <si>
    <t>(i) Income tax recognised in the statement of profit and loss</t>
  </si>
  <si>
    <t>Current tax</t>
  </si>
  <si>
    <t>In respect of current year</t>
  </si>
  <si>
    <t>Deferred tax credit</t>
  </si>
  <si>
    <t>Income tax expense/(credit) recognised in the statement of profit and loss</t>
  </si>
  <si>
    <t>(ii) Income tax recognised in OCI</t>
  </si>
  <si>
    <t>Deferred tax expenses on remeasurements of defined benefit plans</t>
  </si>
  <si>
    <t>Income tax expenses recognised in OCI</t>
  </si>
  <si>
    <t>xiii)</t>
  </si>
  <si>
    <t>J. B. Advani &amp; Company Pvt Ltd</t>
  </si>
  <si>
    <t>Ador Powertron Ltd</t>
  </si>
  <si>
    <t>Ador Welding Ltd</t>
  </si>
  <si>
    <t>Ador Fontech Ltd</t>
  </si>
  <si>
    <t>Sale of Capital Goods</t>
  </si>
  <si>
    <t xml:space="preserve">Anatomicals Ador India Pvt. Ltd. </t>
  </si>
  <si>
    <t>Deep Lalvani - Repayment by way of conversion into Equity</t>
  </si>
  <si>
    <t>(Figures in bracket represents previous years numbers)</t>
  </si>
  <si>
    <t>As at 31 March 2022</t>
  </si>
  <si>
    <t>Add: Rent paid</t>
  </si>
  <si>
    <t>End of Year 1 (31/03/2022)</t>
  </si>
  <si>
    <r>
      <rPr>
        <b/>
        <sz val="11"/>
        <rFont val="Garamond"/>
        <family val="1"/>
      </rPr>
      <t xml:space="preserve">Level 1: </t>
    </r>
    <r>
      <rPr>
        <sz val="11"/>
        <rFont val="Garamond"/>
        <family val="1"/>
      </rPr>
      <t>Level 1 hierarchy includes financial instruments measured using quoted prices. For example, listed equity instruments that have quoted market price.</t>
    </r>
  </si>
  <si>
    <r>
      <rPr>
        <b/>
        <sz val="11"/>
        <rFont val="Garamond"/>
        <family val="1"/>
      </rPr>
      <t>Level 2</t>
    </r>
    <r>
      <rPr>
        <sz val="11"/>
        <rFont val="Garamond"/>
        <family val="1"/>
      </rPr>
      <t>: The fair value of financial instruments that are not traded in an active market (for example, traded bonds, over-the- counter derivatives) is determined using valuation techniques which maximise the use of observable market data and rely as little as possible on entity-specific estimates. If all significant inputs required to fair value an instrument are observable, the instrument is included in level 2.</t>
    </r>
  </si>
  <si>
    <r>
      <rPr>
        <b/>
        <sz val="11"/>
        <rFont val="Garamond"/>
        <family val="1"/>
      </rPr>
      <t xml:space="preserve">Level 3: </t>
    </r>
    <r>
      <rPr>
        <sz val="11"/>
        <rFont val="Garamond"/>
        <family val="1"/>
      </rPr>
      <t>If one or more of the significant inputs is not based on observable market data, the instrument is included in level 3. This is the case for unlisted equity securities, contingent consideration and indemnification asset included in level 3.</t>
    </r>
  </si>
  <si>
    <r>
      <t>T</t>
    </r>
    <r>
      <rPr>
        <sz val="7"/>
        <rFont val="Garamond"/>
        <family val="1"/>
      </rPr>
      <t xml:space="preserve">1 </t>
    </r>
    <r>
      <rPr>
        <sz val="11"/>
        <rFont val="Garamond"/>
        <family val="1"/>
      </rPr>
      <t>= End of time period</t>
    </r>
  </si>
  <si>
    <r>
      <t>T</t>
    </r>
    <r>
      <rPr>
        <sz val="7"/>
        <rFont val="Garamond"/>
        <family val="1"/>
      </rPr>
      <t xml:space="preserve">0 </t>
    </r>
    <r>
      <rPr>
        <sz val="11"/>
        <rFont val="Garamond"/>
        <family val="1"/>
      </rPr>
      <t>= Beginning of time period</t>
    </r>
  </si>
  <si>
    <r>
      <t>t = Specific date falling between T</t>
    </r>
    <r>
      <rPr>
        <sz val="7"/>
        <rFont val="Garamond"/>
        <family val="1"/>
      </rPr>
      <t xml:space="preserve">1 </t>
    </r>
    <r>
      <rPr>
        <sz val="11"/>
        <rFont val="Garamond"/>
        <family val="1"/>
      </rPr>
      <t>and T</t>
    </r>
    <r>
      <rPr>
        <sz val="7"/>
        <rFont val="Garamond"/>
        <family val="1"/>
      </rPr>
      <t>0</t>
    </r>
  </si>
  <si>
    <r>
      <t>MV(T</t>
    </r>
    <r>
      <rPr>
        <sz val="7"/>
        <rFont val="Garamond"/>
        <family val="1"/>
      </rPr>
      <t>1</t>
    </r>
    <r>
      <rPr>
        <sz val="11"/>
        <rFont val="Garamond"/>
        <family val="1"/>
      </rPr>
      <t>) = Market Value at T</t>
    </r>
    <r>
      <rPr>
        <sz val="7"/>
        <rFont val="Garamond"/>
        <family val="1"/>
      </rPr>
      <t>1</t>
    </r>
  </si>
  <si>
    <r>
      <t>MV(T</t>
    </r>
    <r>
      <rPr>
        <sz val="7"/>
        <rFont val="Garamond"/>
        <family val="1"/>
      </rPr>
      <t>0</t>
    </r>
    <r>
      <rPr>
        <sz val="11"/>
        <rFont val="Garamond"/>
        <family val="1"/>
      </rPr>
      <t>) = Market Value at T</t>
    </r>
    <r>
      <rPr>
        <sz val="7"/>
        <rFont val="Garamond"/>
        <family val="1"/>
      </rPr>
      <t>0</t>
    </r>
  </si>
  <si>
    <t>Boofootel Private Limited (associate w.e.f 18.11.2022)</t>
  </si>
  <si>
    <t>For more information on financial instruments Refer note no. 38.</t>
  </si>
  <si>
    <t>[Currency: Indian Rupees(Rs.'000)]</t>
  </si>
  <si>
    <t>Grant price Rs.</t>
  </si>
  <si>
    <t>E) Share price Rs.</t>
  </si>
  <si>
    <r>
      <t>*The Company has utilised overdraft facility aggregating to Rs. 9,604.11 (Previous Year: Nil). One overdraft facility is against the drawing power of  Rs. 9,000.00</t>
    </r>
    <r>
      <rPr>
        <sz val="11"/>
        <rFont val="Garamond"/>
        <family val="1"/>
      </rPr>
      <t xml:space="preserve"> (</t>
    </r>
    <r>
      <rPr>
        <sz val="11"/>
        <rFont val="Garamond"/>
        <family val="2"/>
      </rPr>
      <t>Previous Year Rs. NIL) which is secured against mutual fund investment of M/s J.B.Advani &amp; Company Private Limited provided as collateral security by marking lien on mutual fund investments in favour of the bank.
Another overdraft facility is of Rs. 2000.00 (Previous Year Rs. NIL) which is secured against Fixed deposit provided by Director as collateral security by marking lien on Fixed deposit.</t>
    </r>
  </si>
  <si>
    <t>iii. The lease rentals recognised in the Statement of Profit and Loss for the year are Rs. 628.32  (Previous Year: Rs. 264.97).</t>
  </si>
  <si>
    <t>The Company recognised Rs. 921.02 (previous year Rs. 641.46) for Provident Fund contribution in the Statement of Profit and Loss.</t>
  </si>
  <si>
    <t>The other long term retirement benefit compensated absences is recognised based on the acturial valuation report for the relevant period. During the year company has recognised liability for compensated absences of Rs. 479.27 (Previous year Rs. 493.37).</t>
  </si>
  <si>
    <t>The grant of options to the employees under the stock option schemes is on the basis of their performance and other eligibility criteria. The options are vested over a period of 3 years subject to the discretion of the management and fulfillment of certain conditions.
Nil Equity Shares of Face Value of Rupees  10/- each (Previous Year: 50,000 Equity Shares of Face Value of Rupees  10/- each ) are reserved for issue under Employee Stock Option Scheme-2019 (ESOS-2019)</t>
  </si>
  <si>
    <t>ii. The Company's Right-of-use assets comprises of office building whose net carrying amount as at 31 March 2023 is Rs.569.72 (Previous year: Rs. 872.85 ) after adjusting accumulated depreciation of Rs. 339.67 (Previous year: Rs. 36.54).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</si>
</sst>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43" formatCode="_(* #,##0.00_);_(* \(#,##0.00\);_(* &quot;-&quot;??_);_(@_)"/>
    <numFmt numFmtId="164" formatCode="&quot;₹&quot;\ #,##0;[Red]&quot;₹&quot;\ \-#,##0"/>
    <numFmt numFmtId="165" formatCode="&quot;₹&quot;\ #,##0.00;[Red]&quot;₹&quot;\ \-#,##0.00"/>
    <numFmt numFmtId="166" formatCode="_ &quot;₹&quot;\ * #,##0.00_ ;_ &quot;₹&quot;\ * \-#,##0.00_ ;_ &quot;₹&quot;\ * &quot;-&quot;??_ ;_ @_ "/>
    <numFmt numFmtId="167" formatCode="_ * #,##0.00_ ;_ * \-#,##0.00_ ;_ * &quot;-&quot;??_ ;_ @_ "/>
    <numFmt numFmtId="168" formatCode="&quot;$&quot;#,##0_);[Red]\(&quot;$&quot;#,##0\)"/>
    <numFmt numFmtId="169" formatCode="_(&quot;$&quot;* #,##0.00_);_(&quot;$&quot;* \(#,##0.00\);_(&quot;$&quot;* &quot;-&quot;??_);_(@_)"/>
    <numFmt numFmtId="170" formatCode="_(* #,##0_);_(* \(#,##0\);_(* &quot;-&quot;??_);_(@_)"/>
    <numFmt numFmtId="171" formatCode="0.00_);\(0.00\)"/>
    <numFmt numFmtId="172" formatCode="_-* #,##0.00_-;\-* #,##0.00_-;_-* &quot;-&quot;??_-;_-@_-"/>
    <numFmt numFmtId="173" formatCode="_-* #,##0_-;\-* #,##0_-;_-* &quot;-&quot;??_-;_-@_-"/>
    <numFmt numFmtId="174" formatCode="_(* #,##0.000_);_(* \(#,##0.000\);_(* &quot;-&quot;??_);_(@_)"/>
    <numFmt numFmtId="175" formatCode="&quot;&quot;0"/>
    <numFmt numFmtId="176" formatCode="&quot;&quot;0.00"/>
    <numFmt numFmtId="177" formatCode="_ [$₹-4009]\ * #,##0_ ;_ [$₹-4009]\ * \-#,##0_ ;_ [$₹-4009]\ * &quot;-&quot;_ ;_ @_ "/>
    <numFmt numFmtId="178" formatCode="0.0%"/>
    <numFmt numFmtId="179" formatCode="_(&quot;$&quot;* #,##0_);_(&quot;$&quot;* \(#,##0\);_(&quot;$&quot;* &quot;-&quot;??_);_(@_)"/>
    <numFmt numFmtId="180" formatCode="[$$-409]#,##0.00;[Red]&quot;-&quot;[$$-409]#,##0.00"/>
    <numFmt numFmtId="181" formatCode="0.00_)"/>
    <numFmt numFmtId="182" formatCode="_(* #,##0.00_);_(* \(#,##0.00\);_(* \-??_);_(@_)"/>
    <numFmt numFmtId="183" formatCode="[$$-409]#,##0.00;[Red]\-[$$-409]#,##0.00"/>
    <numFmt numFmtId="184" formatCode="_ * #,##0_ ;_ * \-#,##0_ ;_ * &quot;-&quot;??_ ;_ @_ "/>
    <numFmt numFmtId="185" formatCode="#,##0.000;\-#,##0.000;\-\ "/>
    <numFmt numFmtId="186" formatCode="[$-809]d\ mmmm\ yyyy;@"/>
    <numFmt numFmtId="187" formatCode="\£\ #,##0_);[Red]\(\£\ #,##0\)"/>
    <numFmt numFmtId="188" formatCode="_(* #,##0.0000_);_(* \(#,##0.0000\);_(* &quot;-&quot;??_);_(@_)"/>
    <numFmt numFmtId="189" formatCode="0.000%"/>
    <numFmt numFmtId="190" formatCode="0.0"/>
    <numFmt numFmtId="191" formatCode="#,##0.0000000000_ ;\-#,##0.0000000000\ "/>
    <numFmt numFmtId="192" formatCode="#,##0.00,"/>
  </numFmts>
  <fonts count="77">
    <font>
      <sz val="11"/>
      <color theme="1"/>
      <name val="Calibri"/>
      <family val="2"/>
      <scheme val="minor"/>
    </font>
    <font>
      <sz val="11"/>
      <color theme="1"/>
      <name val="Calibri"/>
      <family val="2"/>
      <scheme val="minor"/>
    </font>
    <font>
      <sz val="11"/>
      <color theme="1"/>
      <name val="Garamond"/>
      <family val="2"/>
    </font>
    <font>
      <sz val="11"/>
      <name val="Garamond"/>
      <family val="1"/>
    </font>
    <font>
      <b/>
      <sz val="11"/>
      <name val="Garamond"/>
      <family val="1"/>
    </font>
    <font>
      <sz val="10"/>
      <name val="Arial"/>
      <family val="2"/>
    </font>
    <font>
      <sz val="11"/>
      <name val="Arial"/>
      <family val="2"/>
    </font>
    <font>
      <b/>
      <sz val="11"/>
      <name val="Arial"/>
      <family val="2"/>
    </font>
    <font>
      <sz val="10"/>
      <color theme="1"/>
      <name val="Arial"/>
      <family val="2"/>
    </font>
    <font>
      <b/>
      <sz val="10"/>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000000"/>
      <name val="Arial"/>
      <family val="2"/>
    </font>
    <font>
      <b/>
      <i/>
      <sz val="16"/>
      <color rgb="FF000000"/>
      <name val="Arial"/>
      <family val="2"/>
    </font>
    <font>
      <b/>
      <i/>
      <u/>
      <sz val="11"/>
      <color rgb="FF000000"/>
      <name val="Arial"/>
      <family val="2"/>
    </font>
    <font>
      <sz val="10"/>
      <name val="Arial"/>
      <family val="2"/>
      <charset val="1"/>
    </font>
    <font>
      <sz val="10"/>
      <name val="Mangal"/>
      <family val="2"/>
    </font>
    <font>
      <b/>
      <i/>
      <sz val="16"/>
      <color indexed="8"/>
      <name val="Arial"/>
      <family val="2"/>
      <charset val="1"/>
    </font>
    <font>
      <b/>
      <i/>
      <u/>
      <sz val="11"/>
      <color indexed="8"/>
      <name val="Arial"/>
      <family val="2"/>
      <charset val="1"/>
    </font>
    <font>
      <b/>
      <u/>
      <sz val="11"/>
      <name val="Garamond"/>
      <family val="1"/>
    </font>
    <font>
      <sz val="11"/>
      <name val="Garamond"/>
      <family val="2"/>
    </font>
    <font>
      <u/>
      <sz val="10"/>
      <color indexed="12"/>
      <name val="Arial"/>
      <family val="2"/>
    </font>
    <font>
      <i/>
      <sz val="11"/>
      <name val="Garamond"/>
      <family val="1"/>
    </font>
    <font>
      <sz val="11.5"/>
      <name val="Garamond"/>
      <family val="1"/>
    </font>
    <font>
      <sz val="12"/>
      <name val="Garamond"/>
      <family val="1"/>
    </font>
    <font>
      <u/>
      <sz val="11"/>
      <name val="Garamond"/>
      <family val="1"/>
    </font>
    <font>
      <sz val="10"/>
      <name val="Garamond"/>
      <family val="1"/>
    </font>
    <font>
      <b/>
      <sz val="11.9"/>
      <name val="Book Antiqua"/>
      <family val="1"/>
    </font>
    <font>
      <sz val="11.9"/>
      <name val="Book Antiqua"/>
      <family val="1"/>
    </font>
    <font>
      <i/>
      <sz val="11.9"/>
      <name val="Book Antiqua"/>
      <family val="1"/>
    </font>
    <font>
      <sz val="11"/>
      <name val="Calibri"/>
      <family val="2"/>
      <scheme val="minor"/>
    </font>
    <font>
      <u/>
      <sz val="11"/>
      <color theme="10"/>
      <name val="Calibri"/>
      <family val="2"/>
      <scheme val="minor"/>
    </font>
    <font>
      <b/>
      <sz val="11"/>
      <name val="Rupee f"/>
    </font>
    <font>
      <sz val="11"/>
      <name val="Book Antiqua"/>
      <family val="1"/>
    </font>
    <font>
      <b/>
      <sz val="10"/>
      <name val="Book Antiqua"/>
      <family val="1"/>
    </font>
    <font>
      <b/>
      <sz val="12"/>
      <name val="Book Antiqua"/>
      <family val="1"/>
    </font>
    <font>
      <b/>
      <sz val="11"/>
      <name val="Book Antiqua"/>
      <family val="1"/>
    </font>
    <font>
      <sz val="10"/>
      <name val="Book Antiqua"/>
      <family val="1"/>
    </font>
    <font>
      <b/>
      <i/>
      <sz val="11"/>
      <name val="Garamond"/>
      <family val="1"/>
    </font>
    <font>
      <b/>
      <sz val="11"/>
      <name val="Calibri"/>
      <family val="2"/>
      <scheme val="minor"/>
    </font>
    <font>
      <b/>
      <u val="singleAccounting"/>
      <sz val="11"/>
      <name val="Garamond"/>
      <family val="1"/>
    </font>
    <font>
      <b/>
      <sz val="14"/>
      <name val="Calibri"/>
      <family val="2"/>
      <scheme val="minor"/>
    </font>
    <font>
      <b/>
      <u/>
      <sz val="11"/>
      <name val="Calibri"/>
      <family val="2"/>
      <scheme val="minor"/>
    </font>
    <font>
      <i/>
      <sz val="11"/>
      <name val="Calibri"/>
      <family val="2"/>
      <scheme val="minor"/>
    </font>
    <font>
      <sz val="12"/>
      <name val="Arial"/>
      <family val="2"/>
    </font>
    <font>
      <b/>
      <sz val="12"/>
      <name val="Arial"/>
      <family val="2"/>
    </font>
    <font>
      <b/>
      <sz val="11.5"/>
      <name val="Garamond"/>
      <family val="1"/>
    </font>
    <font>
      <sz val="8"/>
      <name val="Garamond"/>
      <family val="1"/>
    </font>
    <font>
      <sz val="8"/>
      <name val="Calibri"/>
      <family val="2"/>
      <scheme val="minor"/>
    </font>
    <font>
      <sz val="7"/>
      <name val="Garamond"/>
      <family val="1"/>
    </font>
    <font>
      <i/>
      <sz val="9"/>
      <name val="Arial"/>
      <family val="2"/>
    </font>
    <font>
      <b/>
      <sz val="9"/>
      <name val="Arial"/>
      <family val="2"/>
    </font>
    <font>
      <b/>
      <i/>
      <sz val="9"/>
      <name val="Arial"/>
      <family val="2"/>
    </font>
    <font>
      <sz val="9"/>
      <name val="Arial"/>
      <family val="2"/>
    </font>
    <font>
      <u/>
      <sz val="11"/>
      <name val="Calibri"/>
      <family val="2"/>
      <scheme val="minor"/>
    </font>
    <font>
      <sz val="12"/>
      <name val="Book Antiqua"/>
      <family val="1"/>
    </font>
    <font>
      <b/>
      <u/>
      <sz val="12"/>
      <name val="Book Antiqua"/>
      <family val="1"/>
    </font>
    <font>
      <sz val="11"/>
      <name val="Rupee f"/>
    </font>
    <font>
      <b/>
      <sz val="11"/>
      <name val="Rupee Foradian"/>
      <family val="2"/>
    </font>
    <font>
      <sz val="12"/>
      <name val="Times New Roman"/>
      <family val="1"/>
    </font>
    <font>
      <b/>
      <sz val="11"/>
      <color rgb="FFFF0000"/>
      <name val="Garamond"/>
      <family val="1"/>
    </font>
  </fonts>
  <fills count="25">
    <fill>
      <patternFill patternType="none"/>
    </fill>
    <fill>
      <patternFill patternType="gray125"/>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137">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medium">
        <color indexed="64"/>
      </left>
      <right style="medium">
        <color indexed="64"/>
      </right>
      <top/>
      <bottom/>
      <diagonal/>
    </border>
    <border>
      <left style="thin">
        <color indexed="64"/>
      </left>
      <right style="thin">
        <color indexed="64"/>
      </right>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double">
        <color indexed="64"/>
      </bottom>
      <diagonal/>
    </border>
    <border>
      <left style="thin">
        <color indexed="64"/>
      </left>
      <right style="thin">
        <color indexed="64"/>
      </right>
      <top style="thin">
        <color indexed="64"/>
      </top>
      <bottom/>
      <diagonal/>
    </border>
    <border>
      <left/>
      <right style="thin">
        <color indexed="64"/>
      </right>
      <top style="thin">
        <color auto="1"/>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top style="thin">
        <color auto="1"/>
      </top>
      <bottom style="thin">
        <color indexed="64"/>
      </bottom>
      <diagonal/>
    </border>
    <border>
      <left/>
      <right/>
      <top style="thin">
        <color auto="1"/>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ck">
        <color auto="1"/>
      </left>
      <right style="thin">
        <color auto="1"/>
      </right>
      <top/>
      <bottom/>
      <diagonal/>
    </border>
    <border>
      <left style="thin">
        <color auto="1"/>
      </left>
      <right style="thick">
        <color auto="1"/>
      </right>
      <top/>
      <bottom/>
      <diagonal/>
    </border>
    <border>
      <left style="thick">
        <color indexed="64"/>
      </left>
      <right style="thin">
        <color indexed="64"/>
      </right>
      <top style="thin">
        <color indexed="64"/>
      </top>
      <bottom style="thick">
        <color indexed="64"/>
      </bottom>
      <diagonal/>
    </border>
    <border>
      <left style="thick">
        <color indexed="64"/>
      </left>
      <right/>
      <top style="thick">
        <color indexed="64"/>
      </top>
      <bottom style="thin">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style="thick">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style="thick">
        <color auto="1"/>
      </right>
      <top/>
      <bottom style="thick">
        <color auto="1"/>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ck">
        <color auto="1"/>
      </left>
      <right style="thin">
        <color auto="1"/>
      </right>
      <top style="thick">
        <color auto="1"/>
      </top>
      <bottom style="thick">
        <color auto="1"/>
      </bottom>
      <diagonal/>
    </border>
    <border>
      <left style="thin">
        <color indexed="64"/>
      </left>
      <right style="thin">
        <color indexed="64"/>
      </right>
      <top style="thick">
        <color auto="1"/>
      </top>
      <bottom style="thick">
        <color auto="1"/>
      </bottom>
      <diagonal/>
    </border>
    <border>
      <left style="thin">
        <color auto="1"/>
      </left>
      <right style="thick">
        <color auto="1"/>
      </right>
      <top style="thick">
        <color auto="1"/>
      </top>
      <bottom style="thick">
        <color auto="1"/>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bottom/>
      <diagonal/>
    </border>
  </borders>
  <cellStyleXfs count="2635">
    <xf numFmtId="0" fontId="0" fillId="0" borderId="0"/>
    <xf numFmtId="43" fontId="1" fillId="0" borderId="0" applyFont="0" applyFill="0" applyBorder="0" applyAlignment="0" applyProtection="0"/>
    <xf numFmtId="0" fontId="2" fillId="0" borderId="0"/>
    <xf numFmtId="43" fontId="2" fillId="0" borderId="0" applyFont="0" applyFill="0" applyBorder="0" applyAlignment="0" applyProtection="0"/>
    <xf numFmtId="0" fontId="5" fillId="0" borderId="0"/>
    <xf numFmtId="0" fontId="5" fillId="0" borderId="0"/>
    <xf numFmtId="0" fontId="5" fillId="0" borderId="0"/>
    <xf numFmtId="43" fontId="1" fillId="0" borderId="0" applyFont="0" applyFill="0" applyBorder="0" applyAlignment="0" applyProtection="0"/>
    <xf numFmtId="0" fontId="5" fillId="0" borderId="0" applyFont="0" applyFill="0" applyBorder="0" applyAlignment="0" applyProtection="0"/>
    <xf numFmtId="174" fontId="5" fillId="0" borderId="0" applyFont="0" applyFill="0" applyBorder="0" applyAlignment="0" applyProtection="0"/>
    <xf numFmtId="43" fontId="5" fillId="0" borderId="0" applyFont="0" applyFill="0" applyBorder="0" applyAlignment="0" applyProtection="0"/>
    <xf numFmtId="0" fontId="1" fillId="0" borderId="0" applyFont="0" applyFill="0" applyBorder="0" applyAlignment="0" applyProtection="0"/>
    <xf numFmtId="0" fontId="1" fillId="0" borderId="0"/>
    <xf numFmtId="0" fontId="5" fillId="0" borderId="0"/>
    <xf numFmtId="169" fontId="1" fillId="0" borderId="0" applyFont="0" applyFill="0" applyBorder="0" applyAlignment="0" applyProtection="0"/>
    <xf numFmtId="0" fontId="1" fillId="0" borderId="0"/>
    <xf numFmtId="43" fontId="1" fillId="0" borderId="0" applyFont="0" applyFill="0" applyBorder="0" applyAlignment="0" applyProtection="0"/>
    <xf numFmtId="0" fontId="5" fillId="0" borderId="0"/>
    <xf numFmtId="0" fontId="5" fillId="0" borderId="0"/>
    <xf numFmtId="43" fontId="1" fillId="0" borderId="0" applyFont="0" applyFill="0" applyBorder="0" applyAlignment="0" applyProtection="0"/>
    <xf numFmtId="9" fontId="1" fillId="0" borderId="0" applyFont="0" applyFill="0" applyBorder="0" applyAlignment="0" applyProtection="0"/>
    <xf numFmtId="0" fontId="10" fillId="0" borderId="0">
      <alignment vertical="top"/>
    </xf>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10" fillId="0" borderId="0">
      <alignment vertical="top"/>
    </xf>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5" fillId="0" borderId="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5" fillId="0" borderId="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5" applyNumberFormat="0" applyAlignment="0" applyProtection="0"/>
    <xf numFmtId="0" fontId="15" fillId="22" borderId="26" applyNumberFormat="0" applyAlignment="0" applyProtection="0"/>
    <xf numFmtId="43"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7" applyNumberFormat="0" applyFill="0" applyAlignment="0" applyProtection="0"/>
    <xf numFmtId="0" fontId="19" fillId="0" borderId="28" applyNumberFormat="0" applyFill="0" applyAlignment="0" applyProtection="0"/>
    <xf numFmtId="0" fontId="20" fillId="0" borderId="29" applyNumberFormat="0" applyFill="0" applyAlignment="0" applyProtection="0"/>
    <xf numFmtId="0" fontId="20" fillId="0" borderId="0" applyNumberFormat="0" applyFill="0" applyBorder="0" applyAlignment="0" applyProtection="0"/>
    <xf numFmtId="0" fontId="21" fillId="8" borderId="25" applyNumberFormat="0" applyAlignment="0" applyProtection="0"/>
    <xf numFmtId="0" fontId="22" fillId="0" borderId="30" applyNumberFormat="0" applyFill="0" applyAlignment="0" applyProtection="0"/>
    <xf numFmtId="0" fontId="23" fillId="23" borderId="0" applyNumberFormat="0" applyBorder="0" applyAlignment="0" applyProtection="0"/>
    <xf numFmtId="0" fontId="11" fillId="24" borderId="31" applyNumberFormat="0" applyFont="0" applyAlignment="0" applyProtection="0"/>
    <xf numFmtId="0" fontId="24" fillId="21" borderId="32" applyNumberFormat="0" applyAlignment="0" applyProtection="0"/>
    <xf numFmtId="0" fontId="25" fillId="0" borderId="0" applyNumberFormat="0" applyFill="0" applyBorder="0" applyAlignment="0" applyProtection="0"/>
    <xf numFmtId="0" fontId="26" fillId="0" borderId="33" applyNumberFormat="0" applyFill="0" applyAlignment="0" applyProtection="0"/>
    <xf numFmtId="0" fontId="27" fillId="0" borderId="0" applyNumberFormat="0" applyFill="0" applyBorder="0" applyAlignment="0" applyProtection="0"/>
    <xf numFmtId="0" fontId="5" fillId="0" borderId="0"/>
    <xf numFmtId="0" fontId="5" fillId="0" borderId="0"/>
    <xf numFmtId="0" fontId="5" fillId="0" borderId="0"/>
    <xf numFmtId="0" fontId="28" fillId="0" borderId="0"/>
    <xf numFmtId="0" fontId="29" fillId="0" borderId="0" applyNumberFormat="0" applyBorder="0" applyProtection="0">
      <alignment horizontal="center"/>
    </xf>
    <xf numFmtId="0" fontId="29" fillId="0" borderId="0" applyNumberFormat="0" applyBorder="0" applyProtection="0">
      <alignment horizontal="center" textRotation="90"/>
    </xf>
    <xf numFmtId="0" fontId="30" fillId="0" borderId="0" applyNumberFormat="0" applyBorder="0" applyProtection="0"/>
    <xf numFmtId="180" fontId="30" fillId="0" borderId="0" applyBorder="0" applyProtection="0"/>
    <xf numFmtId="181" fontId="5" fillId="0" borderId="0"/>
    <xf numFmtId="181" fontId="5" fillId="0" borderId="0"/>
    <xf numFmtId="43" fontId="1" fillId="0" borderId="0" applyFont="0" applyFill="0" applyBorder="0" applyAlignment="0" applyProtection="0"/>
    <xf numFmtId="0" fontId="5" fillId="0" borderId="0"/>
    <xf numFmtId="9" fontId="1" fillId="0" borderId="0" applyFont="0" applyFill="0" applyBorder="0" applyAlignment="0" applyProtection="0"/>
    <xf numFmtId="0" fontId="31" fillId="0" borderId="0"/>
    <xf numFmtId="182" fontId="32" fillId="0" borderId="0" applyFill="0" applyBorder="0" applyAlignment="0" applyProtection="0"/>
    <xf numFmtId="167" fontId="1" fillId="0" borderId="0" applyFont="0" applyFill="0" applyBorder="0" applyAlignment="0" applyProtection="0"/>
    <xf numFmtId="43" fontId="5" fillId="0" borderId="0" applyFont="0" applyFill="0" applyBorder="0" applyAlignment="0" applyProtection="0"/>
    <xf numFmtId="0" fontId="11" fillId="0" borderId="0" applyBorder="0" applyProtection="0"/>
    <xf numFmtId="0" fontId="33" fillId="0" borderId="0" applyNumberFormat="0" applyBorder="0" applyProtection="0">
      <alignment horizontal="center" textRotation="90"/>
    </xf>
    <xf numFmtId="0" fontId="1" fillId="0" borderId="0"/>
    <xf numFmtId="0" fontId="34" fillId="0" borderId="0" applyNumberFormat="0" applyBorder="0" applyProtection="0"/>
    <xf numFmtId="183" fontId="34" fillId="0" borderId="0" applyBorder="0" applyProtection="0"/>
    <xf numFmtId="0" fontId="26" fillId="0" borderId="42"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21" fillId="8" borderId="39" applyNumberFormat="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21" fillId="8" borderId="34" applyNumberFormat="0" applyAlignment="0" applyProtection="0"/>
    <xf numFmtId="0" fontId="21" fillId="8" borderId="39"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4" applyNumberFormat="0" applyAlignment="0" applyProtection="0"/>
    <xf numFmtId="0" fontId="14" fillId="21" borderId="39"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4" fillId="21" borderId="41" applyNumberFormat="0" applyAlignment="0" applyProtection="0"/>
    <xf numFmtId="0" fontId="21" fillId="8" borderId="34" applyNumberFormat="0" applyAlignment="0" applyProtection="0"/>
    <xf numFmtId="0" fontId="14" fillId="21" borderId="39"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11" fillId="24" borderId="40" applyNumberFormat="0" applyFon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14" fillId="21"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4"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6" fillId="0" borderId="42" applyNumberFormat="0" applyFill="0" applyAlignment="0" applyProtection="0"/>
    <xf numFmtId="0" fontId="21" fillId="8"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4" fillId="21" borderId="41"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4" fillId="21" borderId="39" applyNumberFormat="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11" fillId="24" borderId="40" applyNumberFormat="0" applyFont="0" applyAlignment="0" applyProtection="0"/>
    <xf numFmtId="0" fontId="21" fillId="8" borderId="34" applyNumberFormat="0" applyAlignment="0" applyProtection="0"/>
    <xf numFmtId="0" fontId="26" fillId="0" borderId="42" applyNumberFormat="0" applyFill="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24" fillId="21" borderId="41" applyNumberFormat="0" applyAlignment="0" applyProtection="0"/>
    <xf numFmtId="0" fontId="14" fillId="21"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11" fillId="24" borderId="40" applyNumberFormat="0" applyFont="0" applyAlignment="0" applyProtection="0"/>
    <xf numFmtId="0" fontId="21" fillId="8" borderId="34" applyNumberFormat="0" applyAlignment="0" applyProtection="0"/>
    <xf numFmtId="0" fontId="24" fillId="21" borderId="41"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40" applyNumberFormat="0" applyFon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1" fillId="8" borderId="39" applyNumberFormat="0" applyAlignment="0" applyProtection="0"/>
    <xf numFmtId="0" fontId="21" fillId="8" borderId="34" applyNumberFormat="0" applyAlignment="0" applyProtection="0"/>
    <xf numFmtId="0" fontId="26" fillId="0" borderId="42" applyNumberFormat="0" applyFill="0" applyAlignment="0" applyProtection="0"/>
    <xf numFmtId="0" fontId="11" fillId="24" borderId="35" applyNumberFormat="0" applyFont="0" applyAlignment="0" applyProtection="0"/>
    <xf numFmtId="0" fontId="24" fillId="21" borderId="36" applyNumberFormat="0" applyAlignment="0" applyProtection="0"/>
    <xf numFmtId="0" fontId="26" fillId="0" borderId="42" applyNumberFormat="0" applyFill="0" applyAlignment="0" applyProtection="0"/>
    <xf numFmtId="0" fontId="26" fillId="0" borderId="37" applyNumberFormat="0" applyFill="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9" applyNumberFormat="0" applyAlignment="0" applyProtection="0"/>
    <xf numFmtId="0" fontId="24" fillId="21" borderId="41"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11" fillId="24" borderId="40" applyNumberFormat="0" applyFont="0" applyAlignment="0" applyProtection="0"/>
    <xf numFmtId="0" fontId="14" fillId="21" borderId="39" applyNumberFormat="0" applyAlignment="0" applyProtection="0"/>
    <xf numFmtId="0" fontId="21" fillId="8" borderId="34" applyNumberFormat="0" applyAlignment="0" applyProtection="0"/>
    <xf numFmtId="0" fontId="21" fillId="8" borderId="39" applyNumberFormat="0" applyAlignment="0" applyProtection="0"/>
    <xf numFmtId="0" fontId="24" fillId="21" borderId="41"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42" applyNumberFormat="0" applyFill="0" applyAlignment="0" applyProtection="0"/>
    <xf numFmtId="0" fontId="24" fillId="21" borderId="41"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21" fillId="8" borderId="34" applyNumberFormat="0" applyAlignment="0" applyProtection="0"/>
    <xf numFmtId="0" fontId="11" fillId="24" borderId="40" applyNumberFormat="0" applyFont="0" applyAlignment="0" applyProtection="0"/>
    <xf numFmtId="0" fontId="11" fillId="24" borderId="35" applyNumberFormat="0" applyFont="0" applyAlignment="0" applyProtection="0"/>
    <xf numFmtId="0" fontId="24" fillId="21" borderId="36" applyNumberFormat="0" applyAlignment="0" applyProtection="0"/>
    <xf numFmtId="0" fontId="11" fillId="24" borderId="40" applyNumberFormat="0" applyFon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4" fillId="21" borderId="41"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11" fillId="24" borderId="40" applyNumberFormat="0" applyFont="0" applyAlignment="0" applyProtection="0"/>
    <xf numFmtId="0" fontId="26" fillId="0" borderId="37" applyNumberFormat="0" applyFill="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1" fillId="8" borderId="39" applyNumberFormat="0" applyAlignment="0" applyProtection="0"/>
    <xf numFmtId="0" fontId="26" fillId="0" borderId="37" applyNumberFormat="0" applyFill="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4" applyNumberFormat="0" applyAlignment="0" applyProtection="0"/>
    <xf numFmtId="0" fontId="21" fillId="8" borderId="39"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24" fillId="21" borderId="41" applyNumberFormat="0" applyAlignment="0" applyProtection="0"/>
    <xf numFmtId="0" fontId="14" fillId="21"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1" fillId="8" borderId="39"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11" fillId="24" borderId="40" applyNumberFormat="0" applyFon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4" applyNumberFormat="0" applyAlignment="0" applyProtection="0"/>
    <xf numFmtId="0" fontId="14" fillId="21" borderId="39" applyNumberFormat="0" applyAlignment="0" applyProtection="0"/>
    <xf numFmtId="0" fontId="21" fillId="8" borderId="34" applyNumberFormat="0" applyAlignment="0" applyProtection="0"/>
    <xf numFmtId="0" fontId="14" fillId="21" borderId="39"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9"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24" fillId="21" borderId="41" applyNumberFormat="0" applyAlignment="0" applyProtection="0"/>
    <xf numFmtId="0" fontId="21" fillId="8" borderId="34" applyNumberFormat="0" applyAlignment="0" applyProtection="0"/>
    <xf numFmtId="0" fontId="26" fillId="0" borderId="42" applyNumberFormat="0" applyFill="0" applyAlignment="0" applyProtection="0"/>
    <xf numFmtId="0" fontId="11" fillId="24" borderId="35" applyNumberFormat="0" applyFont="0" applyAlignment="0" applyProtection="0"/>
    <xf numFmtId="0" fontId="24" fillId="21" borderId="36" applyNumberFormat="0" applyAlignment="0" applyProtection="0"/>
    <xf numFmtId="0" fontId="14" fillId="21" borderId="39" applyNumberFormat="0" applyAlignment="0" applyProtection="0"/>
    <xf numFmtId="0" fontId="14" fillId="21" borderId="39"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4" fillId="21" borderId="34" applyNumberFormat="0" applyAlignment="0" applyProtection="0"/>
    <xf numFmtId="0" fontId="14" fillId="21" borderId="39" applyNumberFormat="0" applyAlignment="0" applyProtection="0"/>
    <xf numFmtId="0" fontId="11" fillId="24" borderId="40" applyNumberFormat="0" applyFont="0" applyAlignment="0" applyProtection="0"/>
    <xf numFmtId="0" fontId="21" fillId="8" borderId="34" applyNumberFormat="0" applyAlignment="0" applyProtection="0"/>
    <xf numFmtId="0" fontId="14" fillId="21" borderId="39"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1" fillId="8" borderId="39" applyNumberFormat="0" applyAlignment="0" applyProtection="0"/>
    <xf numFmtId="0" fontId="24" fillId="21" borderId="41" applyNumberFormat="0" applyAlignment="0" applyProtection="0"/>
    <xf numFmtId="0" fontId="11" fillId="24" borderId="40" applyNumberFormat="0" applyFont="0" applyAlignment="0" applyProtection="0"/>
    <xf numFmtId="0" fontId="14" fillId="21" borderId="34" applyNumberFormat="0" applyAlignment="0" applyProtection="0"/>
    <xf numFmtId="0" fontId="26" fillId="0" borderId="42" applyNumberFormat="0" applyFill="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4" fillId="21" borderId="41" applyNumberFormat="0" applyAlignment="0" applyProtection="0"/>
    <xf numFmtId="0" fontId="11" fillId="24" borderId="40" applyNumberFormat="0" applyFont="0" applyAlignment="0" applyProtection="0"/>
    <xf numFmtId="0" fontId="14" fillId="21" borderId="39" applyNumberFormat="0" applyAlignment="0" applyProtection="0"/>
    <xf numFmtId="0" fontId="14" fillId="21" borderId="34" applyNumberFormat="0" applyAlignment="0" applyProtection="0"/>
    <xf numFmtId="0" fontId="21" fillId="8" borderId="34" applyNumberFormat="0" applyAlignment="0" applyProtection="0"/>
    <xf numFmtId="0" fontId="24" fillId="21" borderId="41"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1" fillId="24" borderId="40" applyNumberFormat="0" applyFont="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4" applyNumberFormat="0" applyAlignment="0" applyProtection="0"/>
    <xf numFmtId="0" fontId="11" fillId="24" borderId="40" applyNumberFormat="0" applyFon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4" fillId="21" borderId="39" applyNumberFormat="0" applyAlignment="0" applyProtection="0"/>
    <xf numFmtId="0" fontId="26" fillId="0" borderId="42" applyNumberFormat="0" applyFill="0" applyAlignment="0" applyProtection="0"/>
    <xf numFmtId="0" fontId="14" fillId="21" borderId="34" applyNumberFormat="0" applyAlignment="0" applyProtection="0"/>
    <xf numFmtId="0" fontId="21" fillId="8" borderId="39" applyNumberFormat="0" applyAlignment="0" applyProtection="0"/>
    <xf numFmtId="0" fontId="24" fillId="21" borderId="41" applyNumberForma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26" fillId="0" borderId="42" applyNumberFormat="0" applyFill="0" applyAlignment="0" applyProtection="0"/>
    <xf numFmtId="0" fontId="21" fillId="8" borderId="39" applyNumberFormat="0" applyAlignment="0" applyProtection="0"/>
    <xf numFmtId="0" fontId="14" fillId="21" borderId="34" applyNumberFormat="0" applyAlignment="0" applyProtection="0"/>
    <xf numFmtId="0" fontId="11" fillId="24" borderId="40" applyNumberFormat="0" applyFont="0" applyAlignment="0" applyProtection="0"/>
    <xf numFmtId="0" fontId="21" fillId="8" borderId="34" applyNumberFormat="0" applyAlignment="0" applyProtection="0"/>
    <xf numFmtId="0" fontId="11" fillId="24" borderId="35" applyNumberFormat="0" applyFont="0" applyAlignment="0" applyProtection="0"/>
    <xf numFmtId="0" fontId="24" fillId="21" borderId="36" applyNumberFormat="0" applyAlignment="0" applyProtection="0"/>
    <xf numFmtId="0" fontId="26" fillId="0" borderId="37" applyNumberFormat="0" applyFill="0" applyAlignment="0" applyProtection="0"/>
    <xf numFmtId="0" fontId="14" fillId="21" borderId="39" applyNumberFormat="0" applyAlignment="0" applyProtection="0"/>
    <xf numFmtId="0" fontId="21" fillId="8" borderId="39" applyNumberFormat="0" applyAlignment="0" applyProtection="0"/>
    <xf numFmtId="0" fontId="11" fillId="24" borderId="40" applyNumberFormat="0" applyFont="0" applyAlignment="0" applyProtection="0"/>
    <xf numFmtId="0" fontId="24" fillId="21" borderId="41" applyNumberFormat="0" applyAlignment="0" applyProtection="0"/>
    <xf numFmtId="0" fontId="26" fillId="0" borderId="42" applyNumberFormat="0" applyFill="0" applyAlignment="0" applyProtection="0"/>
    <xf numFmtId="0" fontId="14" fillId="21" borderId="39" applyNumberFormat="0" applyAlignment="0" applyProtection="0"/>
    <xf numFmtId="0" fontId="21" fillId="8" borderId="39" applyNumberFormat="0" applyAlignment="0" applyProtection="0"/>
    <xf numFmtId="0" fontId="11" fillId="24" borderId="40" applyNumberFormat="0" applyFont="0" applyAlignment="0" applyProtection="0"/>
    <xf numFmtId="0" fontId="24" fillId="21" borderId="41" applyNumberFormat="0" applyAlignment="0" applyProtection="0"/>
    <xf numFmtId="0" fontId="26" fillId="0" borderId="42" applyNumberFormat="0" applyFill="0" applyAlignment="0" applyProtection="0"/>
    <xf numFmtId="0" fontId="14" fillId="21" borderId="39" applyNumberFormat="0" applyAlignment="0" applyProtection="0"/>
    <xf numFmtId="0" fontId="21" fillId="8" borderId="39" applyNumberFormat="0" applyAlignment="0" applyProtection="0"/>
    <xf numFmtId="0" fontId="11" fillId="24" borderId="40" applyNumberFormat="0" applyFont="0" applyAlignment="0" applyProtection="0"/>
    <xf numFmtId="0" fontId="24" fillId="21" borderId="41" applyNumberFormat="0" applyAlignment="0" applyProtection="0"/>
    <xf numFmtId="0" fontId="26" fillId="0" borderId="42" applyNumberFormat="0" applyFill="0" applyAlignment="0" applyProtection="0"/>
    <xf numFmtId="0" fontId="14" fillId="21" borderId="39" applyNumberFormat="0" applyAlignment="0" applyProtection="0"/>
    <xf numFmtId="0" fontId="21" fillId="8" borderId="39" applyNumberFormat="0" applyAlignment="0" applyProtection="0"/>
    <xf numFmtId="0" fontId="11" fillId="24" borderId="40" applyNumberFormat="0" applyFont="0" applyAlignment="0" applyProtection="0"/>
    <xf numFmtId="0" fontId="24" fillId="21" borderId="41" applyNumberFormat="0" applyAlignment="0" applyProtection="0"/>
    <xf numFmtId="0" fontId="26" fillId="0" borderId="42" applyNumberFormat="0" applyFill="0" applyAlignment="0" applyProtection="0"/>
    <xf numFmtId="0" fontId="2" fillId="0" borderId="0"/>
    <xf numFmtId="43" fontId="2" fillId="0" borderId="0" applyFont="0" applyFill="0" applyBorder="0" applyAlignment="0" applyProtection="0"/>
    <xf numFmtId="185" fontId="5" fillId="0" borderId="0">
      <alignment vertical="center"/>
    </xf>
    <xf numFmtId="0" fontId="1" fillId="0" borderId="0"/>
    <xf numFmtId="9" fontId="1" fillId="0" borderId="0" applyFont="0" applyFill="0" applyBorder="0" applyAlignment="0" applyProtection="0"/>
    <xf numFmtId="0" fontId="37" fillId="0" borderId="0" applyNumberFormat="0" applyFill="0" applyBorder="0" applyAlignment="0" applyProtection="0">
      <alignment vertical="top"/>
      <protection locked="0"/>
    </xf>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1" fillId="0" borderId="0"/>
    <xf numFmtId="0" fontId="5" fillId="0" borderId="0"/>
    <xf numFmtId="187" fontId="5" fillId="0" borderId="0" applyFont="0" applyFill="0" applyBorder="0" applyAlignment="0" applyProtection="0"/>
    <xf numFmtId="0" fontId="5" fillId="0" borderId="0"/>
    <xf numFmtId="172" fontId="8" fillId="0" borderId="0" applyFont="0" applyFill="0" applyBorder="0" applyAlignment="0" applyProtection="0"/>
    <xf numFmtId="9" fontId="8" fillId="0" borderId="0" applyFont="0" applyFill="0" applyBorder="0" applyAlignment="0" applyProtection="0"/>
    <xf numFmtId="0" fontId="8" fillId="0" borderId="0"/>
    <xf numFmtId="189" fontId="5" fillId="0" borderId="0" applyFont="0" applyFill="0" applyBorder="0" applyAlignment="0" applyProtection="0"/>
    <xf numFmtId="172" fontId="1" fillId="0" borderId="0" applyFont="0" applyFill="0" applyBorder="0" applyAlignment="0" applyProtection="0"/>
    <xf numFmtId="43" fontId="1" fillId="0" borderId="0" applyFont="0" applyFill="0" applyBorder="0" applyAlignment="0" applyProtection="0"/>
    <xf numFmtId="167" fontId="5" fillId="0" borderId="0" applyFont="0" applyFill="0" applyBorder="0" applyAlignment="0" applyProtection="0"/>
    <xf numFmtId="167" fontId="1" fillId="0" borderId="0" applyFont="0" applyFill="0" applyBorder="0" applyAlignment="0" applyProtection="0"/>
    <xf numFmtId="167" fontId="2" fillId="0" borderId="0" applyFont="0" applyFill="0" applyBorder="0" applyAlignment="0" applyProtection="0"/>
    <xf numFmtId="167" fontId="1" fillId="0" borderId="0" applyFont="0" applyFill="0" applyBorder="0" applyAlignment="0" applyProtection="0"/>
    <xf numFmtId="167" fontId="5"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167" fontId="5" fillId="0" borderId="0" applyFont="0" applyFill="0" applyBorder="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167" fontId="1" fillId="0" borderId="0" applyFont="0" applyFill="0" applyBorder="0" applyAlignment="0" applyProtection="0"/>
    <xf numFmtId="167" fontId="1" fillId="0" borderId="0" applyFont="0" applyFill="0" applyBorder="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21" fillId="8" borderId="90" applyNumberFormat="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4" fillId="21" borderId="92" applyNumberFormat="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4" fillId="21" borderId="92"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24" fillId="21" borderId="92"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4" fillId="21" borderId="92"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11" fillId="24" borderId="91" applyNumberFormat="0" applyFont="0" applyAlignment="0" applyProtection="0"/>
    <xf numFmtId="0" fontId="24" fillId="21" borderId="92" applyNumberFormat="0" applyAlignment="0" applyProtection="0"/>
    <xf numFmtId="0" fontId="11" fillId="24" borderId="91" applyNumberFormat="0" applyFon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11" fillId="24" borderId="91" applyNumberFormat="0" applyFont="0" applyAlignment="0" applyProtection="0"/>
    <xf numFmtId="0" fontId="26" fillId="0" borderId="93" applyNumberFormat="0" applyFill="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1" fillId="8"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24" fillId="21" borderId="92" applyNumberFormat="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1" fillId="8"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24" fillId="21" borderId="92" applyNumberFormat="0" applyAlignment="0" applyProtection="0"/>
    <xf numFmtId="0" fontId="21" fillId="8" borderId="90"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24" fillId="21" borderId="92" applyNumberFormat="0" applyAlignment="0" applyProtection="0"/>
    <xf numFmtId="0" fontId="14" fillId="21" borderId="90" applyNumberForma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4" fillId="21"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4" fillId="21" borderId="92" applyNumberFormat="0" applyAlignment="0" applyProtection="0"/>
    <xf numFmtId="0" fontId="11" fillId="24" borderId="91" applyNumberFormat="0" applyFont="0" applyAlignment="0" applyProtection="0"/>
    <xf numFmtId="0" fontId="14" fillId="21" borderId="90" applyNumberFormat="0" applyAlignment="0" applyProtection="0"/>
    <xf numFmtId="0" fontId="14" fillId="21" borderId="90" applyNumberFormat="0" applyAlignment="0" applyProtection="0"/>
    <xf numFmtId="0" fontId="21" fillId="8" borderId="90" applyNumberFormat="0" applyAlignment="0" applyProtection="0"/>
    <xf numFmtId="0" fontId="24" fillId="21" borderId="92"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1" fillId="24" borderId="91" applyNumberFormat="0" applyFont="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24" fillId="21" borderId="92"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26" fillId="0" borderId="93" applyNumberFormat="0" applyFill="0" applyAlignment="0" applyProtection="0"/>
    <xf numFmtId="0" fontId="21" fillId="8" borderId="90" applyNumberFormat="0" applyAlignment="0" applyProtection="0"/>
    <xf numFmtId="0" fontId="14" fillId="21" borderId="90" applyNumberFormat="0" applyAlignment="0" applyProtection="0"/>
    <xf numFmtId="0" fontId="11" fillId="24" borderId="91" applyNumberFormat="0" applyFon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0" fontId="14" fillId="21" borderId="90" applyNumberFormat="0" applyAlignment="0" applyProtection="0"/>
    <xf numFmtId="0" fontId="21" fillId="8" borderId="90" applyNumberFormat="0" applyAlignment="0" applyProtection="0"/>
    <xf numFmtId="0" fontId="11" fillId="24" borderId="91" applyNumberFormat="0" applyFont="0" applyAlignment="0" applyProtection="0"/>
    <xf numFmtId="0" fontId="24" fillId="21" borderId="92" applyNumberFormat="0" applyAlignment="0" applyProtection="0"/>
    <xf numFmtId="0" fontId="26" fillId="0" borderId="93" applyNumberFormat="0" applyFill="0" applyAlignment="0" applyProtection="0"/>
    <xf numFmtId="167" fontId="2"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1" fillId="0" borderId="0" applyFont="0" applyFill="0" applyBorder="0" applyAlignment="0" applyProtection="0"/>
    <xf numFmtId="167" fontId="5" fillId="0" borderId="0" applyFont="0" applyFill="0" applyBorder="0" applyAlignment="0" applyProtection="0"/>
    <xf numFmtId="0" fontId="47" fillId="0" borderId="0" applyNumberFormat="0" applyFill="0" applyBorder="0" applyAlignment="0" applyProtection="0"/>
  </cellStyleXfs>
  <cellXfs count="1166">
    <xf numFmtId="0" fontId="0" fillId="0" borderId="0" xfId="0"/>
    <xf numFmtId="0" fontId="3" fillId="2" borderId="0" xfId="0" applyFont="1" applyFill="1"/>
    <xf numFmtId="0" fontId="3" fillId="2" borderId="2" xfId="0" applyFont="1" applyFill="1" applyBorder="1"/>
    <xf numFmtId="3" fontId="4" fillId="2" borderId="2" xfId="0" applyNumberFormat="1" applyFont="1" applyFill="1" applyBorder="1"/>
    <xf numFmtId="0" fontId="4" fillId="2" borderId="2" xfId="0" applyFont="1" applyFill="1" applyBorder="1"/>
    <xf numFmtId="170" fontId="3" fillId="2" borderId="2" xfId="1" applyNumberFormat="1" applyFont="1" applyFill="1" applyBorder="1"/>
    <xf numFmtId="0" fontId="4" fillId="2" borderId="0" xfId="0" applyFont="1" applyFill="1"/>
    <xf numFmtId="0" fontId="3" fillId="2" borderId="0" xfId="4" applyFont="1" applyFill="1"/>
    <xf numFmtId="0" fontId="4" fillId="2" borderId="2" xfId="0" applyFont="1" applyFill="1" applyBorder="1" applyAlignment="1">
      <alignment horizontal="center" vertical="center"/>
    </xf>
    <xf numFmtId="0" fontId="3" fillId="2" borderId="0" xfId="0" applyFont="1" applyFill="1" applyAlignment="1">
      <alignment horizontal="center" vertical="center"/>
    </xf>
    <xf numFmtId="0" fontId="3" fillId="2" borderId="2" xfId="0" applyFont="1" applyFill="1" applyBorder="1" applyAlignment="1">
      <alignment horizontal="center" vertical="center"/>
    </xf>
    <xf numFmtId="43" fontId="3" fillId="2" borderId="2" xfId="1" applyFont="1" applyFill="1" applyBorder="1"/>
    <xf numFmtId="170" fontId="3" fillId="2" borderId="2" xfId="1" applyNumberFormat="1" applyFont="1" applyFill="1" applyBorder="1" applyAlignment="1">
      <alignment horizontal="right"/>
    </xf>
    <xf numFmtId="0" fontId="42" fillId="2" borderId="0" xfId="17" applyFont="1" applyFill="1" applyAlignment="1">
      <alignment vertical="top"/>
    </xf>
    <xf numFmtId="0" fontId="3" fillId="2" borderId="0" xfId="0" applyFont="1" applyFill="1" applyAlignment="1">
      <alignment horizontal="left" wrapText="1"/>
    </xf>
    <xf numFmtId="0" fontId="3" fillId="2" borderId="0" xfId="2021" applyFont="1" applyFill="1"/>
    <xf numFmtId="0" fontId="4" fillId="2" borderId="8" xfId="0" applyFont="1" applyFill="1" applyBorder="1" applyAlignment="1">
      <alignment horizontal="center" vertical="center" wrapText="1"/>
    </xf>
    <xf numFmtId="0" fontId="4" fillId="2" borderId="2" xfId="0" applyFont="1" applyFill="1" applyBorder="1" applyAlignment="1">
      <alignment horizontal="left"/>
    </xf>
    <xf numFmtId="0" fontId="3" fillId="2" borderId="2" xfId="0" applyFont="1" applyFill="1" applyBorder="1" applyAlignment="1">
      <alignment horizontal="left"/>
    </xf>
    <xf numFmtId="0" fontId="3" fillId="2" borderId="2" xfId="0" applyFont="1" applyFill="1" applyBorder="1" applyAlignment="1">
      <alignment horizontal="left" indent="2"/>
    </xf>
    <xf numFmtId="0" fontId="4" fillId="2" borderId="2" xfId="0" quotePrefix="1" applyFont="1" applyFill="1" applyBorder="1"/>
    <xf numFmtId="0" fontId="3" fillId="2" borderId="2" xfId="0" applyFont="1" applyFill="1" applyBorder="1" applyAlignment="1">
      <alignment wrapText="1"/>
    </xf>
    <xf numFmtId="0" fontId="4" fillId="2" borderId="0" xfId="2025" applyFont="1" applyFill="1" applyAlignment="1">
      <alignment horizontal="left"/>
    </xf>
    <xf numFmtId="0" fontId="3" fillId="2" borderId="0" xfId="2025" applyFont="1" applyFill="1"/>
    <xf numFmtId="0" fontId="3" fillId="2" borderId="0" xfId="2025" applyFont="1" applyFill="1" applyAlignment="1">
      <alignment horizontal="right"/>
    </xf>
    <xf numFmtId="0" fontId="3" fillId="2" borderId="0" xfId="2025" applyFont="1" applyFill="1" applyAlignment="1">
      <alignment horizontal="center" vertical="top"/>
    </xf>
    <xf numFmtId="0" fontId="4" fillId="2" borderId="0" xfId="4" applyFont="1" applyFill="1" applyAlignment="1">
      <alignment horizontal="left"/>
    </xf>
    <xf numFmtId="0" fontId="4" fillId="2" borderId="0" xfId="2025" applyFont="1" applyFill="1" applyAlignment="1">
      <alignment horizontal="center"/>
    </xf>
    <xf numFmtId="0" fontId="4" fillId="2" borderId="0" xfId="2025" quotePrefix="1" applyFont="1" applyFill="1" applyAlignment="1">
      <alignment horizontal="left"/>
    </xf>
    <xf numFmtId="0" fontId="4" fillId="2" borderId="0" xfId="2025" applyFont="1" applyFill="1" applyAlignment="1">
      <alignment horizontal="center" vertical="top"/>
    </xf>
    <xf numFmtId="0" fontId="3" fillId="2" borderId="0" xfId="2025" applyFont="1" applyFill="1" applyAlignment="1">
      <alignment horizontal="center"/>
    </xf>
    <xf numFmtId="0" fontId="3" fillId="2" borderId="0" xfId="2025" applyFont="1" applyFill="1" applyAlignment="1">
      <alignment horizontal="left"/>
    </xf>
    <xf numFmtId="0" fontId="4" fillId="2" borderId="0" xfId="2025" applyFont="1" applyFill="1"/>
    <xf numFmtId="0" fontId="4" fillId="2" borderId="38" xfId="4" applyFont="1" applyFill="1" applyBorder="1" applyAlignment="1">
      <alignment horizontal="left" vertical="center"/>
    </xf>
    <xf numFmtId="0" fontId="4" fillId="2" borderId="84" xfId="2025" applyFont="1" applyFill="1" applyBorder="1" applyAlignment="1">
      <alignment horizontal="center" vertical="center" wrapText="1"/>
    </xf>
    <xf numFmtId="0" fontId="4" fillId="2" borderId="38" xfId="2025" applyFont="1" applyFill="1" applyBorder="1" applyAlignment="1">
      <alignment horizontal="center" vertical="center" wrapText="1"/>
    </xf>
    <xf numFmtId="0" fontId="4" fillId="2" borderId="2" xfId="4" applyFont="1" applyFill="1" applyBorder="1" applyAlignment="1">
      <alignment horizontal="left"/>
    </xf>
    <xf numFmtId="0" fontId="4" fillId="2" borderId="11" xfId="2025" applyFont="1" applyFill="1" applyBorder="1" applyAlignment="1">
      <alignment horizontal="center" vertical="center" wrapText="1"/>
    </xf>
    <xf numFmtId="0" fontId="4" fillId="2" borderId="2" xfId="2025" applyFont="1" applyFill="1" applyBorder="1" applyAlignment="1">
      <alignment horizontal="center" vertical="center" wrapText="1"/>
    </xf>
    <xf numFmtId="172" fontId="38" fillId="2" borderId="2" xfId="2032" quotePrefix="1" applyFont="1" applyFill="1" applyBorder="1" applyAlignment="1">
      <alignment horizontal="right"/>
    </xf>
    <xf numFmtId="0" fontId="3" fillId="2" borderId="2" xfId="4" applyFont="1" applyFill="1" applyBorder="1" applyAlignment="1">
      <alignment horizontal="left"/>
    </xf>
    <xf numFmtId="1" fontId="3" fillId="2" borderId="0" xfId="2025" applyNumberFormat="1" applyFont="1" applyFill="1"/>
    <xf numFmtId="37" fontId="3" fillId="2" borderId="0" xfId="2025" applyNumberFormat="1" applyFont="1" applyFill="1"/>
    <xf numFmtId="0" fontId="4" fillId="2" borderId="2" xfId="4" applyFont="1" applyFill="1" applyBorder="1" applyAlignment="1">
      <alignment horizontal="left" wrapText="1"/>
    </xf>
    <xf numFmtId="0" fontId="3" fillId="2" borderId="8" xfId="4" applyFont="1" applyFill="1" applyBorder="1" applyAlignment="1">
      <alignment horizontal="left"/>
    </xf>
    <xf numFmtId="0" fontId="3" fillId="2" borderId="0" xfId="4" applyFont="1" applyFill="1" applyAlignment="1">
      <alignment horizontal="left"/>
    </xf>
    <xf numFmtId="0" fontId="3" fillId="2" borderId="14" xfId="4" applyFont="1" applyFill="1" applyBorder="1" applyAlignment="1">
      <alignment horizontal="left"/>
    </xf>
    <xf numFmtId="0" fontId="4" fillId="2" borderId="14" xfId="4" applyFont="1" applyFill="1" applyBorder="1" applyAlignment="1">
      <alignment horizontal="left"/>
    </xf>
    <xf numFmtId="0" fontId="4" fillId="2" borderId="8" xfId="2021" applyFont="1" applyFill="1" applyBorder="1" applyProtection="1">
      <protection locked="0"/>
    </xf>
    <xf numFmtId="170" fontId="3" fillId="2" borderId="0" xfId="1" applyNumberFormat="1" applyFont="1" applyFill="1" applyBorder="1" applyAlignment="1">
      <alignment horizontal="right"/>
    </xf>
    <xf numFmtId="170" fontId="3" fillId="2" borderId="0" xfId="1" applyNumberFormat="1" applyFont="1" applyFill="1"/>
    <xf numFmtId="0" fontId="3" fillId="2" borderId="2" xfId="2025" applyFont="1" applyFill="1" applyBorder="1"/>
    <xf numFmtId="0" fontId="4" fillId="2" borderId="86" xfId="2025" applyFont="1" applyFill="1" applyBorder="1"/>
    <xf numFmtId="0" fontId="3" fillId="2" borderId="2" xfId="4" applyFont="1" applyFill="1" applyBorder="1" applyAlignment="1">
      <alignment horizontal="left" wrapText="1"/>
    </xf>
    <xf numFmtId="0" fontId="3" fillId="2" borderId="2" xfId="0" applyFont="1" applyFill="1" applyBorder="1" applyAlignment="1">
      <alignment horizontal="left" wrapText="1"/>
    </xf>
    <xf numFmtId="0" fontId="4" fillId="2" borderId="38" xfId="2" applyFont="1" applyFill="1" applyBorder="1" applyAlignment="1">
      <alignment horizontal="center" vertical="center" wrapText="1"/>
    </xf>
    <xf numFmtId="170" fontId="3" fillId="2" borderId="2" xfId="3" applyNumberFormat="1" applyFont="1" applyFill="1" applyBorder="1"/>
    <xf numFmtId="170" fontId="4" fillId="2" borderId="38" xfId="3" applyNumberFormat="1" applyFont="1" applyFill="1" applyBorder="1"/>
    <xf numFmtId="170" fontId="4" fillId="2" borderId="5" xfId="3" applyNumberFormat="1" applyFont="1" applyFill="1" applyBorder="1"/>
    <xf numFmtId="170" fontId="3" fillId="2" borderId="8" xfId="3" applyNumberFormat="1" applyFont="1" applyFill="1" applyBorder="1"/>
    <xf numFmtId="0" fontId="3" fillId="2" borderId="2" xfId="2" applyFont="1" applyFill="1" applyBorder="1"/>
    <xf numFmtId="0" fontId="3" fillId="2" borderId="8" xfId="2" applyFont="1" applyFill="1" applyBorder="1" applyAlignment="1">
      <alignment wrapText="1"/>
    </xf>
    <xf numFmtId="0" fontId="3" fillId="2" borderId="8" xfId="2" applyFont="1" applyFill="1" applyBorder="1"/>
    <xf numFmtId="173" fontId="3" fillId="2" borderId="18" xfId="2032" applyNumberFormat="1" applyFont="1" applyFill="1" applyBorder="1"/>
    <xf numFmtId="0" fontId="9" fillId="2" borderId="20" xfId="15" applyFont="1" applyFill="1" applyBorder="1"/>
    <xf numFmtId="0" fontId="4" fillId="2" borderId="0" xfId="2027" applyFont="1" applyFill="1" applyAlignment="1">
      <alignment horizontal="justify" vertical="top"/>
    </xf>
    <xf numFmtId="0" fontId="3" fillId="2" borderId="0" xfId="2027" applyFont="1" applyFill="1" applyAlignment="1">
      <alignment horizontal="justify" vertical="top"/>
    </xf>
    <xf numFmtId="173" fontId="39" fillId="2" borderId="2" xfId="4" applyNumberFormat="1" applyFont="1" applyFill="1" applyBorder="1" applyAlignment="1">
      <alignment horizontal="left" vertical="center"/>
    </xf>
    <xf numFmtId="173" fontId="39" fillId="2" borderId="8" xfId="4" applyNumberFormat="1" applyFont="1" applyFill="1" applyBorder="1" applyAlignment="1">
      <alignment horizontal="left" vertical="center"/>
    </xf>
    <xf numFmtId="0" fontId="3" fillId="2" borderId="0" xfId="0" applyFont="1" applyFill="1" applyAlignment="1">
      <alignment horizontal="justify" vertical="center" wrapText="1"/>
    </xf>
    <xf numFmtId="1" fontId="4" fillId="2" borderId="0" xfId="5" applyNumberFormat="1" applyFont="1" applyFill="1" applyAlignment="1">
      <alignment horizontal="center"/>
    </xf>
    <xf numFmtId="0" fontId="4" fillId="2" borderId="0" xfId="5" quotePrefix="1" applyFont="1" applyFill="1" applyAlignment="1">
      <alignment horizontal="left" vertical="top"/>
    </xf>
    <xf numFmtId="0" fontId="4" fillId="2" borderId="0" xfId="5" applyFont="1" applyFill="1" applyAlignment="1">
      <alignment horizontal="center"/>
    </xf>
    <xf numFmtId="0" fontId="3" fillId="2" borderId="0" xfId="4" applyFont="1" applyFill="1" applyAlignment="1">
      <alignment horizontal="right"/>
    </xf>
    <xf numFmtId="170" fontId="3" fillId="2" borderId="0" xfId="1" applyNumberFormat="1" applyFont="1" applyFill="1" applyBorder="1"/>
    <xf numFmtId="0" fontId="4" fillId="2" borderId="0" xfId="5" applyFont="1" applyFill="1" applyAlignment="1">
      <alignment horizontal="right"/>
    </xf>
    <xf numFmtId="0" fontId="4" fillId="2" borderId="0" xfId="5" applyFont="1" applyFill="1"/>
    <xf numFmtId="15" fontId="4" fillId="2" borderId="43" xfId="2016" applyNumberFormat="1" applyFont="1" applyFill="1" applyBorder="1" applyAlignment="1">
      <alignment horizontal="center" vertical="center" wrapText="1"/>
    </xf>
    <xf numFmtId="43" fontId="3" fillId="2" borderId="43" xfId="1631" applyFont="1" applyFill="1" applyBorder="1" applyAlignment="1">
      <alignment horizontal="left" vertical="top" wrapText="1"/>
    </xf>
    <xf numFmtId="43" fontId="3" fillId="2" borderId="49" xfId="1631" applyFont="1" applyFill="1" applyBorder="1" applyAlignment="1">
      <alignment horizontal="right" vertical="top" wrapText="1"/>
    </xf>
    <xf numFmtId="43" fontId="3" fillId="2" borderId="8" xfId="1631" applyFont="1" applyFill="1" applyBorder="1" applyAlignment="1">
      <alignment horizontal="left" vertical="top" wrapText="1"/>
    </xf>
    <xf numFmtId="43" fontId="3" fillId="2" borderId="12" xfId="1631" applyFont="1" applyFill="1" applyBorder="1" applyAlignment="1">
      <alignment horizontal="right" vertical="top" wrapText="1"/>
    </xf>
    <xf numFmtId="0" fontId="3" fillId="2" borderId="0" xfId="2016" applyFont="1" applyFill="1" applyAlignment="1">
      <alignment horizontal="justify" vertical="top" wrapText="1"/>
    </xf>
    <xf numFmtId="0" fontId="3" fillId="2" borderId="14" xfId="2016" applyFont="1" applyFill="1" applyBorder="1" applyAlignment="1">
      <alignment vertical="top" wrapText="1"/>
    </xf>
    <xf numFmtId="0" fontId="3" fillId="2" borderId="0" xfId="2016" applyFont="1" applyFill="1" applyAlignment="1">
      <alignment vertical="top" wrapText="1"/>
    </xf>
    <xf numFmtId="0" fontId="3" fillId="2" borderId="11" xfId="2016" applyFont="1" applyFill="1" applyBorder="1" applyAlignment="1">
      <alignment vertical="top" wrapText="1"/>
    </xf>
    <xf numFmtId="0" fontId="4" fillId="2" borderId="14" xfId="2016" applyFont="1" applyFill="1" applyBorder="1" applyAlignment="1">
      <alignment vertical="top"/>
    </xf>
    <xf numFmtId="0" fontId="4" fillId="2" borderId="45" xfId="2016" applyFont="1" applyFill="1" applyBorder="1" applyAlignment="1">
      <alignment horizontal="center" vertical="center" wrapText="1"/>
    </xf>
    <xf numFmtId="0" fontId="4" fillId="2" borderId="51" xfId="2016" applyFont="1" applyFill="1" applyBorder="1" applyAlignment="1">
      <alignment horizontal="center" vertical="center" wrapText="1"/>
    </xf>
    <xf numFmtId="0" fontId="4" fillId="2" borderId="38" xfId="2016" applyFont="1" applyFill="1" applyBorder="1" applyAlignment="1">
      <alignment horizontal="center" vertical="center" wrapText="1"/>
    </xf>
    <xf numFmtId="0" fontId="4" fillId="2" borderId="45" xfId="2016" applyFont="1" applyFill="1" applyBorder="1" applyAlignment="1">
      <alignment horizontal="center" vertical="top" wrapText="1"/>
    </xf>
    <xf numFmtId="0" fontId="4" fillId="2" borderId="51" xfId="2016" applyFont="1" applyFill="1" applyBorder="1" applyAlignment="1">
      <alignment vertical="top" wrapText="1"/>
    </xf>
    <xf numFmtId="0" fontId="4" fillId="2" borderId="63" xfId="2016" applyFont="1" applyFill="1" applyBorder="1" applyAlignment="1">
      <alignment vertical="top" wrapText="1"/>
    </xf>
    <xf numFmtId="0" fontId="4" fillId="2" borderId="64" xfId="2016" applyFont="1" applyFill="1" applyBorder="1" applyAlignment="1">
      <alignment vertical="top" wrapText="1"/>
    </xf>
    <xf numFmtId="15" fontId="4" fillId="2" borderId="66" xfId="2016" applyNumberFormat="1" applyFont="1" applyFill="1" applyBorder="1" applyAlignment="1">
      <alignment horizontal="center" vertical="top" wrapText="1"/>
    </xf>
    <xf numFmtId="0" fontId="3" fillId="2" borderId="60" xfId="2016" applyFont="1" applyFill="1" applyBorder="1" applyAlignment="1">
      <alignment vertical="top" wrapText="1"/>
    </xf>
    <xf numFmtId="0" fontId="3" fillId="2" borderId="61" xfId="2016" applyFont="1" applyFill="1" applyBorder="1" applyAlignment="1">
      <alignment vertical="top" wrapText="1"/>
    </xf>
    <xf numFmtId="43" fontId="3" fillId="2" borderId="66" xfId="1631" applyFont="1" applyFill="1" applyBorder="1" applyAlignment="1">
      <alignment horizontal="left" vertical="top" wrapText="1"/>
    </xf>
    <xf numFmtId="43" fontId="3" fillId="2" borderId="62" xfId="1631" applyFont="1" applyFill="1" applyBorder="1" applyAlignment="1">
      <alignment horizontal="right" vertical="top" wrapText="1"/>
    </xf>
    <xf numFmtId="0" fontId="3" fillId="2" borderId="18" xfId="2016" applyFont="1" applyFill="1" applyBorder="1" applyAlignment="1">
      <alignment vertical="top" wrapText="1"/>
    </xf>
    <xf numFmtId="0" fontId="3" fillId="2" borderId="20" xfId="2016" applyFont="1" applyFill="1" applyBorder="1" applyAlignment="1">
      <alignment vertical="top" wrapText="1"/>
    </xf>
    <xf numFmtId="0" fontId="35" fillId="2" borderId="2" xfId="2016" applyFont="1" applyFill="1" applyBorder="1" applyAlignment="1">
      <alignment horizontal="left" vertical="top"/>
    </xf>
    <xf numFmtId="0" fontId="3" fillId="2" borderId="2" xfId="2016" applyFont="1" applyFill="1" applyBorder="1" applyAlignment="1">
      <alignment horizontal="left" vertical="top" indent="2"/>
    </xf>
    <xf numFmtId="0" fontId="3" fillId="2" borderId="8" xfId="2018" applyFont="1" applyFill="1" applyBorder="1" applyAlignment="1" applyProtection="1">
      <alignment horizontal="left" vertical="top" indent="2"/>
    </xf>
    <xf numFmtId="0" fontId="3" fillId="2" borderId="8" xfId="2016" applyFont="1" applyFill="1" applyBorder="1" applyAlignment="1">
      <alignment horizontal="left" vertical="top" indent="2"/>
    </xf>
    <xf numFmtId="0" fontId="3" fillId="2" borderId="8" xfId="2013" applyFont="1" applyFill="1" applyBorder="1" applyAlignment="1">
      <alignment horizontal="left" vertical="top" indent="2"/>
    </xf>
    <xf numFmtId="0" fontId="3" fillId="2" borderId="0" xfId="2016" applyFont="1" applyFill="1" applyAlignment="1">
      <alignment wrapText="1"/>
    </xf>
    <xf numFmtId="0" fontId="3" fillId="2" borderId="4" xfId="2016" applyFont="1" applyFill="1" applyBorder="1" applyAlignment="1">
      <alignment vertical="top" wrapText="1"/>
    </xf>
    <xf numFmtId="0" fontId="3" fillId="2" borderId="0" xfId="2018" applyFont="1" applyFill="1" applyBorder="1" applyAlignment="1" applyProtection="1">
      <alignment horizontal="left" vertical="top" indent="2"/>
    </xf>
    <xf numFmtId="0" fontId="35" fillId="2" borderId="0" xfId="2016" applyFont="1" applyFill="1" applyAlignment="1">
      <alignment vertical="top"/>
    </xf>
    <xf numFmtId="0" fontId="3" fillId="2" borderId="0" xfId="2016" applyFont="1" applyFill="1" applyAlignment="1">
      <alignment vertical="top"/>
    </xf>
    <xf numFmtId="173" fontId="3" fillId="2" borderId="0" xfId="2028" applyNumberFormat="1" applyFont="1" applyFill="1" applyAlignment="1">
      <alignment horizontal="justify" vertical="top" wrapText="1"/>
    </xf>
    <xf numFmtId="0" fontId="3" fillId="2" borderId="0" xfId="2027" applyFont="1" applyFill="1" applyAlignment="1">
      <alignment horizontal="justify" vertical="top" wrapText="1"/>
    </xf>
    <xf numFmtId="0" fontId="4" fillId="2" borderId="0" xfId="2027" applyFont="1" applyFill="1" applyAlignment="1">
      <alignment horizontal="justify" vertical="top" wrapText="1"/>
    </xf>
    <xf numFmtId="0" fontId="4" fillId="2" borderId="0" xfId="2027" applyFont="1" applyFill="1" applyAlignment="1">
      <alignment vertical="top" wrapText="1"/>
    </xf>
    <xf numFmtId="0" fontId="3" fillId="2" borderId="0" xfId="2027" applyFont="1" applyFill="1" applyAlignment="1">
      <alignment horizontal="left" vertical="top"/>
    </xf>
    <xf numFmtId="0" fontId="3" fillId="2" borderId="0" xfId="2027" applyFont="1" applyFill="1" applyAlignment="1">
      <alignment horizontal="justify" vertical="center" wrapText="1"/>
    </xf>
    <xf numFmtId="0" fontId="3" fillId="2" borderId="0" xfId="2027" applyFont="1" applyFill="1" applyAlignment="1">
      <alignment horizontal="justify" vertical="justify" wrapText="1"/>
    </xf>
    <xf numFmtId="0" fontId="4" fillId="2" borderId="0" xfId="2027" applyFont="1" applyFill="1" applyAlignment="1">
      <alignment horizontal="left" vertical="top"/>
    </xf>
    <xf numFmtId="173" fontId="3" fillId="2" borderId="0" xfId="2028" applyNumberFormat="1" applyFont="1" applyFill="1" applyBorder="1" applyAlignment="1">
      <alignment horizontal="left" vertical="top" wrapText="1"/>
    </xf>
    <xf numFmtId="0" fontId="4" fillId="2" borderId="0" xfId="2027" applyFont="1" applyFill="1" applyAlignment="1">
      <alignment vertical="top"/>
    </xf>
    <xf numFmtId="173" fontId="4" fillId="2" borderId="0" xfId="2028" applyNumberFormat="1" applyFont="1" applyFill="1" applyBorder="1" applyAlignment="1">
      <alignment vertical="top" wrapText="1"/>
    </xf>
    <xf numFmtId="0" fontId="4" fillId="2" borderId="0" xfId="2027" applyFont="1" applyFill="1" applyAlignment="1">
      <alignment horizontal="left" vertical="top" wrapText="1"/>
    </xf>
    <xf numFmtId="173" fontId="4" fillId="2" borderId="0" xfId="2028" applyNumberFormat="1" applyFont="1" applyFill="1" applyBorder="1" applyAlignment="1">
      <alignment horizontal="left" vertical="top" wrapText="1"/>
    </xf>
    <xf numFmtId="173" fontId="4" fillId="2" borderId="0" xfId="2028" applyNumberFormat="1" applyFont="1" applyFill="1" applyBorder="1" applyAlignment="1">
      <alignment horizontal="center" vertical="top" wrapText="1"/>
    </xf>
    <xf numFmtId="0" fontId="3" fillId="2" borderId="0" xfId="2027" applyFont="1" applyFill="1" applyAlignment="1">
      <alignment horizontal="left" vertical="top" wrapText="1"/>
    </xf>
    <xf numFmtId="173" fontId="4" fillId="2" borderId="58" xfId="2028" quotePrefix="1" applyNumberFormat="1" applyFont="1" applyFill="1" applyBorder="1" applyAlignment="1">
      <alignment horizontal="left" vertical="center" wrapText="1"/>
    </xf>
    <xf numFmtId="0" fontId="3" fillId="2" borderId="58" xfId="2027" applyFont="1" applyFill="1" applyBorder="1" applyAlignment="1">
      <alignment horizontal="left" vertical="top" wrapText="1"/>
    </xf>
    <xf numFmtId="173" fontId="4" fillId="2" borderId="58" xfId="2028" applyNumberFormat="1" applyFont="1" applyFill="1" applyBorder="1" applyAlignment="1">
      <alignment horizontal="right" vertical="center" wrapText="1"/>
    </xf>
    <xf numFmtId="173" fontId="3" fillId="2" borderId="58" xfId="2028" applyNumberFormat="1" applyFont="1" applyFill="1" applyBorder="1" applyAlignment="1">
      <alignment horizontal="center" vertical="top" wrapText="1"/>
    </xf>
    <xf numFmtId="3" fontId="3" fillId="2" borderId="0" xfId="2027" applyNumberFormat="1" applyFont="1" applyFill="1" applyAlignment="1">
      <alignment horizontal="justify" vertical="top" wrapText="1"/>
    </xf>
    <xf numFmtId="170" fontId="3" fillId="2" borderId="0" xfId="2027" applyNumberFormat="1" applyFont="1" applyFill="1" applyAlignment="1">
      <alignment horizontal="justify" vertical="top" wrapText="1"/>
    </xf>
    <xf numFmtId="172" fontId="3" fillId="2" borderId="0" xfId="2028" applyFont="1" applyFill="1" applyBorder="1" applyAlignment="1">
      <alignment horizontal="left" vertical="top" wrapText="1"/>
    </xf>
    <xf numFmtId="0" fontId="4" fillId="2" borderId="0" xfId="2027" applyFont="1" applyFill="1" applyAlignment="1">
      <alignment vertical="center" wrapText="1"/>
    </xf>
    <xf numFmtId="173" fontId="3" fillId="2" borderId="0" xfId="2028" applyNumberFormat="1" applyFont="1" applyFill="1" applyBorder="1" applyAlignment="1">
      <alignment horizontal="center" vertical="top" wrapText="1"/>
    </xf>
    <xf numFmtId="173" fontId="3" fillId="2" borderId="0" xfId="2027" applyNumberFormat="1" applyFont="1" applyFill="1" applyAlignment="1">
      <alignment horizontal="justify" vertical="top" wrapText="1"/>
    </xf>
    <xf numFmtId="0" fontId="3" fillId="2" borderId="0" xfId="2027" applyFont="1" applyFill="1" applyAlignment="1">
      <alignment horizontal="left" vertical="center" wrapText="1"/>
    </xf>
    <xf numFmtId="170" fontId="3" fillId="2" borderId="0" xfId="1" applyNumberFormat="1" applyFont="1" applyFill="1" applyBorder="1" applyAlignment="1">
      <alignment vertical="top"/>
    </xf>
    <xf numFmtId="172" fontId="3" fillId="2" borderId="0" xfId="2028" applyFont="1" applyFill="1" applyAlignment="1">
      <alignment horizontal="justify" vertical="top" wrapText="1"/>
    </xf>
    <xf numFmtId="173" fontId="3" fillId="2" borderId="0" xfId="2028" applyNumberFormat="1" applyFont="1" applyFill="1" applyBorder="1" applyAlignment="1">
      <alignment horizontal="justify" vertical="top"/>
    </xf>
    <xf numFmtId="0" fontId="41" fillId="2" borderId="0" xfId="2027" applyFont="1" applyFill="1" applyAlignment="1">
      <alignment horizontal="left" vertical="top" wrapText="1"/>
    </xf>
    <xf numFmtId="173" fontId="4" fillId="2" borderId="22" xfId="2028" applyNumberFormat="1" applyFont="1" applyFill="1" applyBorder="1" applyAlignment="1">
      <alignment horizontal="left" vertical="top" wrapText="1"/>
    </xf>
    <xf numFmtId="173" fontId="4" fillId="2" borderId="22" xfId="2028" applyNumberFormat="1" applyFont="1" applyFill="1" applyBorder="1" applyAlignment="1">
      <alignment horizontal="center" vertical="top" wrapText="1"/>
    </xf>
    <xf numFmtId="173" fontId="4" fillId="2" borderId="58" xfId="2028" applyNumberFormat="1" applyFont="1" applyFill="1" applyBorder="1" applyAlignment="1">
      <alignment horizontal="center" vertical="center"/>
    </xf>
    <xf numFmtId="10" fontId="3" fillId="2" borderId="0" xfId="2029" applyNumberFormat="1" applyFont="1" applyFill="1" applyAlignment="1">
      <alignment horizontal="center" vertical="top" wrapText="1"/>
    </xf>
    <xf numFmtId="10" fontId="3" fillId="2" borderId="0" xfId="2029" applyNumberFormat="1" applyFont="1" applyFill="1" applyAlignment="1">
      <alignment horizontal="justify" vertical="top" wrapText="1"/>
    </xf>
    <xf numFmtId="173" fontId="3" fillId="2" borderId="0" xfId="2028" applyNumberFormat="1" applyFont="1" applyFill="1" applyAlignment="1">
      <alignment horizontal="center" vertical="top" wrapText="1"/>
    </xf>
    <xf numFmtId="173" fontId="3" fillId="2" borderId="20" xfId="2028" applyNumberFormat="1" applyFont="1" applyFill="1" applyBorder="1" applyAlignment="1">
      <alignment horizontal="right" vertical="center" wrapText="1"/>
    </xf>
    <xf numFmtId="173" fontId="3" fillId="2" borderId="20" xfId="2028" applyNumberFormat="1" applyFont="1" applyFill="1" applyBorder="1" applyAlignment="1">
      <alignment horizontal="center" vertical="center" wrapText="1"/>
    </xf>
    <xf numFmtId="0" fontId="3" fillId="2" borderId="0" xfId="2027" applyFont="1" applyFill="1" applyAlignment="1">
      <alignment vertical="center" wrapText="1"/>
    </xf>
    <xf numFmtId="10" fontId="3" fillId="2" borderId="0" xfId="2029" applyNumberFormat="1" applyFont="1" applyFill="1" applyAlignment="1">
      <alignment horizontal="right" vertical="center" wrapText="1"/>
    </xf>
    <xf numFmtId="10" fontId="3" fillId="2" borderId="0" xfId="2029" applyNumberFormat="1" applyFont="1" applyFill="1" applyBorder="1" applyAlignment="1">
      <alignment horizontal="justify" vertical="top" wrapText="1"/>
    </xf>
    <xf numFmtId="0" fontId="4" fillId="2" borderId="58" xfId="2027" applyFont="1" applyFill="1" applyBorder="1" applyAlignment="1">
      <alignment horizontal="center" vertical="top" wrapText="1"/>
    </xf>
    <xf numFmtId="3" fontId="3" fillId="2" borderId="0" xfId="2027" applyNumberFormat="1" applyFont="1" applyFill="1" applyAlignment="1">
      <alignment horizontal="left" vertical="top" wrapText="1"/>
    </xf>
    <xf numFmtId="3" fontId="3" fillId="2" borderId="0" xfId="2027" applyNumberFormat="1" applyFont="1" applyFill="1" applyAlignment="1">
      <alignment horizontal="center" vertical="top" wrapText="1"/>
    </xf>
    <xf numFmtId="0" fontId="3" fillId="2" borderId="0" xfId="6" applyFont="1" applyFill="1"/>
    <xf numFmtId="0" fontId="4" fillId="2" borderId="0" xfId="6" applyFont="1" applyFill="1"/>
    <xf numFmtId="0" fontId="4" fillId="2" borderId="0" xfId="6" applyFont="1" applyFill="1" applyAlignment="1">
      <alignment horizontal="left"/>
    </xf>
    <xf numFmtId="171" fontId="3" fillId="2" borderId="0" xfId="6" applyNumberFormat="1" applyFont="1" applyFill="1"/>
    <xf numFmtId="171" fontId="4" fillId="2" borderId="0" xfId="6" applyNumberFormat="1" applyFont="1" applyFill="1"/>
    <xf numFmtId="0" fontId="6" fillId="2" borderId="0" xfId="6" applyFont="1" applyFill="1"/>
    <xf numFmtId="3" fontId="3" fillId="2" borderId="0" xfId="6" applyNumberFormat="1" applyFont="1" applyFill="1"/>
    <xf numFmtId="3" fontId="3" fillId="2" borderId="0" xfId="8" applyNumberFormat="1" applyFont="1" applyFill="1" applyBorder="1"/>
    <xf numFmtId="3" fontId="4" fillId="2" borderId="0" xfId="6" applyNumberFormat="1" applyFont="1" applyFill="1"/>
    <xf numFmtId="173" fontId="3" fillId="2" borderId="0" xfId="6" applyNumberFormat="1" applyFont="1" applyFill="1"/>
    <xf numFmtId="173" fontId="3" fillId="2" borderId="0" xfId="9" applyNumberFormat="1" applyFont="1" applyFill="1" applyBorder="1"/>
    <xf numFmtId="173" fontId="3" fillId="2" borderId="0" xfId="8" applyNumberFormat="1" applyFont="1" applyFill="1" applyBorder="1"/>
    <xf numFmtId="0" fontId="4" fillId="2" borderId="0" xfId="6" applyFont="1" applyFill="1" applyAlignment="1">
      <alignment horizontal="right"/>
    </xf>
    <xf numFmtId="0" fontId="7" fillId="2" borderId="0" xfId="6" applyFont="1" applyFill="1"/>
    <xf numFmtId="170" fontId="4" fillId="2" borderId="14" xfId="1" applyNumberFormat="1" applyFont="1" applyFill="1" applyBorder="1"/>
    <xf numFmtId="170" fontId="3" fillId="2" borderId="11" xfId="1" applyNumberFormat="1" applyFont="1" applyFill="1" applyBorder="1"/>
    <xf numFmtId="170" fontId="4" fillId="2" borderId="11" xfId="1" applyNumberFormat="1" applyFont="1" applyFill="1" applyBorder="1"/>
    <xf numFmtId="170" fontId="3" fillId="2" borderId="11" xfId="1" applyNumberFormat="1" applyFont="1" applyFill="1" applyBorder="1" applyAlignment="1">
      <alignment horizontal="fill"/>
    </xf>
    <xf numFmtId="170" fontId="3" fillId="2" borderId="2" xfId="1" applyNumberFormat="1" applyFont="1" applyFill="1" applyBorder="1" applyAlignment="1">
      <alignment horizontal="fill"/>
    </xf>
    <xf numFmtId="170" fontId="4" fillId="2" borderId="2" xfId="1" applyNumberFormat="1" applyFont="1" applyFill="1" applyBorder="1" applyAlignment="1">
      <alignment horizontal="fill"/>
    </xf>
    <xf numFmtId="170" fontId="6" fillId="2" borderId="0" xfId="1" applyNumberFormat="1" applyFont="1" applyFill="1"/>
    <xf numFmtId="170" fontId="3" fillId="2" borderId="14" xfId="1" applyNumberFormat="1" applyFont="1" applyFill="1" applyBorder="1"/>
    <xf numFmtId="170" fontId="3" fillId="2" borderId="18" xfId="1" applyNumberFormat="1" applyFont="1" applyFill="1" applyBorder="1"/>
    <xf numFmtId="170" fontId="3" fillId="2" borderId="8" xfId="1" applyNumberFormat="1" applyFont="1" applyFill="1" applyBorder="1"/>
    <xf numFmtId="170" fontId="3" fillId="2" borderId="12" xfId="1" applyNumberFormat="1" applyFont="1" applyFill="1" applyBorder="1"/>
    <xf numFmtId="170" fontId="3" fillId="2" borderId="13" xfId="1" applyNumberFormat="1" applyFont="1" applyFill="1" applyBorder="1"/>
    <xf numFmtId="170" fontId="3" fillId="2" borderId="10" xfId="1" applyNumberFormat="1" applyFont="1" applyFill="1" applyBorder="1"/>
    <xf numFmtId="170" fontId="4" fillId="2" borderId="14" xfId="1" applyNumberFormat="1" applyFont="1" applyFill="1" applyBorder="1" applyAlignment="1">
      <alignment horizontal="right"/>
    </xf>
    <xf numFmtId="170" fontId="7" fillId="2" borderId="0" xfId="1" applyNumberFormat="1" applyFont="1" applyFill="1"/>
    <xf numFmtId="0" fontId="3" fillId="2" borderId="18" xfId="6" applyFont="1" applyFill="1" applyBorder="1" applyAlignment="1">
      <alignment horizontal="right"/>
    </xf>
    <xf numFmtId="0" fontId="3" fillId="2" borderId="14" xfId="6" applyFont="1" applyFill="1" applyBorder="1" applyAlignment="1">
      <alignment horizontal="right"/>
    </xf>
    <xf numFmtId="0" fontId="4" fillId="2" borderId="14" xfId="6" applyFont="1" applyFill="1" applyBorder="1"/>
    <xf numFmtId="170" fontId="3" fillId="2" borderId="18" xfId="1" applyNumberFormat="1" applyFont="1" applyFill="1" applyBorder="1" applyAlignment="1">
      <alignment horizontal="right"/>
    </xf>
    <xf numFmtId="170" fontId="3" fillId="2" borderId="8" xfId="1" applyNumberFormat="1" applyFont="1" applyFill="1" applyBorder="1" applyAlignment="1">
      <alignment horizontal="right"/>
    </xf>
    <xf numFmtId="170" fontId="4" fillId="2" borderId="0" xfId="1" applyNumberFormat="1" applyFont="1" applyFill="1"/>
    <xf numFmtId="0" fontId="43" fillId="2" borderId="0" xfId="2021" applyFont="1" applyFill="1"/>
    <xf numFmtId="0" fontId="43" fillId="2" borderId="0" xfId="2013" applyFont="1" applyFill="1"/>
    <xf numFmtId="0" fontId="43" fillId="2" borderId="0" xfId="2013" applyFont="1" applyFill="1" applyAlignment="1">
      <alignment horizontal="right"/>
    </xf>
    <xf numFmtId="0" fontId="43" fillId="2" borderId="0" xfId="2013" applyFont="1" applyFill="1" applyAlignment="1">
      <alignment horizontal="left" vertical="top"/>
    </xf>
    <xf numFmtId="0" fontId="44" fillId="2" borderId="0" xfId="2013" applyFont="1" applyFill="1" applyAlignment="1">
      <alignment horizontal="center"/>
    </xf>
    <xf numFmtId="0" fontId="44" fillId="2" borderId="0" xfId="2013" applyFont="1" applyFill="1"/>
    <xf numFmtId="0" fontId="43" fillId="2" borderId="0" xfId="2013" quotePrefix="1" applyFont="1" applyFill="1" applyAlignment="1">
      <alignment horizontal="center" vertical="top" wrapText="1"/>
    </xf>
    <xf numFmtId="0" fontId="44" fillId="2" borderId="0" xfId="2013" quotePrefix="1" applyFont="1" applyFill="1" applyAlignment="1">
      <alignment horizontal="right" vertical="top" wrapText="1"/>
    </xf>
    <xf numFmtId="0" fontId="44" fillId="2" borderId="0" xfId="2013" quotePrefix="1" applyFont="1" applyFill="1" applyAlignment="1">
      <alignment horizontal="justify" vertical="top" wrapText="1"/>
    </xf>
    <xf numFmtId="0" fontId="43" fillId="2" borderId="0" xfId="2013" applyFont="1" applyFill="1" applyAlignment="1">
      <alignment horizontal="left" vertical="top" wrapText="1"/>
    </xf>
    <xf numFmtId="0" fontId="44" fillId="2" borderId="0" xfId="2013" quotePrefix="1" applyFont="1" applyFill="1" applyAlignment="1">
      <alignment horizontal="center" vertical="top" wrapText="1"/>
    </xf>
    <xf numFmtId="0" fontId="44" fillId="2" borderId="0" xfId="2013" applyFont="1" applyFill="1" applyAlignment="1">
      <alignment vertical="top"/>
    </xf>
    <xf numFmtId="0" fontId="43" fillId="2" borderId="0" xfId="2013" quotePrefix="1" applyFont="1" applyFill="1" applyAlignment="1">
      <alignment horizontal="left" vertical="top" wrapText="1"/>
    </xf>
    <xf numFmtId="0" fontId="44" fillId="2" borderId="0" xfId="2013" quotePrefix="1" applyFont="1" applyFill="1" applyAlignment="1">
      <alignment horizontal="justify" vertical="justify" wrapText="1"/>
    </xf>
    <xf numFmtId="0" fontId="44" fillId="2" borderId="0" xfId="2013" quotePrefix="1" applyFont="1" applyFill="1" applyAlignment="1">
      <alignment horizontal="left" vertical="top" wrapText="1"/>
    </xf>
    <xf numFmtId="0" fontId="43" fillId="2" borderId="0" xfId="2013" quotePrefix="1" applyFont="1" applyFill="1" applyAlignment="1">
      <alignment horizontal="justify" vertical="top" wrapText="1"/>
    </xf>
    <xf numFmtId="0" fontId="44" fillId="2" borderId="0" xfId="2013" quotePrefix="1" applyFont="1" applyFill="1" applyAlignment="1">
      <alignment vertical="top" wrapText="1"/>
    </xf>
    <xf numFmtId="0" fontId="43" fillId="2" borderId="0" xfId="2013" quotePrefix="1" applyFont="1" applyFill="1" applyAlignment="1">
      <alignment horizontal="center" wrapText="1"/>
    </xf>
    <xf numFmtId="0" fontId="43" fillId="2" borderId="0" xfId="2013" applyFont="1" applyFill="1" applyAlignment="1">
      <alignment horizontal="left" wrapText="1"/>
    </xf>
    <xf numFmtId="0" fontId="44" fillId="2" borderId="0" xfId="2013" applyFont="1" applyFill="1" applyAlignment="1">
      <alignment horizontal="left" vertical="top" wrapText="1"/>
    </xf>
    <xf numFmtId="0" fontId="43" fillId="2" borderId="0" xfId="2013" quotePrefix="1" applyFont="1" applyFill="1" applyAlignment="1">
      <alignment horizontal="right" vertical="top" wrapText="1"/>
    </xf>
    <xf numFmtId="0" fontId="44" fillId="2" borderId="0" xfId="2013" applyFont="1" applyFill="1" applyAlignment="1">
      <alignment horizontal="justify" vertical="top" wrapText="1"/>
    </xf>
    <xf numFmtId="0" fontId="43" fillId="2" borderId="0" xfId="2024" applyFont="1" applyFill="1" applyAlignment="1">
      <alignment vertical="top"/>
    </xf>
    <xf numFmtId="0" fontId="43" fillId="2" borderId="0" xfId="2024" applyFont="1" applyFill="1" applyAlignment="1">
      <alignment vertical="center"/>
    </xf>
    <xf numFmtId="0" fontId="43" fillId="2" borderId="0" xfId="2013" applyFont="1" applyFill="1" applyAlignment="1">
      <alignment vertical="top"/>
    </xf>
    <xf numFmtId="0" fontId="46" fillId="2" borderId="0" xfId="0" applyFont="1" applyFill="1"/>
    <xf numFmtId="170" fontId="46" fillId="2" borderId="0" xfId="0" applyNumberFormat="1" applyFont="1" applyFill="1"/>
    <xf numFmtId="43" fontId="46" fillId="2" borderId="0" xfId="1" applyFont="1" applyFill="1"/>
    <xf numFmtId="170" fontId="3" fillId="2" borderId="51" xfId="3" applyNumberFormat="1" applyFont="1" applyFill="1" applyBorder="1"/>
    <xf numFmtId="0" fontId="36" fillId="2" borderId="2" xfId="2" applyFont="1" applyFill="1" applyBorder="1"/>
    <xf numFmtId="170" fontId="3" fillId="2" borderId="11" xfId="3" applyNumberFormat="1" applyFont="1" applyFill="1" applyBorder="1"/>
    <xf numFmtId="10" fontId="3" fillId="2" borderId="11" xfId="20" applyNumberFormat="1" applyFont="1" applyFill="1" applyBorder="1"/>
    <xf numFmtId="170" fontId="4" fillId="2" borderId="11" xfId="3" applyNumberFormat="1" applyFont="1" applyFill="1" applyBorder="1"/>
    <xf numFmtId="0" fontId="4" fillId="2" borderId="0" xfId="2" applyFont="1" applyFill="1"/>
    <xf numFmtId="0" fontId="3" fillId="2" borderId="0" xfId="2" applyFont="1" applyFill="1"/>
    <xf numFmtId="0" fontId="3" fillId="2" borderId="14" xfId="0" applyFont="1" applyFill="1" applyBorder="1" applyAlignment="1">
      <alignment wrapText="1"/>
    </xf>
    <xf numFmtId="170" fontId="3" fillId="2" borderId="2" xfId="0" applyNumberFormat="1" applyFont="1" applyFill="1" applyBorder="1"/>
    <xf numFmtId="0" fontId="4" fillId="2" borderId="124" xfId="2" applyFont="1" applyFill="1" applyBorder="1" applyAlignment="1">
      <alignment vertical="center" wrapText="1"/>
    </xf>
    <xf numFmtId="0" fontId="4" fillId="2" borderId="86" xfId="2" applyFont="1" applyFill="1" applyBorder="1" applyAlignment="1">
      <alignment vertical="center" wrapText="1"/>
    </xf>
    <xf numFmtId="0" fontId="4" fillId="2" borderId="14" xfId="2" applyFont="1" applyFill="1" applyBorder="1" applyAlignment="1">
      <alignment vertical="center" wrapText="1"/>
    </xf>
    <xf numFmtId="0" fontId="4" fillId="2" borderId="2" xfId="2" applyFont="1" applyFill="1" applyBorder="1" applyAlignment="1">
      <alignment vertical="center" wrapText="1"/>
    </xf>
    <xf numFmtId="0" fontId="4" fillId="2" borderId="14" xfId="2" applyFont="1" applyFill="1" applyBorder="1"/>
    <xf numFmtId="0" fontId="4" fillId="2" borderId="2" xfId="2" applyFont="1" applyFill="1" applyBorder="1"/>
    <xf numFmtId="0" fontId="3" fillId="2" borderId="14" xfId="2" applyFont="1" applyFill="1" applyBorder="1"/>
    <xf numFmtId="0" fontId="4" fillId="2" borderId="14" xfId="2" applyFont="1" applyFill="1" applyBorder="1" applyAlignment="1">
      <alignment vertical="top" wrapText="1"/>
    </xf>
    <xf numFmtId="0" fontId="4" fillId="2" borderId="18" xfId="2" applyFont="1" applyFill="1" applyBorder="1"/>
    <xf numFmtId="170" fontId="4" fillId="2" borderId="4" xfId="1" applyNumberFormat="1" applyFont="1" applyFill="1" applyBorder="1" applyAlignment="1">
      <alignment horizontal="right"/>
    </xf>
    <xf numFmtId="0" fontId="3" fillId="2" borderId="14" xfId="0" applyFont="1" applyFill="1" applyBorder="1"/>
    <xf numFmtId="43" fontId="3" fillId="2" borderId="2" xfId="0" applyNumberFormat="1" applyFont="1" applyFill="1" applyBorder="1"/>
    <xf numFmtId="170" fontId="4" fillId="2" borderId="24" xfId="3" applyNumberFormat="1" applyFont="1" applyFill="1" applyBorder="1"/>
    <xf numFmtId="0" fontId="3" fillId="2" borderId="0" xfId="0" applyFont="1" applyFill="1" applyAlignment="1">
      <alignment vertical="top" wrapText="1"/>
    </xf>
    <xf numFmtId="0" fontId="3" fillId="2" borderId="0" xfId="2" applyFont="1" applyFill="1" applyAlignment="1">
      <alignment horizontal="justify" vertical="top" wrapText="1"/>
    </xf>
    <xf numFmtId="0" fontId="4" fillId="2" borderId="0" xfId="2021" applyFont="1" applyFill="1"/>
    <xf numFmtId="43" fontId="4" fillId="2" borderId="0" xfId="2022" applyNumberFormat="1" applyFont="1" applyFill="1"/>
    <xf numFmtId="0" fontId="4" fillId="2" borderId="0" xfId="2021" applyFont="1" applyFill="1" applyAlignment="1">
      <alignment horizontal="left"/>
    </xf>
    <xf numFmtId="170" fontId="4" fillId="2" borderId="66" xfId="1" applyNumberFormat="1" applyFont="1" applyFill="1" applyBorder="1" applyAlignment="1">
      <alignment horizontal="center" vertical="top" wrapText="1"/>
    </xf>
    <xf numFmtId="173" fontId="4" fillId="2" borderId="62" xfId="281" applyNumberFormat="1" applyFont="1" applyFill="1" applyBorder="1" applyAlignment="1">
      <alignment horizontal="center" vertical="top" wrapText="1"/>
    </xf>
    <xf numFmtId="186" fontId="4" fillId="2" borderId="8" xfId="281" applyNumberFormat="1" applyFont="1" applyFill="1" applyBorder="1" applyAlignment="1">
      <alignment horizontal="center"/>
    </xf>
    <xf numFmtId="186" fontId="4" fillId="2" borderId="12" xfId="281" applyNumberFormat="1" applyFont="1" applyFill="1" applyBorder="1" applyAlignment="1">
      <alignment horizontal="center"/>
    </xf>
    <xf numFmtId="0" fontId="4" fillId="2" borderId="14" xfId="2022" applyFont="1" applyFill="1" applyBorder="1"/>
    <xf numFmtId="0" fontId="4" fillId="2" borderId="11" xfId="2022" applyFont="1" applyFill="1" applyBorder="1"/>
    <xf numFmtId="43" fontId="3" fillId="2" borderId="11" xfId="2022" applyNumberFormat="1" applyFont="1" applyFill="1" applyBorder="1"/>
    <xf numFmtId="0" fontId="3" fillId="2" borderId="11" xfId="2022" applyFont="1" applyFill="1" applyBorder="1"/>
    <xf numFmtId="0" fontId="3" fillId="2" borderId="14" xfId="2022" applyFont="1" applyFill="1" applyBorder="1" applyAlignment="1">
      <alignment horizontal="left" indent="2"/>
    </xf>
    <xf numFmtId="0" fontId="3" fillId="2" borderId="0" xfId="2022" applyFont="1" applyFill="1" applyAlignment="1">
      <alignment horizontal="left" indent="2"/>
    </xf>
    <xf numFmtId="0" fontId="3" fillId="2" borderId="14" xfId="2022" applyFont="1" applyFill="1" applyBorder="1"/>
    <xf numFmtId="0" fontId="4" fillId="2" borderId="11" xfId="2022" applyFont="1" applyFill="1" applyBorder="1" applyAlignment="1">
      <alignment horizontal="left"/>
    </xf>
    <xf numFmtId="0" fontId="4" fillId="2" borderId="14" xfId="2022" applyFont="1" applyFill="1" applyBorder="1" applyAlignment="1">
      <alignment horizontal="left"/>
    </xf>
    <xf numFmtId="0" fontId="4" fillId="2" borderId="14" xfId="2022" quotePrefix="1" applyFont="1" applyFill="1" applyBorder="1" applyAlignment="1">
      <alignment horizontal="left"/>
    </xf>
    <xf numFmtId="0" fontId="4" fillId="2" borderId="11" xfId="2022" quotePrefix="1" applyFont="1" applyFill="1" applyBorder="1" applyAlignment="1">
      <alignment horizontal="left"/>
    </xf>
    <xf numFmtId="0" fontId="3" fillId="2" borderId="11" xfId="2022" quotePrefix="1" applyFont="1" applyFill="1" applyBorder="1" applyAlignment="1">
      <alignment horizontal="left"/>
    </xf>
    <xf numFmtId="0" fontId="3" fillId="2" borderId="14" xfId="2022" quotePrefix="1" applyFont="1" applyFill="1" applyBorder="1" applyAlignment="1">
      <alignment horizontal="left"/>
    </xf>
    <xf numFmtId="0" fontId="4" fillId="2" borderId="18" xfId="2022" quotePrefix="1" applyFont="1" applyFill="1" applyBorder="1" applyAlignment="1">
      <alignment horizontal="left"/>
    </xf>
    <xf numFmtId="0" fontId="3" fillId="2" borderId="12" xfId="2022" quotePrefix="1" applyFont="1" applyFill="1" applyBorder="1" applyAlignment="1">
      <alignment horizontal="left"/>
    </xf>
    <xf numFmtId="0" fontId="3" fillId="2" borderId="0" xfId="2022" applyFont="1" applyFill="1"/>
    <xf numFmtId="170" fontId="3" fillId="2" borderId="0" xfId="1" applyNumberFormat="1" applyFont="1" applyFill="1" applyAlignment="1">
      <alignment horizontal="center"/>
    </xf>
    <xf numFmtId="0" fontId="4" fillId="2" borderId="0" xfId="4" applyFont="1" applyFill="1" applyAlignment="1">
      <alignment horizontal="left" indent="4"/>
    </xf>
    <xf numFmtId="0" fontId="4" fillId="2" borderId="0" xfId="4" applyFont="1" applyFill="1"/>
    <xf numFmtId="0" fontId="3" fillId="2" borderId="0" xfId="4" applyFont="1" applyFill="1" applyAlignment="1">
      <alignment horizontal="left" indent="4"/>
    </xf>
    <xf numFmtId="0" fontId="36" fillId="2" borderId="0" xfId="2" applyFont="1" applyFill="1"/>
    <xf numFmtId="170" fontId="36" fillId="2" borderId="0" xfId="1" applyNumberFormat="1" applyFont="1" applyFill="1"/>
    <xf numFmtId="0" fontId="4" fillId="2" borderId="0" xfId="2" applyFont="1" applyFill="1" applyAlignment="1">
      <alignment horizontal="right"/>
    </xf>
    <xf numFmtId="0" fontId="36" fillId="2" borderId="0" xfId="2" applyFont="1" applyFill="1" applyAlignment="1">
      <alignment wrapText="1"/>
    </xf>
    <xf numFmtId="0" fontId="4" fillId="2" borderId="1" xfId="2" applyFont="1" applyFill="1" applyBorder="1" applyAlignment="1">
      <alignment horizontal="center" vertical="center" wrapText="1"/>
    </xf>
    <xf numFmtId="170" fontId="36" fillId="2" borderId="0" xfId="1" applyNumberFormat="1" applyFont="1" applyFill="1" applyAlignment="1">
      <alignment wrapText="1"/>
    </xf>
    <xf numFmtId="0" fontId="4" fillId="2" borderId="0" xfId="2" applyFont="1" applyFill="1" applyAlignment="1">
      <alignment horizontal="center"/>
    </xf>
    <xf numFmtId="16" fontId="48" fillId="2" borderId="2" xfId="0" quotePrefix="1" applyNumberFormat="1" applyFont="1" applyFill="1" applyBorder="1" applyAlignment="1">
      <alignment horizontal="center" vertical="center" wrapText="1"/>
    </xf>
    <xf numFmtId="16" fontId="48" fillId="2" borderId="3" xfId="0" quotePrefix="1" applyNumberFormat="1" applyFont="1" applyFill="1" applyBorder="1" applyAlignment="1">
      <alignment horizontal="center" vertical="center" wrapText="1"/>
    </xf>
    <xf numFmtId="170" fontId="3" fillId="2" borderId="3" xfId="3" applyNumberFormat="1" applyFont="1" applyFill="1" applyBorder="1"/>
    <xf numFmtId="0" fontId="4" fillId="2" borderId="0" xfId="2" quotePrefix="1" applyFont="1" applyFill="1" applyAlignment="1">
      <alignment horizontal="center" vertical="center"/>
    </xf>
    <xf numFmtId="170" fontId="36" fillId="2" borderId="0" xfId="2" applyNumberFormat="1" applyFont="1" applyFill="1"/>
    <xf numFmtId="0" fontId="3" fillId="2" borderId="2" xfId="3" applyNumberFormat="1" applyFont="1" applyFill="1" applyBorder="1" applyAlignment="1">
      <alignment horizontal="center" vertical="center"/>
    </xf>
    <xf numFmtId="0" fontId="3" fillId="2" borderId="2" xfId="3" applyNumberFormat="1" applyFont="1" applyFill="1" applyBorder="1" applyAlignment="1">
      <alignment horizontal="center" vertical="center" wrapText="1"/>
    </xf>
    <xf numFmtId="0" fontId="36" fillId="2" borderId="2" xfId="2" applyFont="1" applyFill="1" applyBorder="1" applyAlignment="1">
      <alignment horizontal="left"/>
    </xf>
    <xf numFmtId="0" fontId="36" fillId="2" borderId="2" xfId="2" applyFont="1" applyFill="1" applyBorder="1" applyAlignment="1">
      <alignment horizontal="left" indent="3"/>
    </xf>
    <xf numFmtId="0" fontId="4" fillId="2" borderId="2" xfId="2" applyFont="1" applyFill="1" applyBorder="1" applyAlignment="1">
      <alignment horizontal="center" vertical="center"/>
    </xf>
    <xf numFmtId="0" fontId="36" fillId="2" borderId="8" xfId="2" applyFont="1" applyFill="1" applyBorder="1"/>
    <xf numFmtId="170" fontId="3" fillId="2" borderId="7" xfId="3" applyNumberFormat="1" applyFont="1" applyFill="1" applyBorder="1"/>
    <xf numFmtId="0" fontId="36" fillId="2" borderId="2" xfId="2" quotePrefix="1" applyFont="1" applyFill="1" applyBorder="1" applyAlignment="1">
      <alignment horizontal="left" wrapText="1" indent="3"/>
    </xf>
    <xf numFmtId="0" fontId="3" fillId="2" borderId="3" xfId="2" applyFont="1" applyFill="1" applyBorder="1"/>
    <xf numFmtId="0" fontId="42" fillId="2" borderId="8" xfId="2" applyFont="1" applyFill="1" applyBorder="1"/>
    <xf numFmtId="0" fontId="3" fillId="2" borderId="9" xfId="2" applyFont="1" applyFill="1" applyBorder="1"/>
    <xf numFmtId="170" fontId="3" fillId="2" borderId="0" xfId="0" applyNumberFormat="1" applyFont="1" applyFill="1"/>
    <xf numFmtId="0" fontId="4" fillId="2" borderId="0" xfId="0" applyFont="1" applyFill="1" applyAlignment="1">
      <alignment horizontal="left"/>
    </xf>
    <xf numFmtId="0" fontId="3" fillId="2" borderId="0" xfId="0" applyFont="1" applyFill="1" applyAlignment="1">
      <alignment horizontal="left"/>
    </xf>
    <xf numFmtId="0" fontId="3" fillId="2" borderId="0" xfId="5" applyFont="1" applyFill="1"/>
    <xf numFmtId="0" fontId="49" fillId="2" borderId="0" xfId="0" applyFont="1" applyFill="1"/>
    <xf numFmtId="0" fontId="50" fillId="2" borderId="38" xfId="0" applyFont="1" applyFill="1" applyBorder="1" applyAlignment="1">
      <alignment horizontal="center" wrapText="1"/>
    </xf>
    <xf numFmtId="4" fontId="50" fillId="2" borderId="38" xfId="0" applyNumberFormat="1" applyFont="1" applyFill="1" applyBorder="1" applyAlignment="1">
      <alignment horizontal="center" wrapText="1"/>
    </xf>
    <xf numFmtId="0" fontId="53" fillId="2" borderId="38" xfId="0" applyFont="1" applyFill="1" applyBorder="1" applyAlignment="1">
      <alignment horizontal="center" wrapText="1"/>
    </xf>
    <xf numFmtId="0" fontId="53" fillId="2" borderId="38" xfId="0" applyFont="1" applyFill="1" applyBorder="1" applyAlignment="1">
      <alignment horizontal="left" wrapText="1"/>
    </xf>
    <xf numFmtId="4" fontId="53" fillId="2" borderId="38" xfId="0" applyNumberFormat="1" applyFont="1" applyFill="1" applyBorder="1" applyAlignment="1">
      <alignment horizontal="right" wrapText="1"/>
    </xf>
    <xf numFmtId="4" fontId="53" fillId="2" borderId="38" xfId="0" quotePrefix="1" applyNumberFormat="1" applyFont="1" applyFill="1" applyBorder="1" applyAlignment="1">
      <alignment horizontal="right" wrapText="1"/>
    </xf>
    <xf numFmtId="4" fontId="53" fillId="2" borderId="81" xfId="0" applyNumberFormat="1" applyFont="1" applyFill="1" applyBorder="1" applyAlignment="1">
      <alignment horizontal="right" wrapText="1"/>
    </xf>
    <xf numFmtId="4" fontId="49" fillId="2" borderId="80" xfId="0" applyNumberFormat="1" applyFont="1" applyFill="1" applyBorder="1" applyAlignment="1">
      <alignment wrapText="1"/>
    </xf>
    <xf numFmtId="4" fontId="49" fillId="2" borderId="0" xfId="0" applyNumberFormat="1" applyFont="1" applyFill="1" applyAlignment="1">
      <alignment wrapText="1"/>
    </xf>
    <xf numFmtId="173" fontId="3" fillId="2" borderId="0" xfId="2032" applyNumberFormat="1" applyFont="1" applyFill="1"/>
    <xf numFmtId="173" fontId="3" fillId="2" borderId="20" xfId="2032" applyNumberFormat="1" applyFont="1" applyFill="1" applyBorder="1"/>
    <xf numFmtId="4" fontId="49" fillId="2" borderId="20" xfId="0" applyNumberFormat="1" applyFont="1" applyFill="1" applyBorder="1" applyAlignment="1">
      <alignment wrapText="1"/>
    </xf>
    <xf numFmtId="4" fontId="50" fillId="2" borderId="38" xfId="0" applyNumberFormat="1" applyFont="1" applyFill="1" applyBorder="1" applyAlignment="1">
      <alignment horizontal="right" wrapText="1"/>
    </xf>
    <xf numFmtId="4" fontId="49" fillId="2" borderId="38" xfId="0" applyNumberFormat="1" applyFont="1" applyFill="1" applyBorder="1" applyAlignment="1">
      <alignment wrapText="1"/>
    </xf>
    <xf numFmtId="0" fontId="49" fillId="2" borderId="0" xfId="0" applyFont="1" applyFill="1" applyAlignment="1">
      <alignment wrapText="1"/>
    </xf>
    <xf numFmtId="0" fontId="4" fillId="2" borderId="0" xfId="0" applyFont="1" applyFill="1" applyAlignment="1">
      <alignment horizontal="center"/>
    </xf>
    <xf numFmtId="0" fontId="4" fillId="2" borderId="38" xfId="0" applyFont="1" applyFill="1" applyBorder="1"/>
    <xf numFmtId="0" fontId="4" fillId="2" borderId="82" xfId="0" applyFont="1" applyFill="1" applyBorder="1"/>
    <xf numFmtId="173" fontId="4" fillId="2" borderId="38" xfId="2032" applyNumberFormat="1" applyFont="1" applyFill="1" applyBorder="1"/>
    <xf numFmtId="173" fontId="4" fillId="2" borderId="82" xfId="2032" applyNumberFormat="1" applyFont="1" applyFill="1" applyBorder="1"/>
    <xf numFmtId="173" fontId="3" fillId="2" borderId="2" xfId="2032" applyNumberFormat="1" applyFont="1" applyFill="1" applyBorder="1"/>
    <xf numFmtId="173" fontId="3" fillId="2" borderId="0" xfId="2032" applyNumberFormat="1" applyFont="1" applyFill="1" applyBorder="1"/>
    <xf numFmtId="0" fontId="3" fillId="2" borderId="2" xfId="0" applyFont="1" applyFill="1" applyBorder="1" applyAlignment="1">
      <alignment vertical="center"/>
    </xf>
    <xf numFmtId="0" fontId="35" fillId="2" borderId="0" xfId="0" applyFont="1" applyFill="1" applyAlignment="1">
      <alignment vertical="center" wrapText="1"/>
    </xf>
    <xf numFmtId="173" fontId="3" fillId="2" borderId="2" xfId="2032" applyNumberFormat="1" applyFont="1" applyFill="1" applyBorder="1" applyAlignment="1">
      <alignment vertical="center"/>
    </xf>
    <xf numFmtId="173" fontId="3" fillId="2" borderId="0" xfId="2032" applyNumberFormat="1" applyFont="1" applyFill="1" applyBorder="1" applyAlignment="1">
      <alignment vertical="center"/>
    </xf>
    <xf numFmtId="0" fontId="3" fillId="2" borderId="2" xfId="0" applyFont="1" applyFill="1" applyBorder="1" applyAlignment="1">
      <alignment horizontal="center"/>
    </xf>
    <xf numFmtId="0" fontId="35" fillId="2" borderId="0" xfId="0" applyFont="1" applyFill="1"/>
    <xf numFmtId="173" fontId="3" fillId="2" borderId="8" xfId="2032" applyNumberFormat="1" applyFont="1" applyFill="1" applyBorder="1"/>
    <xf numFmtId="0" fontId="46" fillId="2" borderId="0" xfId="20" applyNumberFormat="1" applyFont="1" applyFill="1"/>
    <xf numFmtId="173" fontId="4" fillId="2" borderId="5" xfId="2032" applyNumberFormat="1" applyFont="1" applyFill="1" applyBorder="1"/>
    <xf numFmtId="173" fontId="4" fillId="2" borderId="2" xfId="2032" applyNumberFormat="1" applyFont="1" applyFill="1" applyBorder="1"/>
    <xf numFmtId="0" fontId="54" fillId="2" borderId="0" xfId="0" applyFont="1" applyFill="1"/>
    <xf numFmtId="0" fontId="38" fillId="2" borderId="0" xfId="0" applyFont="1" applyFill="1"/>
    <xf numFmtId="1" fontId="46" fillId="2" borderId="0" xfId="0" applyNumberFormat="1" applyFont="1" applyFill="1"/>
    <xf numFmtId="167" fontId="46" fillId="2" borderId="0" xfId="0" applyNumberFormat="1" applyFont="1" applyFill="1"/>
    <xf numFmtId="173" fontId="46" fillId="2" borderId="0" xfId="0" applyNumberFormat="1" applyFont="1" applyFill="1"/>
    <xf numFmtId="170" fontId="46" fillId="2" borderId="0" xfId="1" applyNumberFormat="1" applyFont="1" applyFill="1"/>
    <xf numFmtId="173" fontId="4" fillId="2" borderId="2" xfId="2032" applyNumberFormat="1" applyFont="1" applyFill="1" applyBorder="1" applyAlignment="1">
      <alignment horizontal="center"/>
    </xf>
    <xf numFmtId="173" fontId="4" fillId="2" borderId="0" xfId="2032" applyNumberFormat="1" applyFont="1" applyFill="1" applyBorder="1" applyAlignment="1">
      <alignment horizontal="center"/>
    </xf>
    <xf numFmtId="173" fontId="4" fillId="2" borderId="0" xfId="2032" applyNumberFormat="1" applyFont="1" applyFill="1" applyBorder="1"/>
    <xf numFmtId="0" fontId="55" fillId="2" borderId="0" xfId="0" applyFont="1" applyFill="1"/>
    <xf numFmtId="0" fontId="3" fillId="2" borderId="8" xfId="0" applyFont="1" applyFill="1" applyBorder="1" applyAlignment="1">
      <alignment horizontal="center"/>
    </xf>
    <xf numFmtId="0" fontId="3" fillId="2" borderId="20" xfId="0" applyFont="1" applyFill="1" applyBorder="1"/>
    <xf numFmtId="173" fontId="3" fillId="2" borderId="8" xfId="2032" applyNumberFormat="1" applyFont="1" applyFill="1" applyBorder="1" applyAlignment="1">
      <alignment horizontal="center"/>
    </xf>
    <xf numFmtId="173" fontId="3" fillId="2" borderId="20" xfId="2032" applyNumberFormat="1" applyFont="1" applyFill="1" applyBorder="1" applyAlignment="1">
      <alignment horizontal="center"/>
    </xf>
    <xf numFmtId="0" fontId="3" fillId="2" borderId="0" xfId="0" applyFont="1" applyFill="1" applyAlignment="1">
      <alignment horizontal="center"/>
    </xf>
    <xf numFmtId="173" fontId="3" fillId="2" borderId="0" xfId="2032" applyNumberFormat="1" applyFont="1" applyFill="1" applyBorder="1" applyAlignment="1">
      <alignment horizontal="center"/>
    </xf>
    <xf numFmtId="173" fontId="4" fillId="2" borderId="0" xfId="2032" applyNumberFormat="1" applyFont="1" applyFill="1"/>
    <xf numFmtId="173" fontId="46" fillId="2" borderId="20" xfId="0" applyNumberFormat="1" applyFont="1" applyFill="1" applyBorder="1"/>
    <xf numFmtId="0" fontId="46" fillId="2" borderId="0" xfId="0" applyFont="1" applyFill="1" applyAlignment="1">
      <alignment horizontal="right"/>
    </xf>
    <xf numFmtId="173" fontId="4" fillId="2" borderId="38" xfId="2032" applyNumberFormat="1" applyFont="1" applyFill="1" applyBorder="1" applyAlignment="1">
      <alignment wrapText="1"/>
    </xf>
    <xf numFmtId="173" fontId="4" fillId="2" borderId="14" xfId="2032" applyNumberFormat="1" applyFont="1" applyFill="1" applyBorder="1"/>
    <xf numFmtId="173" fontId="3" fillId="2" borderId="11" xfId="2032" applyNumberFormat="1" applyFont="1" applyFill="1" applyBorder="1"/>
    <xf numFmtId="173" fontId="3" fillId="2" borderId="11" xfId="2032" applyNumberFormat="1" applyFont="1" applyFill="1" applyBorder="1" applyAlignment="1">
      <alignment vertical="center"/>
    </xf>
    <xf numFmtId="173" fontId="4" fillId="2" borderId="11" xfId="2032" applyNumberFormat="1" applyFont="1" applyFill="1" applyBorder="1"/>
    <xf numFmtId="173" fontId="3" fillId="2" borderId="12" xfId="2032" applyNumberFormat="1" applyFont="1" applyFill="1" applyBorder="1" applyAlignment="1">
      <alignment horizontal="center"/>
    </xf>
    <xf numFmtId="173" fontId="56" fillId="2" borderId="0" xfId="2032" applyNumberFormat="1" applyFont="1" applyFill="1" applyBorder="1"/>
    <xf numFmtId="17" fontId="3" fillId="2" borderId="0" xfId="0" applyNumberFormat="1" applyFont="1" applyFill="1"/>
    <xf numFmtId="0" fontId="4" fillId="2" borderId="15" xfId="0" applyFont="1" applyFill="1" applyBorder="1" applyAlignment="1">
      <alignment vertical="center"/>
    </xf>
    <xf numFmtId="0" fontId="4" fillId="2" borderId="18" xfId="0" applyFont="1" applyFill="1" applyBorder="1" applyAlignment="1">
      <alignment vertical="center"/>
    </xf>
    <xf numFmtId="0" fontId="4" fillId="2" borderId="13" xfId="0" applyFont="1" applyFill="1" applyBorder="1"/>
    <xf numFmtId="0" fontId="4" fillId="2" borderId="52" xfId="0" applyFont="1" applyFill="1" applyBorder="1"/>
    <xf numFmtId="170" fontId="3" fillId="2" borderId="10" xfId="0" applyNumberFormat="1" applyFont="1" applyFill="1" applyBorder="1"/>
    <xf numFmtId="0" fontId="4" fillId="2" borderId="87" xfId="0" applyFont="1" applyFill="1" applyBorder="1"/>
    <xf numFmtId="14" fontId="3" fillId="2" borderId="14" xfId="0" applyNumberFormat="1" applyFont="1" applyFill="1" applyBorder="1"/>
    <xf numFmtId="170" fontId="3" fillId="2" borderId="14" xfId="1" applyNumberFormat="1" applyFont="1" applyFill="1" applyBorder="1" applyAlignment="1"/>
    <xf numFmtId="0" fontId="4" fillId="2" borderId="18" xfId="0" applyFont="1" applyFill="1" applyBorder="1"/>
    <xf numFmtId="0" fontId="4" fillId="2" borderId="14" xfId="0" applyFont="1" applyFill="1" applyBorder="1"/>
    <xf numFmtId="170" fontId="4" fillId="2" borderId="2" xfId="3" applyNumberFormat="1" applyFont="1" applyFill="1" applyBorder="1"/>
    <xf numFmtId="14" fontId="4" fillId="2" borderId="1" xfId="2" applyNumberFormat="1" applyFont="1" applyFill="1" applyBorder="1" applyAlignment="1">
      <alignment horizontal="center" vertical="center" wrapText="1"/>
    </xf>
    <xf numFmtId="170" fontId="3" fillId="2" borderId="14" xfId="0" applyNumberFormat="1" applyFont="1" applyFill="1" applyBorder="1"/>
    <xf numFmtId="167" fontId="3" fillId="2" borderId="14" xfId="0" applyNumberFormat="1" applyFont="1" applyFill="1" applyBorder="1"/>
    <xf numFmtId="184" fontId="3" fillId="2" borderId="0" xfId="0" applyNumberFormat="1" applyFont="1" applyFill="1"/>
    <xf numFmtId="14" fontId="3" fillId="2" borderId="0" xfId="0" applyNumberFormat="1" applyFont="1" applyFill="1"/>
    <xf numFmtId="10" fontId="3" fillId="2" borderId="0" xfId="0" applyNumberFormat="1" applyFont="1" applyFill="1"/>
    <xf numFmtId="9" fontId="3" fillId="2" borderId="0" xfId="0" applyNumberFormat="1" applyFont="1" applyFill="1"/>
    <xf numFmtId="164" fontId="4" fillId="2" borderId="0" xfId="0" applyNumberFormat="1" applyFont="1" applyFill="1"/>
    <xf numFmtId="0" fontId="4" fillId="2" borderId="4" xfId="0" applyFont="1" applyFill="1" applyBorder="1"/>
    <xf numFmtId="164" fontId="4" fillId="2" borderId="4" xfId="0" applyNumberFormat="1" applyFont="1" applyFill="1" applyBorder="1"/>
    <xf numFmtId="164" fontId="4" fillId="2" borderId="125" xfId="0" applyNumberFormat="1" applyFont="1" applyFill="1" applyBorder="1"/>
    <xf numFmtId="0" fontId="3" fillId="2" borderId="8" xfId="0" applyFont="1" applyFill="1" applyBorder="1"/>
    <xf numFmtId="170" fontId="3" fillId="2" borderId="8" xfId="0" applyNumberFormat="1" applyFont="1" applyFill="1" applyBorder="1"/>
    <xf numFmtId="170" fontId="3" fillId="2" borderId="20" xfId="1" applyNumberFormat="1" applyFont="1" applyFill="1" applyBorder="1"/>
    <xf numFmtId="170" fontId="4" fillId="2" borderId="0" xfId="0" applyNumberFormat="1" applyFont="1" applyFill="1"/>
    <xf numFmtId="167" fontId="4" fillId="2" borderId="0" xfId="0" applyNumberFormat="1" applyFont="1" applyFill="1"/>
    <xf numFmtId="173" fontId="46" fillId="2" borderId="0" xfId="1" applyNumberFormat="1" applyFont="1" applyFill="1"/>
    <xf numFmtId="9" fontId="46" fillId="2" borderId="0" xfId="0" applyNumberFormat="1" applyFont="1" applyFill="1"/>
    <xf numFmtId="165" fontId="4" fillId="2" borderId="0" xfId="0" applyNumberFormat="1" applyFont="1" applyFill="1"/>
    <xf numFmtId="0" fontId="4" fillId="2" borderId="4" xfId="0" applyFont="1" applyFill="1" applyBorder="1" applyAlignment="1">
      <alignment vertical="top"/>
    </xf>
    <xf numFmtId="0" fontId="4" fillId="2" borderId="81" xfId="0" applyFont="1" applyFill="1" applyBorder="1" applyAlignment="1">
      <alignment horizontal="center" vertical="top" wrapText="1"/>
    </xf>
    <xf numFmtId="0" fontId="4" fillId="2" borderId="4" xfId="0" applyFont="1" applyFill="1" applyBorder="1" applyAlignment="1">
      <alignment horizontal="center" vertical="top" wrapText="1"/>
    </xf>
    <xf numFmtId="0" fontId="4" fillId="2" borderId="0" xfId="0" applyFont="1" applyFill="1" applyAlignment="1">
      <alignment vertical="top"/>
    </xf>
    <xf numFmtId="0" fontId="4" fillId="2" borderId="0" xfId="0" applyFont="1" applyFill="1" applyAlignment="1">
      <alignment horizontal="center" vertical="top"/>
    </xf>
    <xf numFmtId="170" fontId="3" fillId="2" borderId="14" xfId="1" applyNumberFormat="1" applyFont="1" applyFill="1" applyBorder="1" applyAlignment="1">
      <alignment horizontal="center"/>
    </xf>
    <xf numFmtId="170" fontId="3" fillId="2" borderId="2" xfId="1" applyNumberFormat="1" applyFont="1" applyFill="1" applyBorder="1" applyAlignment="1">
      <alignment horizontal="center"/>
    </xf>
    <xf numFmtId="170" fontId="3" fillId="2" borderId="0" xfId="1" applyNumberFormat="1" applyFont="1" applyFill="1" applyBorder="1" applyAlignment="1">
      <alignment horizontal="center"/>
    </xf>
    <xf numFmtId="170" fontId="3" fillId="2" borderId="18" xfId="1" applyNumberFormat="1" applyFont="1" applyFill="1" applyBorder="1" applyAlignment="1">
      <alignment horizontal="center"/>
    </xf>
    <xf numFmtId="170" fontId="3" fillId="2" borderId="8" xfId="1" applyNumberFormat="1" applyFont="1" applyFill="1" applyBorder="1" applyAlignment="1">
      <alignment horizontal="center"/>
    </xf>
    <xf numFmtId="0" fontId="46" fillId="2" borderId="0" xfId="15" applyFont="1" applyFill="1"/>
    <xf numFmtId="0" fontId="55" fillId="2" borderId="20" xfId="15" applyFont="1" applyFill="1" applyBorder="1"/>
    <xf numFmtId="0" fontId="46" fillId="2" borderId="20" xfId="15" applyFont="1" applyFill="1" applyBorder="1"/>
    <xf numFmtId="0" fontId="46" fillId="2" borderId="0" xfId="15" applyFont="1" applyFill="1" applyAlignment="1">
      <alignment horizontal="center"/>
    </xf>
    <xf numFmtId="177" fontId="46" fillId="2" borderId="0" xfId="14" applyNumberFormat="1" applyFont="1" applyFill="1" applyAlignment="1">
      <alignment horizontal="right"/>
    </xf>
    <xf numFmtId="15" fontId="3" fillId="2" borderId="4" xfId="0" applyNumberFormat="1" applyFont="1" applyFill="1" applyBorder="1" applyAlignment="1">
      <alignment vertical="top"/>
    </xf>
    <xf numFmtId="170" fontId="46" fillId="2" borderId="0" xfId="16" applyNumberFormat="1" applyFont="1" applyFill="1" applyAlignment="1"/>
    <xf numFmtId="9" fontId="46" fillId="2" borderId="0" xfId="15" applyNumberFormat="1" applyFont="1" applyFill="1"/>
    <xf numFmtId="178" fontId="46" fillId="2" borderId="0" xfId="15" applyNumberFormat="1" applyFont="1" applyFill="1"/>
    <xf numFmtId="168" fontId="46" fillId="2" borderId="0" xfId="15" applyNumberFormat="1" applyFont="1" applyFill="1"/>
    <xf numFmtId="170" fontId="46" fillId="2" borderId="0" xfId="15" applyNumberFormat="1" applyFont="1" applyFill="1"/>
    <xf numFmtId="170" fontId="46" fillId="2" borderId="20" xfId="15" applyNumberFormat="1" applyFont="1" applyFill="1" applyBorder="1"/>
    <xf numFmtId="170" fontId="46" fillId="2" borderId="21" xfId="15" applyNumberFormat="1" applyFont="1" applyFill="1" applyBorder="1"/>
    <xf numFmtId="37" fontId="46" fillId="2" borderId="0" xfId="14" applyNumberFormat="1" applyFont="1" applyFill="1" applyAlignment="1">
      <alignment horizontal="right"/>
    </xf>
    <xf numFmtId="179" fontId="46" fillId="2" borderId="0" xfId="14" applyNumberFormat="1" applyFont="1" applyFill="1" applyAlignment="1">
      <alignment horizontal="right"/>
    </xf>
    <xf numFmtId="179" fontId="46" fillId="2" borderId="0" xfId="15" applyNumberFormat="1" applyFont="1" applyFill="1"/>
    <xf numFmtId="169" fontId="46" fillId="2" borderId="0" xfId="15" applyNumberFormat="1" applyFont="1" applyFill="1"/>
    <xf numFmtId="0" fontId="58" fillId="2" borderId="0" xfId="15" applyFont="1" applyFill="1"/>
    <xf numFmtId="3" fontId="58" fillId="2" borderId="0" xfId="15" applyNumberFormat="1" applyFont="1" applyFill="1"/>
    <xf numFmtId="3" fontId="46" fillId="2" borderId="0" xfId="15" applyNumberFormat="1" applyFont="1" applyFill="1"/>
    <xf numFmtId="0" fontId="46" fillId="2" borderId="13" xfId="15" applyFont="1" applyFill="1" applyBorder="1"/>
    <xf numFmtId="0" fontId="46" fillId="2" borderId="19" xfId="15" applyFont="1" applyFill="1" applyBorder="1"/>
    <xf numFmtId="170" fontId="46" fillId="2" borderId="19" xfId="1" applyNumberFormat="1" applyFont="1" applyFill="1" applyBorder="1" applyAlignment="1">
      <alignment horizontal="right"/>
    </xf>
    <xf numFmtId="179" fontId="46" fillId="2" borderId="19" xfId="14" applyNumberFormat="1" applyFont="1" applyFill="1" applyBorder="1" applyAlignment="1">
      <alignment horizontal="right"/>
    </xf>
    <xf numFmtId="179" fontId="46" fillId="2" borderId="17" xfId="14" applyNumberFormat="1" applyFont="1" applyFill="1" applyBorder="1" applyAlignment="1">
      <alignment horizontal="right"/>
    </xf>
    <xf numFmtId="0" fontId="46" fillId="2" borderId="14" xfId="15" applyFont="1" applyFill="1" applyBorder="1"/>
    <xf numFmtId="37" fontId="46" fillId="2" borderId="0" xfId="14" applyNumberFormat="1" applyFont="1" applyFill="1" applyBorder="1" applyAlignment="1">
      <alignment horizontal="right"/>
    </xf>
    <xf numFmtId="179" fontId="46" fillId="2" borderId="0" xfId="14" applyNumberFormat="1" applyFont="1" applyFill="1" applyBorder="1" applyAlignment="1">
      <alignment horizontal="right"/>
    </xf>
    <xf numFmtId="179" fontId="46" fillId="2" borderId="11" xfId="14" applyNumberFormat="1" applyFont="1" applyFill="1" applyBorder="1" applyAlignment="1">
      <alignment horizontal="right"/>
    </xf>
    <xf numFmtId="37" fontId="46" fillId="2" borderId="11" xfId="14" applyNumberFormat="1" applyFont="1" applyFill="1" applyBorder="1" applyAlignment="1">
      <alignment horizontal="right"/>
    </xf>
    <xf numFmtId="0" fontId="46" fillId="2" borderId="18" xfId="15" applyFont="1" applyFill="1" applyBorder="1"/>
    <xf numFmtId="179" fontId="46" fillId="2" borderId="20" xfId="14" applyNumberFormat="1" applyFont="1" applyFill="1" applyBorder="1" applyAlignment="1">
      <alignment horizontal="right"/>
    </xf>
    <xf numFmtId="179" fontId="46" fillId="2" borderId="12" xfId="14" applyNumberFormat="1" applyFont="1" applyFill="1" applyBorder="1" applyAlignment="1">
      <alignment horizontal="right"/>
    </xf>
    <xf numFmtId="37" fontId="46" fillId="2" borderId="19" xfId="14" applyNumberFormat="1" applyFont="1" applyFill="1" applyBorder="1" applyAlignment="1">
      <alignment horizontal="right"/>
    </xf>
    <xf numFmtId="0" fontId="59" fillId="2" borderId="18" xfId="15" applyFont="1" applyFill="1" applyBorder="1"/>
    <xf numFmtId="14" fontId="46" fillId="2" borderId="19" xfId="15" applyNumberFormat="1" applyFont="1" applyFill="1" applyBorder="1"/>
    <xf numFmtId="170" fontId="46" fillId="2" borderId="19" xfId="14" applyNumberFormat="1" applyFont="1" applyFill="1" applyBorder="1" applyAlignment="1">
      <alignment horizontal="right"/>
    </xf>
    <xf numFmtId="37" fontId="46" fillId="2" borderId="12" xfId="14" applyNumberFormat="1" applyFont="1" applyFill="1" applyBorder="1" applyAlignment="1">
      <alignment horizontal="right"/>
    </xf>
    <xf numFmtId="0" fontId="59" fillId="2" borderId="0" xfId="15" applyFont="1" applyFill="1"/>
    <xf numFmtId="43" fontId="46" fillId="2" borderId="11" xfId="14" applyNumberFormat="1" applyFont="1" applyFill="1" applyBorder="1" applyAlignment="1">
      <alignment horizontal="right"/>
    </xf>
    <xf numFmtId="0" fontId="55" fillId="2" borderId="0" xfId="15" applyFont="1" applyFill="1"/>
    <xf numFmtId="170" fontId="46" fillId="2" borderId="20" xfId="1" applyNumberFormat="1" applyFont="1" applyFill="1" applyBorder="1"/>
    <xf numFmtId="43" fontId="46" fillId="2" borderId="0" xfId="15" applyNumberFormat="1" applyFont="1" applyFill="1"/>
    <xf numFmtId="37" fontId="46" fillId="2" borderId="19" xfId="15" applyNumberFormat="1" applyFont="1" applyFill="1" applyBorder="1"/>
    <xf numFmtId="179" fontId="46" fillId="2" borderId="19" xfId="15" applyNumberFormat="1" applyFont="1" applyFill="1" applyBorder="1"/>
    <xf numFmtId="170" fontId="46" fillId="2" borderId="19" xfId="1" applyNumberFormat="1" applyFont="1" applyFill="1" applyBorder="1"/>
    <xf numFmtId="37" fontId="46" fillId="2" borderId="0" xfId="15" applyNumberFormat="1" applyFont="1" applyFill="1"/>
    <xf numFmtId="170" fontId="46" fillId="2" borderId="0" xfId="1" applyNumberFormat="1" applyFont="1" applyFill="1" applyBorder="1"/>
    <xf numFmtId="37" fontId="46" fillId="2" borderId="21" xfId="15" applyNumberFormat="1" applyFont="1" applyFill="1" applyBorder="1"/>
    <xf numFmtId="170" fontId="46" fillId="2" borderId="21" xfId="1" applyNumberFormat="1" applyFont="1" applyFill="1" applyBorder="1"/>
    <xf numFmtId="191" fontId="46" fillId="2" borderId="0" xfId="0" applyNumberFormat="1" applyFont="1" applyFill="1"/>
    <xf numFmtId="37" fontId="46" fillId="2" borderId="0" xfId="14" applyNumberFormat="1" applyFont="1" applyFill="1"/>
    <xf numFmtId="37" fontId="46" fillId="2" borderId="0" xfId="0" applyNumberFormat="1" applyFont="1" applyFill="1"/>
    <xf numFmtId="37" fontId="46" fillId="2" borderId="16" xfId="14" applyNumberFormat="1" applyFont="1" applyFill="1" applyBorder="1"/>
    <xf numFmtId="37" fontId="46" fillId="2" borderId="16" xfId="15" applyNumberFormat="1" applyFont="1" applyFill="1" applyBorder="1"/>
    <xf numFmtId="37" fontId="46" fillId="2" borderId="17" xfId="15" applyNumberFormat="1" applyFont="1" applyFill="1" applyBorder="1"/>
    <xf numFmtId="37" fontId="46" fillId="2" borderId="12" xfId="15" applyNumberFormat="1" applyFont="1" applyFill="1" applyBorder="1"/>
    <xf numFmtId="37" fontId="46" fillId="2" borderId="11" xfId="15" applyNumberFormat="1" applyFont="1" applyFill="1" applyBorder="1"/>
    <xf numFmtId="10" fontId="46" fillId="2" borderId="0" xfId="20" applyNumberFormat="1" applyFont="1" applyFill="1"/>
    <xf numFmtId="0" fontId="55" fillId="2" borderId="108" xfId="0" applyFont="1" applyFill="1" applyBorder="1"/>
    <xf numFmtId="10" fontId="55" fillId="2" borderId="108" xfId="20" applyNumberFormat="1" applyFont="1" applyFill="1" applyBorder="1"/>
    <xf numFmtId="0" fontId="55" fillId="2" borderId="111" xfId="0" applyFont="1" applyFill="1" applyBorder="1"/>
    <xf numFmtId="167" fontId="46" fillId="2" borderId="111" xfId="1636" applyFont="1" applyFill="1" applyBorder="1"/>
    <xf numFmtId="167" fontId="46" fillId="2" borderId="23" xfId="1636" applyFont="1" applyFill="1" applyBorder="1"/>
    <xf numFmtId="10" fontId="46" fillId="2" borderId="23" xfId="20" applyNumberFormat="1" applyFont="1" applyFill="1" applyBorder="1"/>
    <xf numFmtId="0" fontId="46" fillId="2" borderId="23" xfId="0" applyFont="1" applyFill="1" applyBorder="1"/>
    <xf numFmtId="0" fontId="55" fillId="2" borderId="116" xfId="0" applyFont="1" applyFill="1" applyBorder="1"/>
    <xf numFmtId="167" fontId="46" fillId="2" borderId="116" xfId="1636" applyFont="1" applyFill="1" applyBorder="1"/>
    <xf numFmtId="10" fontId="55" fillId="2" borderId="23" xfId="20" applyNumberFormat="1" applyFont="1" applyFill="1" applyBorder="1"/>
    <xf numFmtId="166" fontId="46" fillId="2" borderId="114" xfId="2035" applyNumberFormat="1" applyFont="1" applyFill="1" applyBorder="1"/>
    <xf numFmtId="0" fontId="55" fillId="2" borderId="114" xfId="0" applyFont="1" applyFill="1" applyBorder="1"/>
    <xf numFmtId="167" fontId="46" fillId="2" borderId="114" xfId="1636" applyFont="1" applyFill="1" applyBorder="1"/>
    <xf numFmtId="167" fontId="46" fillId="2" borderId="108" xfId="1636" applyFont="1" applyFill="1" applyBorder="1"/>
    <xf numFmtId="10" fontId="46" fillId="2" borderId="108" xfId="20" applyNumberFormat="1" applyFont="1" applyFill="1" applyBorder="1"/>
    <xf numFmtId="0" fontId="46" fillId="2" borderId="108" xfId="0" applyFont="1" applyFill="1" applyBorder="1"/>
    <xf numFmtId="10" fontId="46" fillId="2" borderId="0" xfId="0" applyNumberFormat="1" applyFont="1" applyFill="1"/>
    <xf numFmtId="0" fontId="46" fillId="2" borderId="107" xfId="0" applyFont="1" applyFill="1" applyBorder="1"/>
    <xf numFmtId="0" fontId="46" fillId="2" borderId="109" xfId="0" applyFont="1" applyFill="1" applyBorder="1"/>
    <xf numFmtId="0" fontId="46" fillId="2" borderId="110" xfId="0" applyFont="1" applyFill="1" applyBorder="1"/>
    <xf numFmtId="166" fontId="46" fillId="2" borderId="111" xfId="0" applyNumberFormat="1" applyFont="1" applyFill="1" applyBorder="1"/>
    <xf numFmtId="166" fontId="46" fillId="2" borderId="112" xfId="0" applyNumberFormat="1" applyFont="1" applyFill="1" applyBorder="1"/>
    <xf numFmtId="0" fontId="46" fillId="2" borderId="113" xfId="0" applyFont="1" applyFill="1" applyBorder="1"/>
    <xf numFmtId="166" fontId="46" fillId="2" borderId="114" xfId="0" applyNumberFormat="1" applyFont="1" applyFill="1" applyBorder="1"/>
    <xf numFmtId="166" fontId="46" fillId="2" borderId="115" xfId="0" applyNumberFormat="1" applyFont="1" applyFill="1" applyBorder="1"/>
    <xf numFmtId="166" fontId="46" fillId="2" borderId="108" xfId="0" applyNumberFormat="1" applyFont="1" applyFill="1" applyBorder="1"/>
    <xf numFmtId="0" fontId="60" fillId="2" borderId="0" xfId="0" applyFont="1" applyFill="1"/>
    <xf numFmtId="0" fontId="61" fillId="2" borderId="107" xfId="0" applyFont="1" applyFill="1" applyBorder="1" applyAlignment="1">
      <alignment vertical="center"/>
    </xf>
    <xf numFmtId="0" fontId="61" fillId="2" borderId="108" xfId="0" applyFont="1" applyFill="1" applyBorder="1" applyAlignment="1">
      <alignment vertical="center"/>
    </xf>
    <xf numFmtId="0" fontId="61" fillId="2" borderId="129" xfId="0" applyFont="1" applyFill="1" applyBorder="1" applyAlignment="1">
      <alignment vertical="center"/>
    </xf>
    <xf numFmtId="0" fontId="61" fillId="2" borderId="109" xfId="0" applyFont="1" applyFill="1" applyBorder="1" applyAlignment="1">
      <alignment vertical="center"/>
    </xf>
    <xf numFmtId="0" fontId="61" fillId="2" borderId="131" xfId="0" applyFont="1" applyFill="1" applyBorder="1" applyAlignment="1">
      <alignment vertical="center"/>
    </xf>
    <xf numFmtId="0" fontId="60" fillId="2" borderId="132" xfId="0" applyFont="1" applyFill="1" applyBorder="1" applyAlignment="1">
      <alignment vertical="center"/>
    </xf>
    <xf numFmtId="0" fontId="60" fillId="2" borderId="133" xfId="0" applyFont="1" applyFill="1" applyBorder="1" applyAlignment="1">
      <alignment vertical="center"/>
    </xf>
    <xf numFmtId="0" fontId="60" fillId="2" borderId="134" xfId="0" applyFont="1" applyFill="1" applyBorder="1" applyAlignment="1">
      <alignment vertical="center"/>
    </xf>
    <xf numFmtId="0" fontId="60" fillId="2" borderId="134" xfId="0" applyFont="1" applyFill="1" applyBorder="1" applyAlignment="1">
      <alignment horizontal="right" vertical="center"/>
    </xf>
    <xf numFmtId="0" fontId="61" fillId="2" borderId="135" xfId="0" applyFont="1" applyFill="1" applyBorder="1" applyAlignment="1">
      <alignment vertical="center"/>
    </xf>
    <xf numFmtId="0" fontId="60" fillId="2" borderId="136" xfId="0" applyFont="1" applyFill="1" applyBorder="1" applyAlignment="1">
      <alignment vertical="center"/>
    </xf>
    <xf numFmtId="0" fontId="60" fillId="2" borderId="109" xfId="0" applyFont="1" applyFill="1" applyBorder="1" applyAlignment="1">
      <alignment vertical="center"/>
    </xf>
    <xf numFmtId="0" fontId="61" fillId="2" borderId="0" xfId="0" applyFont="1" applyFill="1" applyAlignment="1">
      <alignment vertical="center"/>
    </xf>
    <xf numFmtId="0" fontId="46" fillId="2" borderId="100" xfId="0" applyFont="1" applyFill="1" applyBorder="1"/>
    <xf numFmtId="0" fontId="58" fillId="2" borderId="117" xfId="0" applyFont="1" applyFill="1" applyBorder="1"/>
    <xf numFmtId="0" fontId="46" fillId="2" borderId="117" xfId="0" applyFont="1" applyFill="1" applyBorder="1"/>
    <xf numFmtId="0" fontId="46" fillId="2" borderId="118" xfId="0" applyFont="1" applyFill="1" applyBorder="1"/>
    <xf numFmtId="0" fontId="46" fillId="2" borderId="119" xfId="0" applyFont="1" applyFill="1" applyBorder="1"/>
    <xf numFmtId="0" fontId="58" fillId="2" borderId="0" xfId="0" applyFont="1" applyFill="1"/>
    <xf numFmtId="0" fontId="46" fillId="2" borderId="120" xfId="0" applyFont="1" applyFill="1" applyBorder="1"/>
    <xf numFmtId="3" fontId="46" fillId="2" borderId="0" xfId="0" applyNumberFormat="1" applyFont="1" applyFill="1"/>
    <xf numFmtId="166" fontId="46" fillId="2" borderId="0" xfId="0" applyNumberFormat="1" applyFont="1" applyFill="1"/>
    <xf numFmtId="0" fontId="46" fillId="2" borderId="121" xfId="0" applyFont="1" applyFill="1" applyBorder="1"/>
    <xf numFmtId="0" fontId="46" fillId="2" borderId="122" xfId="0" applyFont="1" applyFill="1" applyBorder="1"/>
    <xf numFmtId="14" fontId="46" fillId="2" borderId="119" xfId="0" applyNumberFormat="1" applyFont="1" applyFill="1" applyBorder="1"/>
    <xf numFmtId="0" fontId="39" fillId="2" borderId="0" xfId="0" applyFont="1" applyFill="1"/>
    <xf numFmtId="0" fontId="62" fillId="2" borderId="0" xfId="0" applyFont="1" applyFill="1"/>
    <xf numFmtId="0" fontId="62" fillId="2" borderId="55" xfId="0" applyFont="1" applyFill="1" applyBorder="1" applyAlignment="1">
      <alignment vertical="center"/>
    </xf>
    <xf numFmtId="0" fontId="39" fillId="2" borderId="56" xfId="0" applyFont="1" applyFill="1" applyBorder="1" applyAlignment="1">
      <alignment vertical="center"/>
    </xf>
    <xf numFmtId="0" fontId="39" fillId="2" borderId="57" xfId="0" applyFont="1" applyFill="1" applyBorder="1" applyAlignment="1">
      <alignment vertical="center"/>
    </xf>
    <xf numFmtId="0" fontId="4" fillId="2" borderId="38" xfId="4" applyFont="1" applyFill="1" applyBorder="1" applyAlignment="1">
      <alignment horizontal="center" vertical="center" wrapText="1"/>
    </xf>
    <xf numFmtId="0" fontId="39" fillId="2" borderId="14" xfId="0" applyFont="1" applyFill="1" applyBorder="1"/>
    <xf numFmtId="0" fontId="39" fillId="2" borderId="0" xfId="0" applyFont="1" applyFill="1" applyAlignment="1">
      <alignment horizontal="left" vertical="center"/>
    </xf>
    <xf numFmtId="0" fontId="4" fillId="2" borderId="2" xfId="4" applyFont="1" applyFill="1" applyBorder="1" applyAlignment="1">
      <alignment horizontal="center" vertical="center" wrapText="1"/>
    </xf>
    <xf numFmtId="0" fontId="4" fillId="2" borderId="11" xfId="4" applyFont="1" applyFill="1" applyBorder="1" applyAlignment="1">
      <alignment horizontal="center" vertical="center" wrapText="1"/>
    </xf>
    <xf numFmtId="0" fontId="39" fillId="2" borderId="14" xfId="0" applyFont="1" applyFill="1" applyBorder="1" applyAlignment="1">
      <alignment vertical="top"/>
    </xf>
    <xf numFmtId="0" fontId="39" fillId="2" borderId="18" xfId="0" applyFont="1" applyFill="1" applyBorder="1" applyAlignment="1">
      <alignment vertical="top"/>
    </xf>
    <xf numFmtId="0" fontId="62" fillId="2" borderId="0" xfId="0" applyFont="1" applyFill="1" applyAlignment="1">
      <alignment vertical="top"/>
    </xf>
    <xf numFmtId="0" fontId="63" fillId="2" borderId="0" xfId="0" applyFont="1" applyFill="1"/>
    <xf numFmtId="0" fontId="64" fillId="2" borderId="0" xfId="0" applyFont="1" applyFill="1"/>
    <xf numFmtId="15" fontId="4" fillId="2" borderId="20" xfId="0" applyNumberFormat="1" applyFont="1" applyFill="1" applyBorder="1" applyAlignment="1">
      <alignment horizontal="center" wrapText="1"/>
    </xf>
    <xf numFmtId="0" fontId="4" fillId="2" borderId="0" xfId="0" applyFont="1" applyFill="1" applyAlignment="1">
      <alignment horizontal="right"/>
    </xf>
    <xf numFmtId="0" fontId="4" fillId="2" borderId="38" xfId="2016" applyFont="1" applyFill="1" applyBorder="1" applyAlignment="1">
      <alignment horizontal="center" vertical="top"/>
    </xf>
    <xf numFmtId="0" fontId="4" fillId="2" borderId="45" xfId="2016" applyFont="1" applyFill="1" applyBorder="1" applyAlignment="1">
      <alignment vertical="top"/>
    </xf>
    <xf numFmtId="0" fontId="3" fillId="2" borderId="46" xfId="2016" applyFont="1" applyFill="1" applyBorder="1" applyAlignment="1">
      <alignment vertical="top"/>
    </xf>
    <xf numFmtId="0" fontId="3" fillId="2" borderId="44" xfId="2016" applyFont="1" applyFill="1" applyBorder="1" applyAlignment="1">
      <alignment vertical="top"/>
    </xf>
    <xf numFmtId="0" fontId="3" fillId="2" borderId="2" xfId="2016" applyFont="1" applyFill="1" applyBorder="1" applyAlignment="1">
      <alignment horizontal="center" vertical="top"/>
    </xf>
    <xf numFmtId="0" fontId="3" fillId="2" borderId="11" xfId="2016" applyFont="1" applyFill="1" applyBorder="1" applyAlignment="1">
      <alignment vertical="top"/>
    </xf>
    <xf numFmtId="0" fontId="4" fillId="2" borderId="46" xfId="2016" applyFont="1" applyFill="1" applyBorder="1" applyAlignment="1">
      <alignment vertical="top"/>
    </xf>
    <xf numFmtId="0" fontId="4" fillId="2" borderId="44" xfId="2016" applyFont="1" applyFill="1" applyBorder="1" applyAlignment="1">
      <alignment vertical="top"/>
    </xf>
    <xf numFmtId="0" fontId="3" fillId="2" borderId="0" xfId="2016" applyFont="1" applyFill="1" applyAlignment="1">
      <alignment horizontal="justify" vertical="top"/>
    </xf>
    <xf numFmtId="0" fontId="3" fillId="2" borderId="11" xfId="2016" applyFont="1" applyFill="1" applyBorder="1" applyAlignment="1">
      <alignment horizontal="justify" vertical="top"/>
    </xf>
    <xf numFmtId="0" fontId="3" fillId="2" borderId="8" xfId="2016" applyFont="1" applyFill="1" applyBorder="1" applyAlignment="1">
      <alignment horizontal="center" vertical="top"/>
    </xf>
    <xf numFmtId="0" fontId="3" fillId="2" borderId="20" xfId="2016" applyFont="1" applyFill="1" applyBorder="1" applyAlignment="1">
      <alignment vertical="top"/>
    </xf>
    <xf numFmtId="0" fontId="3" fillId="2" borderId="12" xfId="2016" applyFont="1" applyFill="1" applyBorder="1" applyAlignment="1">
      <alignment vertical="top"/>
    </xf>
    <xf numFmtId="1" fontId="4" fillId="2" borderId="81" xfId="2016" applyNumberFormat="1" applyFont="1" applyFill="1" applyBorder="1" applyAlignment="1">
      <alignment horizontal="center" vertical="top"/>
    </xf>
    <xf numFmtId="0" fontId="4" fillId="2" borderId="87" xfId="2016" applyFont="1" applyFill="1" applyBorder="1" applyAlignment="1">
      <alignment vertical="top"/>
    </xf>
    <xf numFmtId="0" fontId="3" fillId="2" borderId="89" xfId="2016" applyFont="1" applyFill="1" applyBorder="1" applyAlignment="1">
      <alignment vertical="top"/>
    </xf>
    <xf numFmtId="0" fontId="3" fillId="2" borderId="88" xfId="2016" applyFont="1" applyFill="1" applyBorder="1" applyAlignment="1">
      <alignment vertical="top"/>
    </xf>
    <xf numFmtId="0" fontId="3" fillId="2" borderId="87" xfId="2016" applyFont="1" applyFill="1" applyBorder="1" applyAlignment="1">
      <alignment horizontal="center" vertical="top"/>
    </xf>
    <xf numFmtId="0" fontId="3" fillId="2" borderId="87" xfId="2016" applyFont="1" applyFill="1" applyBorder="1" applyAlignment="1">
      <alignment vertical="top"/>
    </xf>
    <xf numFmtId="0" fontId="4" fillId="2" borderId="14" xfId="2016" applyFont="1" applyFill="1" applyBorder="1" applyAlignment="1">
      <alignment horizontal="center" vertical="top"/>
    </xf>
    <xf numFmtId="0" fontId="4" fillId="2" borderId="14" xfId="2016" applyFont="1" applyFill="1" applyBorder="1" applyAlignment="1">
      <alignment horizontal="justify" vertical="top"/>
    </xf>
    <xf numFmtId="0" fontId="3" fillId="2" borderId="14" xfId="2016" applyFont="1" applyFill="1" applyBorder="1" applyAlignment="1">
      <alignment horizontal="center" vertical="top"/>
    </xf>
    <xf numFmtId="0" fontId="3" fillId="2" borderId="14" xfId="2016" applyFont="1" applyFill="1" applyBorder="1" applyAlignment="1">
      <alignment vertical="top"/>
    </xf>
    <xf numFmtId="0" fontId="3" fillId="2" borderId="18" xfId="2016" applyFont="1" applyFill="1" applyBorder="1" applyAlignment="1">
      <alignment horizontal="center" vertical="top"/>
    </xf>
    <xf numFmtId="0" fontId="3" fillId="2" borderId="18" xfId="2016" applyFont="1" applyFill="1" applyBorder="1" applyAlignment="1">
      <alignment vertical="top"/>
    </xf>
    <xf numFmtId="43" fontId="4" fillId="2" borderId="20" xfId="1631" applyFont="1" applyFill="1" applyBorder="1" applyAlignment="1">
      <alignment vertical="top"/>
    </xf>
    <xf numFmtId="170" fontId="4" fillId="2" borderId="20" xfId="1631" applyNumberFormat="1" applyFont="1" applyFill="1" applyBorder="1" applyAlignment="1">
      <alignment vertical="top"/>
    </xf>
    <xf numFmtId="0" fontId="3" fillId="2" borderId="0" xfId="2016" applyFont="1" applyFill="1" applyAlignment="1">
      <alignment horizontal="center" vertical="top"/>
    </xf>
    <xf numFmtId="1" fontId="4" fillId="2" borderId="43" xfId="2016" applyNumberFormat="1" applyFont="1" applyFill="1" applyBorder="1" applyAlignment="1">
      <alignment horizontal="center" vertical="top"/>
    </xf>
    <xf numFmtId="0" fontId="35" fillId="2" borderId="47" xfId="2016" applyFont="1" applyFill="1" applyBorder="1" applyAlignment="1">
      <alignment vertical="top" wrapText="1"/>
    </xf>
    <xf numFmtId="0" fontId="3" fillId="2" borderId="48" xfId="2016" applyFont="1" applyFill="1" applyBorder="1" applyAlignment="1">
      <alignment vertical="top"/>
    </xf>
    <xf numFmtId="0" fontId="3" fillId="2" borderId="49" xfId="2016" applyFont="1" applyFill="1" applyBorder="1" applyAlignment="1">
      <alignment vertical="top"/>
    </xf>
    <xf numFmtId="0" fontId="4" fillId="2" borderId="2" xfId="2016" applyFont="1" applyFill="1" applyBorder="1" applyAlignment="1">
      <alignment horizontal="center" vertical="top"/>
    </xf>
    <xf numFmtId="0" fontId="4" fillId="2" borderId="8" xfId="2016" applyFont="1" applyFill="1" applyBorder="1" applyAlignment="1">
      <alignment horizontal="center" vertical="top"/>
    </xf>
    <xf numFmtId="0" fontId="3" fillId="2" borderId="12" xfId="2016" applyFont="1" applyFill="1" applyBorder="1" applyAlignment="1">
      <alignment vertical="top" wrapText="1"/>
    </xf>
    <xf numFmtId="170" fontId="3" fillId="2" borderId="0" xfId="2016" applyNumberFormat="1" applyFont="1" applyFill="1" applyAlignment="1">
      <alignment vertical="top"/>
    </xf>
    <xf numFmtId="0" fontId="4" fillId="2" borderId="45" xfId="2016" applyFont="1" applyFill="1" applyBorder="1" applyAlignment="1">
      <alignment vertical="top" wrapText="1"/>
    </xf>
    <xf numFmtId="0" fontId="4" fillId="2" borderId="46" xfId="2016" applyFont="1" applyFill="1" applyBorder="1" applyAlignment="1">
      <alignment vertical="top" wrapText="1"/>
    </xf>
    <xf numFmtId="0" fontId="4" fillId="2" borderId="44" xfId="2016" applyFont="1" applyFill="1" applyBorder="1" applyAlignment="1">
      <alignment vertical="top" wrapText="1"/>
    </xf>
    <xf numFmtId="0" fontId="4" fillId="2" borderId="0" xfId="2016" applyFont="1" applyFill="1" applyAlignment="1">
      <alignment vertical="top"/>
    </xf>
    <xf numFmtId="0" fontId="4" fillId="2" borderId="63" xfId="2016" applyFont="1" applyFill="1" applyBorder="1" applyAlignment="1">
      <alignment vertical="top"/>
    </xf>
    <xf numFmtId="0" fontId="3" fillId="2" borderId="64" xfId="2016" applyFont="1" applyFill="1" applyBorder="1" applyAlignment="1">
      <alignment vertical="top"/>
    </xf>
    <xf numFmtId="0" fontId="3" fillId="2" borderId="65" xfId="2016" applyFont="1" applyFill="1" applyBorder="1" applyAlignment="1">
      <alignment vertical="top"/>
    </xf>
    <xf numFmtId="0" fontId="4" fillId="2" borderId="64" xfId="2016" applyFont="1" applyFill="1" applyBorder="1" applyAlignment="1">
      <alignment vertical="top"/>
    </xf>
    <xf numFmtId="0" fontId="4" fillId="2" borderId="65" xfId="2016" applyFont="1" applyFill="1" applyBorder="1" applyAlignment="1">
      <alignment vertical="top"/>
    </xf>
    <xf numFmtId="0" fontId="3" fillId="2" borderId="4" xfId="2016" applyFont="1" applyFill="1" applyBorder="1" applyAlignment="1">
      <alignment horizontal="center" vertical="top"/>
    </xf>
    <xf numFmtId="0" fontId="3" fillId="2" borderId="4" xfId="2016" applyFont="1" applyFill="1" applyBorder="1" applyAlignment="1">
      <alignment horizontal="left" vertical="top" wrapText="1"/>
    </xf>
    <xf numFmtId="0" fontId="46" fillId="2" borderId="0" xfId="2016" applyFont="1" applyFill="1" applyAlignment="1">
      <alignment vertical="top"/>
    </xf>
    <xf numFmtId="0" fontId="3" fillId="2" borderId="14" xfId="2016" applyFont="1" applyFill="1" applyBorder="1" applyAlignment="1">
      <alignment horizontal="justify" vertical="top"/>
    </xf>
    <xf numFmtId="1" fontId="4" fillId="2" borderId="38" xfId="2016" applyNumberFormat="1" applyFont="1" applyFill="1" applyBorder="1" applyAlignment="1">
      <alignment horizontal="center" vertical="top"/>
    </xf>
    <xf numFmtId="0" fontId="3" fillId="2" borderId="66" xfId="2016" applyFont="1" applyFill="1" applyBorder="1" applyAlignment="1">
      <alignment horizontal="center" vertical="top"/>
    </xf>
    <xf numFmtId="0" fontId="3" fillId="2" borderId="60" xfId="2016" applyFont="1" applyFill="1" applyBorder="1" applyAlignment="1">
      <alignment vertical="top"/>
    </xf>
    <xf numFmtId="0" fontId="3" fillId="2" borderId="61" xfId="2016" applyFont="1" applyFill="1" applyBorder="1" applyAlignment="1">
      <alignment vertical="top"/>
    </xf>
    <xf numFmtId="0" fontId="3" fillId="2" borderId="62" xfId="2016" applyFont="1" applyFill="1" applyBorder="1" applyAlignment="1">
      <alignment vertical="top"/>
    </xf>
    <xf numFmtId="0" fontId="4" fillId="2" borderId="18" xfId="2016" applyFont="1" applyFill="1" applyBorder="1" applyAlignment="1">
      <alignment horizontal="justify" vertical="top"/>
    </xf>
    <xf numFmtId="0" fontId="4" fillId="2" borderId="0" xfId="2016" applyFont="1" applyFill="1" applyAlignment="1">
      <alignment horizontal="center" vertical="top"/>
    </xf>
    <xf numFmtId="1" fontId="4" fillId="2" borderId="0" xfId="2016" applyNumberFormat="1" applyFont="1" applyFill="1" applyAlignment="1">
      <alignment horizontal="right" vertical="top"/>
    </xf>
    <xf numFmtId="0" fontId="35" fillId="2" borderId="0" xfId="2016" applyFont="1" applyFill="1" applyAlignment="1">
      <alignment horizontal="justify" vertical="top"/>
    </xf>
    <xf numFmtId="0" fontId="3" fillId="2" borderId="0" xfId="2016" applyFont="1" applyFill="1" applyAlignment="1">
      <alignment horizontal="right" vertical="top"/>
    </xf>
    <xf numFmtId="0" fontId="38" fillId="2" borderId="0" xfId="2016" applyFont="1" applyFill="1" applyAlignment="1">
      <alignment horizontal="center" vertical="center"/>
    </xf>
    <xf numFmtId="0" fontId="4" fillId="2" borderId="2" xfId="2016" applyFont="1" applyFill="1" applyBorder="1" applyAlignment="1">
      <alignment horizontal="center" vertical="center" wrapText="1"/>
    </xf>
    <xf numFmtId="0" fontId="3" fillId="2" borderId="2" xfId="2016" applyFont="1" applyFill="1" applyBorder="1" applyAlignment="1">
      <alignment vertical="top"/>
    </xf>
    <xf numFmtId="43" fontId="3" fillId="2" borderId="14" xfId="1631" applyFont="1" applyFill="1" applyBorder="1" applyAlignment="1">
      <alignment vertical="top"/>
    </xf>
    <xf numFmtId="43" fontId="3" fillId="2" borderId="0" xfId="1631" applyFont="1" applyFill="1" applyBorder="1" applyAlignment="1">
      <alignment vertical="top"/>
    </xf>
    <xf numFmtId="170" fontId="3" fillId="2" borderId="14" xfId="1631" applyNumberFormat="1" applyFont="1" applyFill="1" applyBorder="1" applyAlignment="1">
      <alignment vertical="top"/>
    </xf>
    <xf numFmtId="170" fontId="3" fillId="2" borderId="0" xfId="1631" applyNumberFormat="1" applyFont="1" applyFill="1" applyBorder="1" applyAlignment="1">
      <alignment vertical="top"/>
    </xf>
    <xf numFmtId="0" fontId="3" fillId="2" borderId="8" xfId="2016" applyFont="1" applyFill="1" applyBorder="1" applyAlignment="1">
      <alignment vertical="top"/>
    </xf>
    <xf numFmtId="0" fontId="4" fillId="2" borderId="0" xfId="2016" applyFont="1" applyFill="1" applyAlignment="1">
      <alignment horizontal="justify" vertical="top"/>
    </xf>
    <xf numFmtId="43" fontId="3" fillId="2" borderId="0" xfId="2016" applyNumberFormat="1" applyFont="1" applyFill="1" applyAlignment="1">
      <alignment horizontal="justify" vertical="top"/>
    </xf>
    <xf numFmtId="43" fontId="4" fillId="2" borderId="0" xfId="2016" applyNumberFormat="1" applyFont="1" applyFill="1" applyAlignment="1">
      <alignment horizontal="justify" vertical="top"/>
    </xf>
    <xf numFmtId="0" fontId="4" fillId="2" borderId="0" xfId="2013" applyFont="1" applyFill="1" applyAlignment="1">
      <alignment vertical="top"/>
    </xf>
    <xf numFmtId="0" fontId="4" fillId="2" borderId="0" xfId="2016" applyFont="1" applyFill="1" applyAlignment="1">
      <alignment horizontal="left" vertical="top"/>
    </xf>
    <xf numFmtId="43" fontId="3" fillId="2" borderId="0" xfId="2016" applyNumberFormat="1" applyFont="1" applyFill="1" applyAlignment="1">
      <alignment vertical="top"/>
    </xf>
    <xf numFmtId="43" fontId="4" fillId="2" borderId="0" xfId="2016" applyNumberFormat="1" applyFont="1" applyFill="1" applyAlignment="1">
      <alignment vertical="top"/>
    </xf>
    <xf numFmtId="0" fontId="4" fillId="2" borderId="38" xfId="2013" applyFont="1" applyFill="1" applyBorder="1" applyAlignment="1">
      <alignment horizontal="center" vertical="top"/>
    </xf>
    <xf numFmtId="0" fontId="35" fillId="2" borderId="43" xfId="2016" applyFont="1" applyFill="1" applyBorder="1" applyAlignment="1">
      <alignment vertical="top"/>
    </xf>
    <xf numFmtId="0" fontId="3" fillId="2" borderId="43" xfId="2016" applyFont="1" applyFill="1" applyBorder="1" applyAlignment="1">
      <alignment vertical="top"/>
    </xf>
    <xf numFmtId="43" fontId="3" fillId="2" borderId="43" xfId="2016" applyNumberFormat="1" applyFont="1" applyFill="1" applyBorder="1" applyAlignment="1">
      <alignment vertical="top"/>
    </xf>
    <xf numFmtId="43" fontId="3" fillId="2" borderId="43" xfId="1631" applyFont="1" applyFill="1" applyBorder="1" applyAlignment="1">
      <alignment vertical="top"/>
    </xf>
    <xf numFmtId="43" fontId="4" fillId="2" borderId="43" xfId="2016" applyNumberFormat="1" applyFont="1" applyFill="1" applyBorder="1" applyAlignment="1">
      <alignment vertical="top"/>
    </xf>
    <xf numFmtId="43" fontId="3" fillId="2" borderId="2" xfId="2016" applyNumberFormat="1" applyFont="1" applyFill="1" applyBorder="1" applyAlignment="1">
      <alignment vertical="top"/>
    </xf>
    <xf numFmtId="170" fontId="3" fillId="2" borderId="2" xfId="2014" applyNumberFormat="1" applyFont="1" applyFill="1" applyBorder="1" applyAlignment="1">
      <alignment vertical="top"/>
    </xf>
    <xf numFmtId="43" fontId="4" fillId="2" borderId="2" xfId="2016" applyNumberFormat="1" applyFont="1" applyFill="1" applyBorder="1" applyAlignment="1">
      <alignment vertical="top"/>
    </xf>
    <xf numFmtId="43" fontId="3" fillId="2" borderId="8" xfId="2016" applyNumberFormat="1" applyFont="1" applyFill="1" applyBorder="1" applyAlignment="1">
      <alignment vertical="top"/>
    </xf>
    <xf numFmtId="170" fontId="3" fillId="2" borderId="8" xfId="2014" applyNumberFormat="1" applyFont="1" applyFill="1" applyBorder="1" applyAlignment="1">
      <alignment vertical="top"/>
    </xf>
    <xf numFmtId="170" fontId="4" fillId="2" borderId="8" xfId="2014" applyNumberFormat="1" applyFont="1" applyFill="1" applyBorder="1" applyAlignment="1">
      <alignment vertical="top"/>
    </xf>
    <xf numFmtId="43" fontId="4" fillId="2" borderId="8" xfId="2016" applyNumberFormat="1" applyFont="1" applyFill="1" applyBorder="1" applyAlignment="1">
      <alignment vertical="top"/>
    </xf>
    <xf numFmtId="0" fontId="4" fillId="2" borderId="0" xfId="2013" applyFont="1" applyFill="1" applyAlignment="1">
      <alignment horizontal="left" vertical="top"/>
    </xf>
    <xf numFmtId="0" fontId="35" fillId="2" borderId="14" xfId="2013" applyFont="1" applyFill="1" applyBorder="1" applyAlignment="1">
      <alignment vertical="top"/>
    </xf>
    <xf numFmtId="0" fontId="3" fillId="2" borderId="43" xfId="2013" applyFont="1" applyFill="1" applyBorder="1" applyAlignment="1">
      <alignment vertical="top"/>
    </xf>
    <xf numFmtId="43" fontId="3" fillId="2" borderId="43" xfId="2013" applyNumberFormat="1" applyFont="1" applyFill="1" applyBorder="1" applyAlignment="1">
      <alignment vertical="top"/>
    </xf>
    <xf numFmtId="43" fontId="3" fillId="2" borderId="43" xfId="2014" applyFont="1" applyFill="1" applyBorder="1" applyAlignment="1">
      <alignment vertical="top"/>
    </xf>
    <xf numFmtId="43" fontId="4" fillId="2" borderId="43" xfId="2013" applyNumberFormat="1" applyFont="1" applyFill="1" applyBorder="1" applyAlignment="1">
      <alignment vertical="top"/>
    </xf>
    <xf numFmtId="43" fontId="3" fillId="2" borderId="68" xfId="2013" applyNumberFormat="1" applyFont="1" applyFill="1" applyBorder="1" applyAlignment="1">
      <alignment vertical="top"/>
    </xf>
    <xf numFmtId="0" fontId="3" fillId="2" borderId="14" xfId="2013" applyFont="1" applyFill="1" applyBorder="1" applyAlignment="1">
      <alignment horizontal="left" vertical="top" indent="2"/>
    </xf>
    <xf numFmtId="43" fontId="3" fillId="2" borderId="2" xfId="2013" applyNumberFormat="1" applyFont="1" applyFill="1" applyBorder="1" applyAlignment="1">
      <alignment vertical="top"/>
    </xf>
    <xf numFmtId="170" fontId="3" fillId="2" borderId="2" xfId="2013" applyNumberFormat="1" applyFont="1" applyFill="1" applyBorder="1" applyAlignment="1">
      <alignment vertical="top"/>
    </xf>
    <xf numFmtId="170" fontId="36" fillId="2" borderId="2" xfId="2013" applyNumberFormat="1" applyFont="1" applyFill="1" applyBorder="1"/>
    <xf numFmtId="0" fontId="36" fillId="2" borderId="11" xfId="2013" applyFont="1" applyFill="1" applyBorder="1"/>
    <xf numFmtId="0" fontId="3" fillId="2" borderId="8" xfId="2013" applyFont="1" applyFill="1" applyBorder="1" applyAlignment="1">
      <alignment vertical="top"/>
    </xf>
    <xf numFmtId="43" fontId="3" fillId="2" borderId="8" xfId="2013" applyNumberFormat="1" applyFont="1" applyFill="1" applyBorder="1" applyAlignment="1">
      <alignment vertical="top"/>
    </xf>
    <xf numFmtId="43" fontId="3" fillId="2" borderId="8" xfId="2014" applyFont="1" applyFill="1" applyBorder="1" applyAlignment="1">
      <alignment vertical="top"/>
    </xf>
    <xf numFmtId="43" fontId="4" fillId="2" borderId="8" xfId="2013" applyNumberFormat="1" applyFont="1" applyFill="1" applyBorder="1" applyAlignment="1">
      <alignment vertical="top"/>
    </xf>
    <xf numFmtId="0" fontId="36" fillId="2" borderId="0" xfId="2013" applyFont="1" applyFill="1" applyAlignment="1">
      <alignment wrapText="1"/>
    </xf>
    <xf numFmtId="0" fontId="46" fillId="2" borderId="0" xfId="0" applyFont="1" applyFill="1" applyAlignment="1">
      <alignment wrapText="1"/>
    </xf>
    <xf numFmtId="0" fontId="4" fillId="2" borderId="4" xfId="2016" applyFont="1" applyFill="1" applyBorder="1" applyAlignment="1">
      <alignment horizontal="center" vertical="center" wrapText="1"/>
    </xf>
    <xf numFmtId="43" fontId="3" fillId="2" borderId="4" xfId="1" applyFont="1" applyFill="1" applyBorder="1" applyAlignment="1">
      <alignment horizontal="center" vertical="top"/>
    </xf>
    <xf numFmtId="9" fontId="3" fillId="2" borderId="4" xfId="20" applyFont="1" applyFill="1" applyBorder="1" applyAlignment="1">
      <alignment horizontal="center" vertical="top"/>
    </xf>
    <xf numFmtId="0" fontId="46" fillId="2" borderId="0" xfId="0" applyFont="1" applyFill="1" applyAlignment="1">
      <alignment vertical="top"/>
    </xf>
    <xf numFmtId="43" fontId="3" fillId="2" borderId="4" xfId="1631" applyFont="1" applyFill="1" applyBorder="1" applyAlignment="1">
      <alignment vertical="top"/>
    </xf>
    <xf numFmtId="43" fontId="3" fillId="2" borderId="4" xfId="1" applyFont="1" applyFill="1" applyBorder="1" applyAlignment="1">
      <alignment vertical="top"/>
    </xf>
    <xf numFmtId="43" fontId="3" fillId="2" borderId="4" xfId="1631" quotePrefix="1" applyFont="1" applyFill="1" applyBorder="1" applyAlignment="1">
      <alignment vertical="top"/>
    </xf>
    <xf numFmtId="9" fontId="3" fillId="2" borderId="4" xfId="20" applyFont="1" applyFill="1" applyBorder="1" applyAlignment="1">
      <alignment vertical="top"/>
    </xf>
    <xf numFmtId="170" fontId="3" fillId="2" borderId="4" xfId="1631" applyNumberFormat="1" applyFont="1" applyFill="1" applyBorder="1" applyAlignment="1">
      <alignment horizontal="center" vertical="top"/>
    </xf>
    <xf numFmtId="170" fontId="3" fillId="2" borderId="4" xfId="1631" applyNumberFormat="1" applyFont="1" applyFill="1" applyBorder="1" applyAlignment="1">
      <alignment vertical="top"/>
    </xf>
    <xf numFmtId="0" fontId="5" fillId="2" borderId="0" xfId="0" applyFont="1" applyFill="1"/>
    <xf numFmtId="0" fontId="6" fillId="2" borderId="0" xfId="0" applyFont="1" applyFill="1"/>
    <xf numFmtId="0" fontId="3" fillId="2" borderId="0" xfId="2025" applyFont="1" applyFill="1" applyAlignment="1">
      <alignment horizontal="left" indent="2"/>
    </xf>
    <xf numFmtId="0" fontId="4" fillId="2" borderId="13" xfId="6" applyFont="1" applyFill="1" applyBorder="1"/>
    <xf numFmtId="171" fontId="4" fillId="2" borderId="17" xfId="6" applyNumberFormat="1" applyFont="1" applyFill="1" applyBorder="1" applyAlignment="1">
      <alignment horizontal="center"/>
    </xf>
    <xf numFmtId="171" fontId="4" fillId="2" borderId="4" xfId="6" applyNumberFormat="1" applyFont="1" applyFill="1" applyBorder="1" applyAlignment="1">
      <alignment horizontal="center"/>
    </xf>
    <xf numFmtId="171" fontId="4" fillId="2" borderId="10" xfId="6" applyNumberFormat="1" applyFont="1" applyFill="1" applyBorder="1" applyAlignment="1">
      <alignment horizontal="center"/>
    </xf>
    <xf numFmtId="0" fontId="4" fillId="2" borderId="14" xfId="6" applyFont="1" applyFill="1" applyBorder="1" applyAlignment="1">
      <alignment vertical="center"/>
    </xf>
    <xf numFmtId="0" fontId="4" fillId="2" borderId="2" xfId="6" quotePrefix="1" applyFont="1" applyFill="1" applyBorder="1" applyAlignment="1">
      <alignment horizontal="center"/>
    </xf>
    <xf numFmtId="0" fontId="4" fillId="2" borderId="11" xfId="6" quotePrefix="1" applyFont="1" applyFill="1" applyBorder="1" applyAlignment="1">
      <alignment horizontal="center"/>
    </xf>
    <xf numFmtId="171" fontId="4" fillId="2" borderId="11" xfId="6" applyNumberFormat="1" applyFont="1" applyFill="1" applyBorder="1" applyAlignment="1">
      <alignment horizontal="center"/>
    </xf>
    <xf numFmtId="0" fontId="4" fillId="2" borderId="18" xfId="6" applyFont="1" applyFill="1" applyBorder="1"/>
    <xf numFmtId="171" fontId="4" fillId="2" borderId="8" xfId="6" applyNumberFormat="1" applyFont="1" applyFill="1" applyBorder="1"/>
    <xf numFmtId="171" fontId="4" fillId="2" borderId="12" xfId="6" applyNumberFormat="1" applyFont="1" applyFill="1" applyBorder="1"/>
    <xf numFmtId="171" fontId="3" fillId="2" borderId="12" xfId="6" applyNumberFormat="1" applyFont="1" applyFill="1" applyBorder="1"/>
    <xf numFmtId="171" fontId="4" fillId="2" borderId="12" xfId="6" applyNumberFormat="1" applyFont="1" applyFill="1" applyBorder="1" applyAlignment="1">
      <alignment horizontal="fill"/>
    </xf>
    <xf numFmtId="171" fontId="4" fillId="2" borderId="8" xfId="6" applyNumberFormat="1" applyFont="1" applyFill="1" applyBorder="1" applyAlignment="1">
      <alignment horizontal="fill"/>
    </xf>
    <xf numFmtId="170" fontId="4" fillId="2" borderId="13" xfId="1" applyNumberFormat="1" applyFont="1" applyFill="1" applyBorder="1"/>
    <xf numFmtId="170" fontId="4" fillId="2" borderId="14" xfId="1" applyNumberFormat="1" applyFont="1" applyFill="1" applyBorder="1" applyAlignment="1">
      <alignment vertical="center"/>
    </xf>
    <xf numFmtId="170" fontId="4" fillId="2" borderId="18" xfId="1" applyNumberFormat="1" applyFont="1" applyFill="1" applyBorder="1"/>
    <xf numFmtId="49" fontId="61" fillId="2" borderId="0" xfId="0" applyNumberFormat="1" applyFont="1" applyFill="1" applyAlignment="1">
      <alignment vertical="top"/>
    </xf>
    <xf numFmtId="176" fontId="66" fillId="2" borderId="0" xfId="0" applyNumberFormat="1" applyFont="1" applyFill="1" applyAlignment="1">
      <alignment horizontal="right" vertical="top"/>
    </xf>
    <xf numFmtId="0" fontId="5" fillId="2" borderId="0" xfId="0" applyFont="1" applyFill="1" applyAlignment="1">
      <alignment vertical="top"/>
    </xf>
    <xf numFmtId="49" fontId="67" fillId="2" borderId="123" xfId="0" applyNumberFormat="1" applyFont="1" applyFill="1" applyBorder="1" applyAlignment="1">
      <alignment horizontal="left" vertical="top" indent="2"/>
    </xf>
    <xf numFmtId="49" fontId="67" fillId="2" borderId="124" xfId="0" applyNumberFormat="1" applyFont="1" applyFill="1" applyBorder="1" applyAlignment="1">
      <alignment vertical="top" wrapText="1"/>
    </xf>
    <xf numFmtId="49" fontId="67" fillId="2" borderId="123" xfId="0" applyNumberFormat="1" applyFont="1" applyFill="1" applyBorder="1" applyAlignment="1">
      <alignment vertical="top" wrapText="1"/>
    </xf>
    <xf numFmtId="49" fontId="68" fillId="2" borderId="124" xfId="0" applyNumberFormat="1" applyFont="1" applyFill="1" applyBorder="1" applyAlignment="1">
      <alignment vertical="top" wrapText="1"/>
    </xf>
    <xf numFmtId="49" fontId="68" fillId="2" borderId="123" xfId="0" applyNumberFormat="1" applyFont="1" applyFill="1" applyBorder="1" applyAlignment="1">
      <alignment vertical="top" wrapText="1"/>
    </xf>
    <xf numFmtId="49" fontId="67" fillId="2" borderId="14" xfId="0" applyNumberFormat="1" applyFont="1" applyFill="1" applyBorder="1" applyAlignment="1">
      <alignment horizontal="left" vertical="top" indent="2"/>
    </xf>
    <xf numFmtId="49" fontId="69" fillId="2" borderId="14" xfId="0" applyNumberFormat="1" applyFont="1" applyFill="1" applyBorder="1" applyAlignment="1">
      <alignment vertical="top" wrapText="1"/>
    </xf>
    <xf numFmtId="49" fontId="69" fillId="2" borderId="0" xfId="0" applyNumberFormat="1" applyFont="1" applyFill="1" applyAlignment="1">
      <alignment vertical="top" wrapText="1"/>
    </xf>
    <xf numFmtId="49" fontId="66" fillId="2" borderId="14" xfId="0" applyNumberFormat="1" applyFont="1" applyFill="1" applyBorder="1" applyAlignment="1">
      <alignment vertical="top" wrapText="1"/>
    </xf>
    <xf numFmtId="49" fontId="66" fillId="2" borderId="0" xfId="0" applyNumberFormat="1" applyFont="1" applyFill="1" applyAlignment="1">
      <alignment vertical="top" wrapText="1"/>
    </xf>
    <xf numFmtId="49" fontId="67" fillId="2" borderId="14" xfId="0" applyNumberFormat="1" applyFont="1" applyFill="1" applyBorder="1" applyAlignment="1">
      <alignment vertical="top"/>
    </xf>
    <xf numFmtId="49" fontId="67" fillId="2" borderId="124" xfId="0" applyNumberFormat="1" applyFont="1" applyFill="1" applyBorder="1" applyAlignment="1">
      <alignment vertical="top"/>
    </xf>
    <xf numFmtId="49" fontId="67" fillId="2" borderId="123" xfId="0" applyNumberFormat="1" applyFont="1" applyFill="1" applyBorder="1" applyAlignment="1">
      <alignment vertical="top"/>
    </xf>
    <xf numFmtId="49" fontId="67" fillId="2" borderId="18" xfId="0" applyNumberFormat="1" applyFont="1" applyFill="1" applyBorder="1" applyAlignment="1">
      <alignment horizontal="left" vertical="top" indent="2"/>
    </xf>
    <xf numFmtId="49" fontId="69" fillId="2" borderId="4" xfId="0" applyNumberFormat="1" applyFont="1" applyFill="1" applyBorder="1" applyAlignment="1">
      <alignment horizontal="center" vertical="top"/>
    </xf>
    <xf numFmtId="49" fontId="67" fillId="2" borderId="0" xfId="0" applyNumberFormat="1" applyFont="1" applyFill="1" applyAlignment="1">
      <alignment vertical="top"/>
    </xf>
    <xf numFmtId="176" fontId="67" fillId="2" borderId="81" xfId="0" applyNumberFormat="1" applyFont="1" applyFill="1" applyBorder="1" applyAlignment="1">
      <alignment horizontal="right" vertical="top"/>
    </xf>
    <xf numFmtId="176" fontId="67" fillId="2" borderId="125" xfId="0" applyNumberFormat="1" applyFont="1" applyFill="1" applyBorder="1" applyAlignment="1">
      <alignment horizontal="right" vertical="top"/>
    </xf>
    <xf numFmtId="176" fontId="68" fillId="2" borderId="81" xfId="0" applyNumberFormat="1" applyFont="1" applyFill="1" applyBorder="1" applyAlignment="1">
      <alignment horizontal="right" vertical="top"/>
    </xf>
    <xf numFmtId="176" fontId="68" fillId="2" borderId="125" xfId="0" applyNumberFormat="1" applyFont="1" applyFill="1" applyBorder="1" applyAlignment="1">
      <alignment horizontal="right" vertical="top"/>
    </xf>
    <xf numFmtId="49" fontId="69" fillId="2" borderId="0" xfId="0" applyNumberFormat="1" applyFont="1" applyFill="1" applyAlignment="1">
      <alignment horizontal="left" vertical="top" indent="2"/>
    </xf>
    <xf numFmtId="176" fontId="69" fillId="2" borderId="124" xfId="0" applyNumberFormat="1" applyFont="1" applyFill="1" applyBorder="1" applyAlignment="1">
      <alignment horizontal="right" vertical="top"/>
    </xf>
    <xf numFmtId="176" fontId="69" fillId="2" borderId="123" xfId="0" applyNumberFormat="1" applyFont="1" applyFill="1" applyBorder="1" applyAlignment="1">
      <alignment horizontal="right" vertical="top"/>
    </xf>
    <xf numFmtId="176" fontId="66" fillId="2" borderId="124" xfId="0" applyNumberFormat="1" applyFont="1" applyFill="1" applyBorder="1" applyAlignment="1">
      <alignment horizontal="right" vertical="top"/>
    </xf>
    <xf numFmtId="176" fontId="66" fillId="2" borderId="123" xfId="0" applyNumberFormat="1" applyFont="1" applyFill="1" applyBorder="1" applyAlignment="1">
      <alignment horizontal="right" vertical="top"/>
    </xf>
    <xf numFmtId="175" fontId="69" fillId="2" borderId="123" xfId="0" applyNumberFormat="1" applyFont="1" applyFill="1" applyBorder="1" applyAlignment="1">
      <alignment horizontal="right" vertical="top"/>
    </xf>
    <xf numFmtId="176" fontId="69" fillId="2" borderId="14" xfId="0" applyNumberFormat="1" applyFont="1" applyFill="1" applyBorder="1" applyAlignment="1">
      <alignment horizontal="right" vertical="top"/>
    </xf>
    <xf numFmtId="176" fontId="69" fillId="2" borderId="0" xfId="0" applyNumberFormat="1" applyFont="1" applyFill="1" applyAlignment="1">
      <alignment horizontal="right" vertical="top"/>
    </xf>
    <xf numFmtId="175" fontId="66" fillId="2" borderId="14" xfId="0" applyNumberFormat="1" applyFont="1" applyFill="1" applyBorder="1" applyAlignment="1">
      <alignment horizontal="right" vertical="top"/>
    </xf>
    <xf numFmtId="175" fontId="66" fillId="2" borderId="0" xfId="0" applyNumberFormat="1" applyFont="1" applyFill="1" applyAlignment="1">
      <alignment horizontal="right" vertical="top"/>
    </xf>
    <xf numFmtId="49" fontId="66" fillId="2" borderId="0" xfId="0" applyNumberFormat="1" applyFont="1" applyFill="1" applyAlignment="1">
      <alignment horizontal="left" vertical="top" indent="2"/>
    </xf>
    <xf numFmtId="175" fontId="69" fillId="2" borderId="14" xfId="0" applyNumberFormat="1" applyFont="1" applyFill="1" applyBorder="1" applyAlignment="1">
      <alignment horizontal="right" vertical="top"/>
    </xf>
    <xf numFmtId="175" fontId="69" fillId="2" borderId="0" xfId="0" applyNumberFormat="1" applyFont="1" applyFill="1" applyAlignment="1">
      <alignment horizontal="right" vertical="top"/>
    </xf>
    <xf numFmtId="175" fontId="67" fillId="2" borderId="18" xfId="0" applyNumberFormat="1" applyFont="1" applyFill="1" applyBorder="1" applyAlignment="1">
      <alignment horizontal="right" vertical="top"/>
    </xf>
    <xf numFmtId="175" fontId="67" fillId="2" borderId="20" xfId="0" applyNumberFormat="1" applyFont="1" applyFill="1" applyBorder="1" applyAlignment="1">
      <alignment horizontal="right" vertical="top"/>
    </xf>
    <xf numFmtId="175" fontId="68" fillId="2" borderId="18" xfId="0" applyNumberFormat="1" applyFont="1" applyFill="1" applyBorder="1" applyAlignment="1">
      <alignment horizontal="right" vertical="top"/>
    </xf>
    <xf numFmtId="175" fontId="68" fillId="2" borderId="20" xfId="0" applyNumberFormat="1" applyFont="1" applyFill="1" applyBorder="1" applyAlignment="1">
      <alignment horizontal="right" vertical="top"/>
    </xf>
    <xf numFmtId="176" fontId="67" fillId="2" borderId="18" xfId="0" applyNumberFormat="1" applyFont="1" applyFill="1" applyBorder="1" applyAlignment="1">
      <alignment horizontal="right" vertical="top"/>
    </xf>
    <xf numFmtId="175" fontId="66" fillId="2" borderId="124" xfId="0" applyNumberFormat="1" applyFont="1" applyFill="1" applyBorder="1" applyAlignment="1">
      <alignment horizontal="right" vertical="top"/>
    </xf>
    <xf numFmtId="175" fontId="66" fillId="2" borderId="123" xfId="0" applyNumberFormat="1" applyFont="1" applyFill="1" applyBorder="1" applyAlignment="1">
      <alignment horizontal="right" vertical="top"/>
    </xf>
    <xf numFmtId="175" fontId="69" fillId="2" borderId="124" xfId="0" applyNumberFormat="1" applyFont="1" applyFill="1" applyBorder="1" applyAlignment="1">
      <alignment horizontal="right" vertical="top"/>
    </xf>
    <xf numFmtId="176" fontId="67" fillId="2" borderId="20" xfId="0" applyNumberFormat="1" applyFont="1" applyFill="1" applyBorder="1" applyAlignment="1">
      <alignment horizontal="right" vertical="top"/>
    </xf>
    <xf numFmtId="176" fontId="68" fillId="2" borderId="18" xfId="0" applyNumberFormat="1" applyFont="1" applyFill="1" applyBorder="1" applyAlignment="1">
      <alignment horizontal="right" vertical="top"/>
    </xf>
    <xf numFmtId="176" fontId="66" fillId="2" borderId="14" xfId="0" applyNumberFormat="1" applyFont="1" applyFill="1" applyBorder="1" applyAlignment="1">
      <alignment horizontal="right" vertical="top"/>
    </xf>
    <xf numFmtId="176" fontId="68" fillId="2" borderId="20" xfId="0" applyNumberFormat="1" applyFont="1" applyFill="1" applyBorder="1" applyAlignment="1">
      <alignment horizontal="right" vertical="top"/>
    </xf>
    <xf numFmtId="49" fontId="66" fillId="2" borderId="0" xfId="0" applyNumberFormat="1" applyFont="1" applyFill="1" applyAlignment="1">
      <alignment horizontal="left" vertical="top" indent="1"/>
    </xf>
    <xf numFmtId="49" fontId="69" fillId="2" borderId="0" xfId="0" applyNumberFormat="1" applyFont="1" applyFill="1" applyAlignment="1">
      <alignment vertical="top"/>
    </xf>
    <xf numFmtId="49" fontId="67" fillId="2" borderId="125" xfId="0" applyNumberFormat="1" applyFont="1" applyFill="1" applyBorder="1" applyAlignment="1">
      <alignment horizontal="left" vertical="top" indent="2"/>
    </xf>
    <xf numFmtId="49" fontId="69" fillId="2" borderId="38" xfId="0" applyNumberFormat="1" applyFont="1" applyFill="1" applyBorder="1" applyAlignment="1">
      <alignment horizontal="center" vertical="top"/>
    </xf>
    <xf numFmtId="176" fontId="46" fillId="2" borderId="0" xfId="0" applyNumberFormat="1" applyFont="1" applyFill="1"/>
    <xf numFmtId="176" fontId="69" fillId="2" borderId="125" xfId="0" applyNumberFormat="1" applyFont="1" applyFill="1" applyBorder="1" applyAlignment="1">
      <alignment horizontal="right" vertical="top"/>
    </xf>
    <xf numFmtId="49" fontId="66" fillId="2" borderId="0" xfId="0" applyNumberFormat="1" applyFont="1" applyFill="1" applyAlignment="1">
      <alignment horizontal="left" vertical="top" indent="3"/>
    </xf>
    <xf numFmtId="190" fontId="46" fillId="2" borderId="0" xfId="0" applyNumberFormat="1" applyFont="1" applyFill="1"/>
    <xf numFmtId="176" fontId="67" fillId="2" borderId="0" xfId="0" applyNumberFormat="1" applyFont="1" applyFill="1" applyAlignment="1">
      <alignment horizontal="right" vertical="top"/>
    </xf>
    <xf numFmtId="176" fontId="69" fillId="2" borderId="20" xfId="0" applyNumberFormat="1" applyFont="1" applyFill="1" applyBorder="1" applyAlignment="1">
      <alignment horizontal="right" vertical="top"/>
    </xf>
    <xf numFmtId="175" fontId="69" fillId="2" borderId="20" xfId="0" applyNumberFormat="1" applyFont="1" applyFill="1" applyBorder="1" applyAlignment="1">
      <alignment horizontal="right" vertical="top"/>
    </xf>
    <xf numFmtId="49" fontId="69" fillId="2" borderId="0" xfId="0" applyNumberFormat="1" applyFont="1" applyFill="1" applyAlignment="1">
      <alignment horizontal="left" vertical="top" indent="3"/>
    </xf>
    <xf numFmtId="49" fontId="69" fillId="2" borderId="0" xfId="0" applyNumberFormat="1" applyFont="1" applyFill="1" applyAlignment="1">
      <alignment horizontal="left" vertical="top" indent="4"/>
    </xf>
    <xf numFmtId="176" fontId="66" fillId="2" borderId="20" xfId="0" applyNumberFormat="1" applyFont="1" applyFill="1" applyBorder="1" applyAlignment="1">
      <alignment horizontal="right" vertical="top"/>
    </xf>
    <xf numFmtId="175" fontId="66" fillId="2" borderId="20" xfId="0" applyNumberFormat="1" applyFont="1" applyFill="1" applyBorder="1" applyAlignment="1">
      <alignment horizontal="right" vertical="top"/>
    </xf>
    <xf numFmtId="49" fontId="66" fillId="2" borderId="0" xfId="0" applyNumberFormat="1" applyFont="1" applyFill="1" applyAlignment="1">
      <alignment horizontal="left" vertical="top" indent="5"/>
    </xf>
    <xf numFmtId="49" fontId="66" fillId="2" borderId="0" xfId="0" applyNumberFormat="1" applyFont="1" applyFill="1" applyAlignment="1">
      <alignment horizontal="left" vertical="top" indent="4"/>
    </xf>
    <xf numFmtId="175" fontId="67" fillId="2" borderId="0" xfId="0" applyNumberFormat="1" applyFont="1" applyFill="1" applyAlignment="1">
      <alignment horizontal="right" vertical="top"/>
    </xf>
    <xf numFmtId="49" fontId="69" fillId="2" borderId="0" xfId="0" applyNumberFormat="1" applyFont="1" applyFill="1" applyAlignment="1">
      <alignment horizontal="left" vertical="top" indent="1"/>
    </xf>
    <xf numFmtId="49" fontId="46" fillId="2" borderId="0" xfId="0" applyNumberFormat="1" applyFont="1" applyFill="1"/>
    <xf numFmtId="175" fontId="69" fillId="2" borderId="125" xfId="0" applyNumberFormat="1" applyFont="1" applyFill="1" applyBorder="1" applyAlignment="1">
      <alignment horizontal="right" vertical="top"/>
    </xf>
    <xf numFmtId="2" fontId="46" fillId="2" borderId="0" xfId="0" applyNumberFormat="1" applyFont="1" applyFill="1"/>
    <xf numFmtId="49" fontId="67" fillId="2" borderId="0" xfId="0" applyNumberFormat="1" applyFont="1" applyFill="1" applyAlignment="1">
      <alignment horizontal="left" vertical="top" indent="2"/>
    </xf>
    <xf numFmtId="49" fontId="68" fillId="2" borderId="0" xfId="0" applyNumberFormat="1" applyFont="1" applyFill="1" applyAlignment="1">
      <alignment horizontal="left" vertical="top" indent="2"/>
    </xf>
    <xf numFmtId="170" fontId="4" fillId="2" borderId="0" xfId="1" applyNumberFormat="1" applyFont="1" applyFill="1" applyAlignment="1">
      <alignment horizontal="left"/>
    </xf>
    <xf numFmtId="170" fontId="3" fillId="2" borderId="0" xfId="1" applyNumberFormat="1" applyFont="1" applyFill="1" applyAlignment="1">
      <alignment horizontal="left"/>
    </xf>
    <xf numFmtId="167" fontId="4" fillId="2" borderId="0" xfId="0" applyNumberFormat="1" applyFont="1" applyFill="1" applyAlignment="1">
      <alignment horizontal="left"/>
    </xf>
    <xf numFmtId="170" fontId="46" fillId="2" borderId="94" xfId="1" applyNumberFormat="1" applyFont="1" applyFill="1" applyBorder="1"/>
    <xf numFmtId="0" fontId="3" fillId="2" borderId="0" xfId="0" applyFont="1" applyFill="1" applyAlignment="1">
      <alignment wrapText="1"/>
    </xf>
    <xf numFmtId="0" fontId="4" fillId="2" borderId="100" xfId="0" applyFont="1" applyFill="1" applyBorder="1" applyAlignment="1">
      <alignment vertical="top" wrapText="1"/>
    </xf>
    <xf numFmtId="0" fontId="4" fillId="2" borderId="100" xfId="0" applyFont="1" applyFill="1" applyBorder="1" applyAlignment="1">
      <alignment horizontal="center" vertical="top"/>
    </xf>
    <xf numFmtId="0" fontId="4" fillId="2" borderId="0" xfId="0" applyFont="1" applyFill="1" applyAlignment="1">
      <alignment horizontal="center" vertical="top" wrapText="1"/>
    </xf>
    <xf numFmtId="0" fontId="4" fillId="2" borderId="106" xfId="0" applyFont="1" applyFill="1" applyBorder="1" applyAlignment="1">
      <alignment vertical="top" wrapText="1"/>
    </xf>
    <xf numFmtId="0" fontId="4" fillId="2" borderId="98" xfId="0" applyFont="1" applyFill="1" applyBorder="1" applyAlignment="1">
      <alignment vertical="top"/>
    </xf>
    <xf numFmtId="170" fontId="4" fillId="2" borderId="98" xfId="1" applyNumberFormat="1" applyFont="1" applyFill="1" applyBorder="1" applyAlignment="1">
      <alignment vertical="top"/>
    </xf>
    <xf numFmtId="170" fontId="3" fillId="2" borderId="98" xfId="1" applyNumberFormat="1" applyFont="1" applyFill="1" applyBorder="1" applyAlignment="1">
      <alignment horizontal="center" vertical="top" wrapText="1"/>
    </xf>
    <xf numFmtId="170" fontId="4" fillId="2" borderId="99" xfId="1" applyNumberFormat="1" applyFont="1" applyFill="1" applyBorder="1" applyAlignment="1">
      <alignment horizontal="center" vertical="top" wrapText="1"/>
    </xf>
    <xf numFmtId="0" fontId="58" fillId="2" borderId="0" xfId="0" applyFont="1" applyFill="1" applyAlignment="1">
      <alignment wrapText="1"/>
    </xf>
    <xf numFmtId="0" fontId="46" fillId="2" borderId="94" xfId="0" applyFont="1" applyFill="1" applyBorder="1"/>
    <xf numFmtId="170" fontId="46" fillId="2" borderId="2" xfId="1" applyNumberFormat="1" applyFont="1" applyFill="1" applyBorder="1"/>
    <xf numFmtId="170" fontId="46" fillId="2" borderId="95" xfId="1" applyNumberFormat="1" applyFont="1" applyFill="1" applyBorder="1"/>
    <xf numFmtId="43" fontId="46" fillId="2" borderId="0" xfId="1" applyFont="1" applyFill="1" applyBorder="1"/>
    <xf numFmtId="0" fontId="46" fillId="2" borderId="101" xfId="0" applyFont="1" applyFill="1" applyBorder="1" applyAlignment="1">
      <alignment wrapText="1"/>
    </xf>
    <xf numFmtId="0" fontId="55" fillId="2" borderId="126" xfId="0" applyFont="1" applyFill="1" applyBorder="1"/>
    <xf numFmtId="170" fontId="46" fillId="2" borderId="126" xfId="1" applyNumberFormat="1" applyFont="1" applyFill="1" applyBorder="1"/>
    <xf numFmtId="170" fontId="46" fillId="2" borderId="127" xfId="1" applyNumberFormat="1" applyFont="1" applyFill="1" applyBorder="1"/>
    <xf numFmtId="170" fontId="55" fillId="2" borderId="128" xfId="1" applyNumberFormat="1" applyFont="1" applyFill="1" applyBorder="1"/>
    <xf numFmtId="170" fontId="46" fillId="2" borderId="128" xfId="1" applyNumberFormat="1" applyFont="1" applyFill="1" applyBorder="1"/>
    <xf numFmtId="0" fontId="55" fillId="2" borderId="0" xfId="0" applyFont="1" applyFill="1" applyAlignment="1">
      <alignment wrapText="1"/>
    </xf>
    <xf numFmtId="0" fontId="55" fillId="2" borderId="94" xfId="0" applyFont="1" applyFill="1" applyBorder="1"/>
    <xf numFmtId="0" fontId="70" fillId="2" borderId="0" xfId="2634" applyFont="1" applyFill="1" applyAlignment="1">
      <alignment wrapText="1"/>
    </xf>
    <xf numFmtId="170" fontId="55" fillId="2" borderId="95" xfId="1" applyNumberFormat="1" applyFont="1" applyFill="1" applyBorder="1"/>
    <xf numFmtId="0" fontId="4" fillId="2" borderId="2" xfId="2" applyFont="1" applyFill="1" applyBorder="1" applyAlignment="1">
      <alignment wrapText="1"/>
    </xf>
    <xf numFmtId="43" fontId="46" fillId="2" borderId="0" xfId="1" applyFont="1" applyFill="1" applyAlignment="1">
      <alignment wrapText="1"/>
    </xf>
    <xf numFmtId="0" fontId="4" fillId="2" borderId="97" xfId="0" applyFont="1" applyFill="1" applyBorder="1" applyAlignment="1">
      <alignment vertical="top" wrapText="1"/>
    </xf>
    <xf numFmtId="0" fontId="4" fillId="2" borderId="96" xfId="0" applyFont="1" applyFill="1" applyBorder="1" applyAlignment="1">
      <alignment vertical="top" wrapText="1"/>
    </xf>
    <xf numFmtId="43" fontId="46" fillId="2" borderId="0" xfId="0" applyNumberFormat="1" applyFont="1" applyFill="1"/>
    <xf numFmtId="43" fontId="36" fillId="2" borderId="101" xfId="2" applyNumberFormat="1" applyFont="1" applyFill="1" applyBorder="1"/>
    <xf numFmtId="0" fontId="55" fillId="2" borderId="101" xfId="0" applyFont="1" applyFill="1" applyBorder="1" applyAlignment="1">
      <alignment wrapText="1"/>
    </xf>
    <xf numFmtId="0" fontId="51" fillId="2" borderId="0" xfId="0" applyFont="1" applyFill="1"/>
    <xf numFmtId="0" fontId="71" fillId="2" borderId="0" xfId="0" applyFont="1" applyFill="1"/>
    <xf numFmtId="0" fontId="72" fillId="2" borderId="0" xfId="0" applyFont="1" applyFill="1"/>
    <xf numFmtId="0" fontId="51" fillId="2" borderId="4" xfId="0" applyFont="1" applyFill="1" applyBorder="1" applyAlignment="1">
      <alignment horizontal="center"/>
    </xf>
    <xf numFmtId="0" fontId="71" fillId="2" borderId="4" xfId="0" applyFont="1" applyFill="1" applyBorder="1"/>
    <xf numFmtId="170" fontId="71" fillId="2" borderId="4" xfId="1" applyNumberFormat="1" applyFont="1" applyFill="1" applyBorder="1"/>
    <xf numFmtId="0" fontId="51" fillId="2" borderId="4" xfId="0" applyFont="1" applyFill="1" applyBorder="1"/>
    <xf numFmtId="170" fontId="51" fillId="2" borderId="4" xfId="1" applyNumberFormat="1" applyFont="1" applyFill="1" applyBorder="1"/>
    <xf numFmtId="170" fontId="71" fillId="2" borderId="0" xfId="0" applyNumberFormat="1" applyFont="1" applyFill="1"/>
    <xf numFmtId="0" fontId="4" fillId="2" borderId="8" xfId="0" applyFont="1" applyFill="1" applyBorder="1"/>
    <xf numFmtId="43" fontId="3" fillId="2" borderId="0" xfId="1" applyFont="1" applyFill="1"/>
    <xf numFmtId="170" fontId="4" fillId="2" borderId="0" xfId="1" applyNumberFormat="1" applyFont="1" applyFill="1" applyBorder="1" applyAlignment="1">
      <alignment horizontal="right"/>
    </xf>
    <xf numFmtId="3" fontId="4" fillId="2" borderId="0" xfId="0" applyNumberFormat="1" applyFont="1" applyFill="1"/>
    <xf numFmtId="3" fontId="4" fillId="2" borderId="0" xfId="0" applyNumberFormat="1" applyFont="1" applyFill="1" applyAlignment="1">
      <alignment horizontal="center"/>
    </xf>
    <xf numFmtId="0" fontId="3" fillId="2" borderId="0" xfId="0" applyFont="1" applyFill="1" applyAlignment="1">
      <alignment vertical="center" wrapText="1"/>
    </xf>
    <xf numFmtId="0" fontId="3" fillId="2" borderId="0" xfId="0" applyFont="1" applyFill="1" applyAlignment="1">
      <alignment horizontal="left" vertical="center"/>
    </xf>
    <xf numFmtId="0" fontId="4" fillId="2" borderId="0" xfId="2" quotePrefix="1" applyFont="1" applyFill="1"/>
    <xf numFmtId="0" fontId="38" fillId="2" borderId="0" xfId="2" applyFont="1" applyFill="1" applyAlignment="1">
      <alignment horizontal="center" vertical="center"/>
    </xf>
    <xf numFmtId="0" fontId="4" fillId="2" borderId="4" xfId="2" applyFont="1" applyFill="1" applyBorder="1" applyAlignment="1">
      <alignment vertical="center"/>
    </xf>
    <xf numFmtId="0" fontId="4" fillId="2" borderId="4" xfId="2" applyFont="1" applyFill="1" applyBorder="1" applyAlignment="1">
      <alignment horizontal="center" vertical="center" wrapText="1"/>
    </xf>
    <xf numFmtId="0" fontId="73" fillId="2" borderId="0" xfId="2" applyFont="1" applyFill="1"/>
    <xf numFmtId="0" fontId="4" fillId="2" borderId="10" xfId="2" applyFont="1" applyFill="1" applyBorder="1"/>
    <xf numFmtId="170" fontId="3" fillId="2" borderId="4" xfId="3" applyNumberFormat="1" applyFont="1" applyFill="1" applyBorder="1"/>
    <xf numFmtId="3" fontId="36" fillId="2" borderId="0" xfId="2" applyNumberFormat="1" applyFont="1" applyFill="1"/>
    <xf numFmtId="43" fontId="36" fillId="2" borderId="0" xfId="1" applyFont="1" applyFill="1"/>
    <xf numFmtId="0" fontId="4" fillId="2" borderId="8" xfId="2" applyFont="1" applyFill="1" applyBorder="1"/>
    <xf numFmtId="170" fontId="3" fillId="2" borderId="5" xfId="3" applyNumberFormat="1" applyFont="1" applyFill="1" applyBorder="1"/>
    <xf numFmtId="170" fontId="3" fillId="2" borderId="0" xfId="3" applyNumberFormat="1" applyFont="1" applyFill="1" applyBorder="1"/>
    <xf numFmtId="0" fontId="36" fillId="2" borderId="0" xfId="2" applyFont="1" applyFill="1" applyAlignment="1">
      <alignment vertical="top" wrapText="1"/>
    </xf>
    <xf numFmtId="0" fontId="35" fillId="2" borderId="0" xfId="2" applyFont="1" applyFill="1"/>
    <xf numFmtId="170" fontId="3" fillId="2" borderId="50" xfId="3" applyNumberFormat="1" applyFont="1" applyFill="1" applyBorder="1"/>
    <xf numFmtId="0" fontId="4" fillId="2" borderId="38" xfId="2" applyFont="1" applyFill="1" applyBorder="1" applyAlignment="1">
      <alignment wrapText="1"/>
    </xf>
    <xf numFmtId="0" fontId="3" fillId="2" borderId="10" xfId="2" applyFont="1" applyFill="1" applyBorder="1"/>
    <xf numFmtId="170" fontId="3" fillId="2" borderId="12" xfId="3" applyNumberFormat="1" applyFont="1" applyFill="1" applyBorder="1"/>
    <xf numFmtId="0" fontId="3" fillId="2" borderId="86" xfId="2" applyFont="1" applyFill="1" applyBorder="1"/>
    <xf numFmtId="0" fontId="3" fillId="2" borderId="2" xfId="2" applyFont="1" applyFill="1" applyBorder="1" applyAlignment="1">
      <alignment horizontal="right"/>
    </xf>
    <xf numFmtId="0" fontId="36" fillId="2" borderId="2" xfId="2" applyFont="1" applyFill="1" applyBorder="1" applyAlignment="1">
      <alignment horizontal="right"/>
    </xf>
    <xf numFmtId="0" fontId="4" fillId="2" borderId="2" xfId="2" applyFont="1" applyFill="1" applyBorder="1" applyAlignment="1">
      <alignment horizontal="right"/>
    </xf>
    <xf numFmtId="170" fontId="4" fillId="2" borderId="4" xfId="3" applyNumberFormat="1" applyFont="1" applyFill="1" applyBorder="1"/>
    <xf numFmtId="0" fontId="4" fillId="2" borderId="8" xfId="2" applyFont="1" applyFill="1" applyBorder="1" applyAlignment="1">
      <alignment horizontal="right"/>
    </xf>
    <xf numFmtId="0" fontId="4" fillId="2" borderId="4" xfId="2" applyFont="1" applyFill="1" applyBorder="1" applyAlignment="1">
      <alignment horizontal="right"/>
    </xf>
    <xf numFmtId="0" fontId="3" fillId="2" borderId="2" xfId="2" applyFont="1" applyFill="1" applyBorder="1" applyAlignment="1">
      <alignment wrapText="1"/>
    </xf>
    <xf numFmtId="0" fontId="4" fillId="2" borderId="4" xfId="0" applyFont="1" applyFill="1" applyBorder="1" applyAlignment="1">
      <alignment horizontal="center" vertical="center" wrapText="1"/>
    </xf>
    <xf numFmtId="170" fontId="4" fillId="2" borderId="10" xfId="3" applyNumberFormat="1" applyFont="1" applyFill="1" applyBorder="1"/>
    <xf numFmtId="0" fontId="4" fillId="2" borderId="15" xfId="0" applyFont="1" applyFill="1" applyBorder="1"/>
    <xf numFmtId="0" fontId="35" fillId="2" borderId="14" xfId="0" applyFont="1" applyFill="1" applyBorder="1"/>
    <xf numFmtId="0" fontId="4" fillId="2" borderId="78" xfId="2" applyFont="1" applyFill="1" applyBorder="1" applyAlignment="1">
      <alignment vertical="center"/>
    </xf>
    <xf numFmtId="0" fontId="4" fillId="2" borderId="6" xfId="2" applyFont="1" applyFill="1" applyBorder="1" applyAlignment="1">
      <alignment horizontal="center" vertical="center" wrapText="1"/>
    </xf>
    <xf numFmtId="0" fontId="4" fillId="2" borderId="78" xfId="2" applyFont="1" applyFill="1" applyBorder="1"/>
    <xf numFmtId="170" fontId="3" fillId="2" borderId="79" xfId="3" applyNumberFormat="1" applyFont="1" applyFill="1" applyBorder="1"/>
    <xf numFmtId="10" fontId="3" fillId="2" borderId="12" xfId="20" applyNumberFormat="1" applyFont="1" applyFill="1" applyBorder="1"/>
    <xf numFmtId="0" fontId="3" fillId="2" borderId="8" xfId="2" applyFont="1" applyFill="1" applyBorder="1" applyAlignment="1">
      <alignment horizontal="right"/>
    </xf>
    <xf numFmtId="0" fontId="4" fillId="2" borderId="86" xfId="2" applyFont="1" applyFill="1" applyBorder="1"/>
    <xf numFmtId="0" fontId="4" fillId="2" borderId="2" xfId="2" applyFont="1" applyFill="1" applyBorder="1" applyAlignment="1">
      <alignment horizontal="left" vertical="top"/>
    </xf>
    <xf numFmtId="0" fontId="3" fillId="2" borderId="0" xfId="2" applyFont="1" applyFill="1" applyAlignment="1">
      <alignment horizontal="right"/>
    </xf>
    <xf numFmtId="0" fontId="3" fillId="2" borderId="0" xfId="2" applyFont="1" applyFill="1" applyAlignment="1">
      <alignment horizontal="left" vertical="top"/>
    </xf>
    <xf numFmtId="10" fontId="3" fillId="2" borderId="0" xfId="20" applyNumberFormat="1" applyFont="1" applyFill="1" applyBorder="1"/>
    <xf numFmtId="0" fontId="3" fillId="2" borderId="13" xfId="0" applyFont="1" applyFill="1" applyBorder="1"/>
    <xf numFmtId="14" fontId="3" fillId="2" borderId="2" xfId="0" applyNumberFormat="1" applyFont="1" applyFill="1" applyBorder="1"/>
    <xf numFmtId="0" fontId="3" fillId="2" borderId="14" xfId="0" applyFont="1" applyFill="1" applyBorder="1" applyAlignment="1">
      <alignment horizontal="left" vertical="top"/>
    </xf>
    <xf numFmtId="14" fontId="3" fillId="2" borderId="2" xfId="0" applyNumberFormat="1" applyFont="1" applyFill="1" applyBorder="1" applyAlignment="1">
      <alignment horizontal="right" vertical="center" wrapText="1"/>
    </xf>
    <xf numFmtId="0" fontId="3" fillId="2" borderId="73" xfId="0" applyFont="1" applyFill="1" applyBorder="1"/>
    <xf numFmtId="10" fontId="3" fillId="2" borderId="83" xfId="20" applyNumberFormat="1" applyFont="1" applyFill="1" applyBorder="1"/>
    <xf numFmtId="9" fontId="3" fillId="2" borderId="2" xfId="20" applyFont="1" applyFill="1" applyBorder="1"/>
    <xf numFmtId="170" fontId="3" fillId="2" borderId="2" xfId="0" applyNumberFormat="1" applyFont="1" applyFill="1" applyBorder="1" applyAlignment="1">
      <alignment horizontal="right"/>
    </xf>
    <xf numFmtId="0" fontId="3" fillId="2" borderId="8" xfId="0" applyFont="1" applyFill="1" applyBorder="1" applyAlignment="1">
      <alignment vertical="top"/>
    </xf>
    <xf numFmtId="0" fontId="4" fillId="2" borderId="4" xfId="0" applyFont="1" applyFill="1" applyBorder="1" applyAlignment="1">
      <alignment vertical="center"/>
    </xf>
    <xf numFmtId="170" fontId="3" fillId="2" borderId="78" xfId="0" applyNumberFormat="1" applyFont="1" applyFill="1" applyBorder="1"/>
    <xf numFmtId="167" fontId="36" fillId="2" borderId="0" xfId="2" applyNumberFormat="1" applyFont="1" applyFill="1"/>
    <xf numFmtId="170" fontId="3" fillId="2" borderId="4" xfId="0" applyNumberFormat="1" applyFont="1" applyFill="1" applyBorder="1"/>
    <xf numFmtId="0" fontId="4" fillId="2" borderId="2" xfId="2" applyFont="1" applyFill="1" applyBorder="1" applyAlignment="1">
      <alignment horizontal="center" vertical="center" wrapText="1"/>
    </xf>
    <xf numFmtId="0" fontId="36" fillId="2" borderId="0" xfId="2" applyFont="1" applyFill="1" applyAlignment="1">
      <alignment vertical="top"/>
    </xf>
    <xf numFmtId="170" fontId="3" fillId="2" borderId="86" xfId="3" applyNumberFormat="1" applyFont="1" applyFill="1" applyBorder="1"/>
    <xf numFmtId="170" fontId="3" fillId="2" borderId="88" xfId="3" applyNumberFormat="1" applyFont="1" applyFill="1" applyBorder="1"/>
    <xf numFmtId="0" fontId="3" fillId="2" borderId="8" xfId="2" applyFont="1" applyFill="1" applyBorder="1" applyAlignment="1">
      <alignment horizontal="left"/>
    </xf>
    <xf numFmtId="0" fontId="3" fillId="2" borderId="0" xfId="2" applyFont="1" applyFill="1" applyAlignment="1">
      <alignment horizontal="justify" vertical="justify" wrapText="1"/>
    </xf>
    <xf numFmtId="0" fontId="3" fillId="2" borderId="0" xfId="2" applyFont="1" applyFill="1" applyAlignment="1">
      <alignment vertical="top" wrapText="1"/>
    </xf>
    <xf numFmtId="170" fontId="3" fillId="2" borderId="74" xfId="0" applyNumberFormat="1" applyFont="1" applyFill="1" applyBorder="1"/>
    <xf numFmtId="170" fontId="4" fillId="2" borderId="0" xfId="3" applyNumberFormat="1" applyFont="1" applyFill="1" applyBorder="1"/>
    <xf numFmtId="14" fontId="36" fillId="2" borderId="0" xfId="2" applyNumberFormat="1" applyFont="1" applyFill="1"/>
    <xf numFmtId="170" fontId="3" fillId="2" borderId="0" xfId="2" applyNumberFormat="1" applyFont="1" applyFill="1"/>
    <xf numFmtId="16" fontId="74" fillId="2" borderId="2" xfId="0" quotePrefix="1" applyNumberFormat="1" applyFont="1" applyFill="1" applyBorder="1" applyAlignment="1">
      <alignment horizontal="center" vertical="center" wrapText="1"/>
    </xf>
    <xf numFmtId="188" fontId="46" fillId="2" borderId="0" xfId="0" applyNumberFormat="1" applyFont="1" applyFill="1"/>
    <xf numFmtId="0" fontId="46" fillId="2" borderId="2" xfId="0" applyFont="1" applyFill="1" applyBorder="1"/>
    <xf numFmtId="0" fontId="46" fillId="2" borderId="8" xfId="0" applyFont="1" applyFill="1" applyBorder="1"/>
    <xf numFmtId="0" fontId="46" fillId="2" borderId="8" xfId="0" applyFont="1" applyFill="1" applyBorder="1" applyAlignment="1">
      <alignment horizontal="center" vertical="center"/>
    </xf>
    <xf numFmtId="0" fontId="4" fillId="2" borderId="0" xfId="0" applyFont="1" applyFill="1" applyAlignment="1">
      <alignment horizontal="left" vertical="top"/>
    </xf>
    <xf numFmtId="0" fontId="46" fillId="2" borderId="0" xfId="0" applyFont="1" applyFill="1" applyAlignment="1">
      <alignment horizontal="center" vertical="center"/>
    </xf>
    <xf numFmtId="170" fontId="75" fillId="2" borderId="0" xfId="0" applyNumberFormat="1" applyFont="1" applyFill="1"/>
    <xf numFmtId="170" fontId="55" fillId="2" borderId="0" xfId="1" applyNumberFormat="1" applyFont="1" applyFill="1"/>
    <xf numFmtId="192" fontId="3" fillId="2" borderId="2" xfId="3" applyNumberFormat="1" applyFont="1" applyFill="1" applyBorder="1"/>
    <xf numFmtId="192" fontId="4" fillId="2" borderId="38" xfId="3" applyNumberFormat="1" applyFont="1" applyFill="1" applyBorder="1"/>
    <xf numFmtId="192" fontId="4" fillId="2" borderId="5" xfId="3" applyNumberFormat="1" applyFont="1" applyFill="1" applyBorder="1"/>
    <xf numFmtId="192" fontId="3" fillId="2" borderId="8" xfId="3" applyNumberFormat="1" applyFont="1" applyFill="1" applyBorder="1"/>
    <xf numFmtId="192" fontId="3" fillId="2" borderId="2" xfId="1" applyNumberFormat="1" applyFont="1" applyFill="1" applyBorder="1" applyAlignment="1">
      <alignment horizontal="right"/>
    </xf>
    <xf numFmtId="192" fontId="4" fillId="2" borderId="38" xfId="1" applyNumberFormat="1" applyFont="1" applyFill="1" applyBorder="1" applyAlignment="1">
      <alignment horizontal="right"/>
    </xf>
    <xf numFmtId="192" fontId="4" fillId="2" borderId="2" xfId="1" applyNumberFormat="1" applyFont="1" applyFill="1" applyBorder="1" applyAlignment="1">
      <alignment horizontal="right"/>
    </xf>
    <xf numFmtId="192" fontId="3" fillId="2" borderId="2" xfId="1" applyNumberFormat="1" applyFont="1" applyFill="1" applyBorder="1"/>
    <xf numFmtId="192" fontId="4" fillId="2" borderId="38" xfId="1" applyNumberFormat="1" applyFont="1" applyFill="1" applyBorder="1"/>
    <xf numFmtId="192" fontId="4" fillId="2" borderId="2" xfId="1" applyNumberFormat="1" applyFont="1" applyFill="1" applyBorder="1"/>
    <xf numFmtId="192" fontId="4" fillId="2" borderId="2" xfId="0" applyNumberFormat="1" applyFont="1" applyFill="1" applyBorder="1"/>
    <xf numFmtId="192" fontId="3" fillId="2" borderId="2" xfId="0" applyNumberFormat="1" applyFont="1" applyFill="1" applyBorder="1"/>
    <xf numFmtId="192" fontId="4" fillId="2" borderId="5" xfId="1" applyNumberFormat="1" applyFont="1" applyFill="1" applyBorder="1"/>
    <xf numFmtId="192" fontId="3" fillId="2" borderId="11" xfId="1" applyNumberFormat="1" applyFont="1" applyFill="1" applyBorder="1"/>
    <xf numFmtId="192" fontId="3" fillId="2" borderId="11" xfId="2022" applyNumberFormat="1" applyFont="1" applyFill="1" applyBorder="1"/>
    <xf numFmtId="192" fontId="4" fillId="2" borderId="11" xfId="2022" applyNumberFormat="1" applyFont="1" applyFill="1" applyBorder="1"/>
    <xf numFmtId="192" fontId="3" fillId="2" borderId="11" xfId="281" applyNumberFormat="1" applyFont="1" applyFill="1" applyBorder="1"/>
    <xf numFmtId="192" fontId="3" fillId="2" borderId="8" xfId="1" applyNumberFormat="1" applyFont="1" applyFill="1" applyBorder="1"/>
    <xf numFmtId="192" fontId="4" fillId="2" borderId="11" xfId="281" applyNumberFormat="1" applyFont="1" applyFill="1" applyBorder="1"/>
    <xf numFmtId="192" fontId="4" fillId="2" borderId="65" xfId="281" applyNumberFormat="1" applyFont="1" applyFill="1" applyBorder="1"/>
    <xf numFmtId="192" fontId="3" fillId="2" borderId="12" xfId="2022" applyNumberFormat="1" applyFont="1" applyFill="1" applyBorder="1"/>
    <xf numFmtId="192" fontId="4" fillId="2" borderId="24" xfId="1" applyNumberFormat="1" applyFont="1" applyFill="1" applyBorder="1"/>
    <xf numFmtId="192" fontId="4" fillId="2" borderId="67" xfId="2022" applyNumberFormat="1" applyFont="1" applyFill="1" applyBorder="1"/>
    <xf numFmtId="192" fontId="4" fillId="2" borderId="69" xfId="281" applyNumberFormat="1" applyFont="1" applyFill="1" applyBorder="1"/>
    <xf numFmtId="192" fontId="3" fillId="2" borderId="0" xfId="1" applyNumberFormat="1" applyFont="1" applyFill="1"/>
    <xf numFmtId="192" fontId="3" fillId="2" borderId="0" xfId="2022" applyNumberFormat="1" applyFont="1" applyFill="1"/>
    <xf numFmtId="192" fontId="3" fillId="2" borderId="0" xfId="1" applyNumberFormat="1" applyFont="1" applyFill="1" applyAlignment="1">
      <alignment horizontal="center"/>
    </xf>
    <xf numFmtId="192" fontId="4" fillId="2" borderId="0" xfId="4" applyNumberFormat="1" applyFont="1" applyFill="1" applyAlignment="1">
      <alignment horizontal="left" indent="4"/>
    </xf>
    <xf numFmtId="192" fontId="3" fillId="2" borderId="11" xfId="3" applyNumberFormat="1" applyFont="1" applyFill="1" applyBorder="1"/>
    <xf numFmtId="192" fontId="36" fillId="2" borderId="0" xfId="1" applyNumberFormat="1" applyFont="1" applyFill="1"/>
    <xf numFmtId="192" fontId="3" fillId="2" borderId="4" xfId="3" applyNumberFormat="1" applyFont="1" applyFill="1" applyBorder="1"/>
    <xf numFmtId="192" fontId="3" fillId="2" borderId="5" xfId="3" applyNumberFormat="1" applyFont="1" applyFill="1" applyBorder="1"/>
    <xf numFmtId="192" fontId="3" fillId="2" borderId="51" xfId="3" applyNumberFormat="1" applyFont="1" applyFill="1" applyBorder="1"/>
    <xf numFmtId="192" fontId="3" fillId="2" borderId="12" xfId="3" applyNumberFormat="1" applyFont="1" applyFill="1" applyBorder="1"/>
    <xf numFmtId="192" fontId="4" fillId="2" borderId="4" xfId="3" applyNumberFormat="1" applyFont="1" applyFill="1" applyBorder="1"/>
    <xf numFmtId="192" fontId="3" fillId="2" borderId="0" xfId="2" applyNumberFormat="1" applyFont="1" applyFill="1"/>
    <xf numFmtId="192" fontId="3" fillId="2" borderId="8" xfId="0" applyNumberFormat="1" applyFont="1" applyFill="1" applyBorder="1"/>
    <xf numFmtId="192" fontId="3" fillId="2" borderId="4" xfId="0" applyNumberFormat="1" applyFont="1" applyFill="1" applyBorder="1"/>
    <xf numFmtId="192" fontId="4" fillId="2" borderId="4" xfId="1" applyNumberFormat="1" applyFont="1" applyFill="1" applyBorder="1" applyAlignment="1">
      <alignment vertical="top"/>
    </xf>
    <xf numFmtId="192" fontId="4" fillId="2" borderId="4" xfId="0" applyNumberFormat="1" applyFont="1" applyFill="1" applyBorder="1" applyAlignment="1">
      <alignment horizontal="center" vertical="center" wrapText="1"/>
    </xf>
    <xf numFmtId="192" fontId="3" fillId="2" borderId="10" xfId="0" applyNumberFormat="1" applyFont="1" applyFill="1" applyBorder="1"/>
    <xf numFmtId="192" fontId="4" fillId="2" borderId="84" xfId="0" applyNumberFormat="1" applyFont="1" applyFill="1" applyBorder="1" applyAlignment="1">
      <alignment horizontal="center" vertical="center" wrapText="1"/>
    </xf>
    <xf numFmtId="192" fontId="3" fillId="2" borderId="88" xfId="0" applyNumberFormat="1" applyFont="1" applyFill="1" applyBorder="1"/>
    <xf numFmtId="192" fontId="3" fillId="2" borderId="11" xfId="0" applyNumberFormat="1" applyFont="1" applyFill="1" applyBorder="1"/>
    <xf numFmtId="192" fontId="3" fillId="2" borderId="0" xfId="0" applyNumberFormat="1" applyFont="1" applyFill="1"/>
    <xf numFmtId="192" fontId="4" fillId="2" borderId="69" xfId="3" applyNumberFormat="1" applyFont="1" applyFill="1" applyBorder="1"/>
    <xf numFmtId="192" fontId="4" fillId="2" borderId="0" xfId="3" applyNumberFormat="1" applyFont="1" applyFill="1" applyBorder="1"/>
    <xf numFmtId="192" fontId="4" fillId="2" borderId="8" xfId="0" applyNumberFormat="1" applyFont="1" applyFill="1" applyBorder="1" applyAlignment="1">
      <alignment horizontal="center" vertical="center" wrapText="1"/>
    </xf>
    <xf numFmtId="192" fontId="4" fillId="2" borderId="2" xfId="0" applyNumberFormat="1" applyFont="1" applyFill="1" applyBorder="1" applyAlignment="1">
      <alignment horizontal="center" vertical="center" wrapText="1"/>
    </xf>
    <xf numFmtId="192" fontId="4" fillId="2" borderId="11" xfId="0" applyNumberFormat="1" applyFont="1" applyFill="1" applyBorder="1" applyAlignment="1">
      <alignment horizontal="center" vertical="center" wrapText="1"/>
    </xf>
    <xf numFmtId="192" fontId="4" fillId="2" borderId="11" xfId="1" applyNumberFormat="1" applyFont="1" applyFill="1" applyBorder="1" applyAlignment="1">
      <alignment horizontal="right"/>
    </xf>
    <xf numFmtId="192" fontId="3" fillId="2" borderId="11" xfId="1" applyNumberFormat="1" applyFont="1" applyFill="1" applyBorder="1" applyAlignment="1">
      <alignment horizontal="right"/>
    </xf>
    <xf numFmtId="192" fontId="4" fillId="2" borderId="5" xfId="1" applyNumberFormat="1" applyFont="1" applyFill="1" applyBorder="1" applyAlignment="1">
      <alignment horizontal="right"/>
    </xf>
    <xf numFmtId="192" fontId="3" fillId="2" borderId="38" xfId="1" applyNumberFormat="1" applyFont="1" applyFill="1" applyBorder="1" applyAlignment="1">
      <alignment horizontal="right"/>
    </xf>
    <xf numFmtId="192" fontId="4" fillId="2" borderId="11" xfId="1" applyNumberFormat="1" applyFont="1" applyFill="1" applyBorder="1"/>
    <xf numFmtId="192" fontId="6" fillId="2" borderId="0" xfId="1" applyNumberFormat="1" applyFont="1" applyFill="1"/>
    <xf numFmtId="192" fontId="3" fillId="2" borderId="11" xfId="1" applyNumberFormat="1" applyFont="1" applyFill="1" applyBorder="1" applyAlignment="1">
      <alignment horizontal="center"/>
    </xf>
    <xf numFmtId="192" fontId="3" fillId="2" borderId="12" xfId="1" applyNumberFormat="1" applyFont="1" applyFill="1" applyBorder="1"/>
    <xf numFmtId="192" fontId="3" fillId="2" borderId="12" xfId="1" applyNumberFormat="1" applyFont="1" applyFill="1" applyBorder="1" applyAlignment="1"/>
    <xf numFmtId="192" fontId="4" fillId="2" borderId="12" xfId="1" applyNumberFormat="1" applyFont="1" applyFill="1" applyBorder="1"/>
    <xf numFmtId="192" fontId="4" fillId="2" borderId="8" xfId="1" applyNumberFormat="1" applyFont="1" applyFill="1" applyBorder="1"/>
    <xf numFmtId="192" fontId="3" fillId="2" borderId="10" xfId="1" applyNumberFormat="1" applyFont="1" applyFill="1" applyBorder="1"/>
    <xf numFmtId="192" fontId="3" fillId="2" borderId="17" xfId="1" applyNumberFormat="1" applyFont="1" applyFill="1" applyBorder="1"/>
    <xf numFmtId="192" fontId="3" fillId="2" borderId="17" xfId="1" applyNumberFormat="1" applyFont="1" applyFill="1" applyBorder="1" applyAlignment="1"/>
    <xf numFmtId="192" fontId="4" fillId="2" borderId="17" xfId="1" applyNumberFormat="1" applyFont="1" applyFill="1" applyBorder="1"/>
    <xf numFmtId="192" fontId="4" fillId="2" borderId="2" xfId="1" applyNumberFormat="1" applyFont="1" applyFill="1" applyBorder="1" applyAlignment="1">
      <alignment vertical="center"/>
    </xf>
    <xf numFmtId="192" fontId="7" fillId="2" borderId="0" xfId="1" applyNumberFormat="1" applyFont="1" applyFill="1"/>
    <xf numFmtId="192" fontId="6" fillId="2" borderId="0" xfId="6" applyNumberFormat="1" applyFont="1" applyFill="1"/>
    <xf numFmtId="192" fontId="4" fillId="2" borderId="8" xfId="6" applyNumberFormat="1" applyFont="1" applyFill="1" applyBorder="1"/>
    <xf numFmtId="192" fontId="4" fillId="2" borderId="12" xfId="6" applyNumberFormat="1" applyFont="1" applyFill="1" applyBorder="1"/>
    <xf numFmtId="192" fontId="4" fillId="2" borderId="12" xfId="8" applyNumberFormat="1" applyFont="1" applyFill="1" applyBorder="1"/>
    <xf numFmtId="192" fontId="4" fillId="2" borderId="12" xfId="11" applyNumberFormat="1" applyFont="1" applyFill="1" applyBorder="1"/>
    <xf numFmtId="192" fontId="3" fillId="2" borderId="12" xfId="6" applyNumberFormat="1" applyFont="1" applyFill="1" applyBorder="1"/>
    <xf numFmtId="192" fontId="4" fillId="2" borderId="12" xfId="9" applyNumberFormat="1" applyFont="1" applyFill="1" applyBorder="1"/>
    <xf numFmtId="192" fontId="3" fillId="2" borderId="12" xfId="9" applyNumberFormat="1" applyFont="1" applyFill="1" applyBorder="1"/>
    <xf numFmtId="192" fontId="3" fillId="2" borderId="8" xfId="8" applyNumberFormat="1" applyFont="1" applyFill="1" applyBorder="1"/>
    <xf numFmtId="192" fontId="4" fillId="2" borderId="14" xfId="6" applyNumberFormat="1" applyFont="1" applyFill="1" applyBorder="1"/>
    <xf numFmtId="192" fontId="4" fillId="2" borderId="0" xfId="6" applyNumberFormat="1" applyFont="1" applyFill="1"/>
    <xf numFmtId="192" fontId="4" fillId="2" borderId="0" xfId="8" applyNumberFormat="1" applyFont="1" applyFill="1" applyBorder="1"/>
    <xf numFmtId="192" fontId="4" fillId="2" borderId="0" xfId="11" applyNumberFormat="1" applyFont="1" applyFill="1" applyBorder="1"/>
    <xf numFmtId="192" fontId="4" fillId="2" borderId="11" xfId="6" applyNumberFormat="1" applyFont="1" applyFill="1" applyBorder="1"/>
    <xf numFmtId="192" fontId="3" fillId="2" borderId="0" xfId="6" applyNumberFormat="1" applyFont="1" applyFill="1"/>
    <xf numFmtId="192" fontId="4" fillId="2" borderId="0" xfId="9" applyNumberFormat="1" applyFont="1" applyFill="1" applyBorder="1"/>
    <xf numFmtId="192" fontId="3" fillId="2" borderId="0" xfId="9" applyNumberFormat="1" applyFont="1" applyFill="1" applyBorder="1"/>
    <xf numFmtId="192" fontId="3" fillId="2" borderId="0" xfId="8" applyNumberFormat="1" applyFont="1" applyFill="1" applyBorder="1"/>
    <xf numFmtId="192" fontId="4" fillId="2" borderId="17" xfId="6" applyNumberFormat="1" applyFont="1" applyFill="1" applyBorder="1" applyAlignment="1">
      <alignment horizontal="center"/>
    </xf>
    <xf numFmtId="192" fontId="4" fillId="2" borderId="4" xfId="6" applyNumberFormat="1" applyFont="1" applyFill="1" applyBorder="1" applyAlignment="1">
      <alignment horizontal="center"/>
    </xf>
    <xf numFmtId="192" fontId="4" fillId="2" borderId="10" xfId="6" applyNumberFormat="1" applyFont="1" applyFill="1" applyBorder="1" applyAlignment="1">
      <alignment horizontal="center"/>
    </xf>
    <xf numFmtId="192" fontId="7" fillId="2" borderId="0" xfId="6" applyNumberFormat="1" applyFont="1" applyFill="1"/>
    <xf numFmtId="192" fontId="4" fillId="2" borderId="2" xfId="6" quotePrefix="1" applyNumberFormat="1" applyFont="1" applyFill="1" applyBorder="1" applyAlignment="1">
      <alignment horizontal="center"/>
    </xf>
    <xf numFmtId="192" fontId="4" fillId="2" borderId="11" xfId="6" quotePrefix="1" applyNumberFormat="1" applyFont="1" applyFill="1" applyBorder="1" applyAlignment="1">
      <alignment horizontal="center"/>
    </xf>
    <xf numFmtId="192" fontId="4" fillId="2" borderId="11" xfId="6" applyNumberFormat="1" applyFont="1" applyFill="1" applyBorder="1" applyAlignment="1">
      <alignment horizontal="center"/>
    </xf>
    <xf numFmtId="192" fontId="4" fillId="2" borderId="12" xfId="6" applyNumberFormat="1" applyFont="1" applyFill="1" applyBorder="1" applyAlignment="1">
      <alignment horizontal="fill"/>
    </xf>
    <xf numFmtId="192" fontId="4" fillId="2" borderId="8" xfId="6" applyNumberFormat="1" applyFont="1" applyFill="1" applyBorder="1" applyAlignment="1">
      <alignment horizontal="fill"/>
    </xf>
    <xf numFmtId="192" fontId="3" fillId="2" borderId="2" xfId="6" applyNumberFormat="1" applyFont="1" applyFill="1" applyBorder="1"/>
    <xf numFmtId="192" fontId="3" fillId="2" borderId="11" xfId="6" applyNumberFormat="1" applyFont="1" applyFill="1" applyBorder="1"/>
    <xf numFmtId="192" fontId="3" fillId="2" borderId="11" xfId="6" applyNumberFormat="1" applyFont="1" applyFill="1" applyBorder="1" applyAlignment="1">
      <alignment horizontal="fill"/>
    </xf>
    <xf numFmtId="192" fontId="3" fillId="2" borderId="2" xfId="6" applyNumberFormat="1" applyFont="1" applyFill="1" applyBorder="1" applyAlignment="1">
      <alignment horizontal="fill"/>
    </xf>
    <xf numFmtId="192" fontId="4" fillId="2" borderId="2" xfId="6" applyNumberFormat="1" applyFont="1" applyFill="1" applyBorder="1" applyAlignment="1">
      <alignment horizontal="fill"/>
    </xf>
    <xf numFmtId="192" fontId="4" fillId="2" borderId="17" xfId="1" applyNumberFormat="1" applyFont="1" applyFill="1" applyBorder="1" applyAlignment="1">
      <alignment horizontal="center"/>
    </xf>
    <xf numFmtId="192" fontId="4" fillId="2" borderId="4" xfId="1" applyNumberFormat="1" applyFont="1" applyFill="1" applyBorder="1" applyAlignment="1">
      <alignment horizontal="center"/>
    </xf>
    <xf numFmtId="192" fontId="4" fillId="2" borderId="10" xfId="1" applyNumberFormat="1" applyFont="1" applyFill="1" applyBorder="1" applyAlignment="1">
      <alignment horizontal="center"/>
    </xf>
    <xf numFmtId="192" fontId="4" fillId="2" borderId="2" xfId="1" quotePrefix="1" applyNumberFormat="1" applyFont="1" applyFill="1" applyBorder="1" applyAlignment="1">
      <alignment horizontal="center"/>
    </xf>
    <xf numFmtId="192" fontId="4" fillId="2" borderId="11" xfId="1" quotePrefix="1" applyNumberFormat="1" applyFont="1" applyFill="1" applyBorder="1" applyAlignment="1">
      <alignment horizontal="center"/>
    </xf>
    <xf numFmtId="192" fontId="4" fillId="2" borderId="11" xfId="1" applyNumberFormat="1" applyFont="1" applyFill="1" applyBorder="1" applyAlignment="1">
      <alignment horizontal="center"/>
    </xf>
    <xf numFmtId="192" fontId="4" fillId="2" borderId="12" xfId="1" applyNumberFormat="1" applyFont="1" applyFill="1" applyBorder="1" applyAlignment="1">
      <alignment horizontal="fill"/>
    </xf>
    <xf numFmtId="192" fontId="4" fillId="2" borderId="8" xfId="1" applyNumberFormat="1" applyFont="1" applyFill="1" applyBorder="1" applyAlignment="1">
      <alignment horizontal="fill"/>
    </xf>
    <xf numFmtId="192" fontId="4" fillId="2" borderId="10" xfId="1" applyNumberFormat="1" applyFont="1" applyFill="1" applyBorder="1"/>
    <xf numFmtId="192" fontId="4" fillId="2" borderId="0" xfId="1" applyNumberFormat="1" applyFont="1" applyFill="1" applyBorder="1"/>
    <xf numFmtId="192" fontId="3" fillId="2" borderId="0" xfId="1" applyNumberFormat="1" applyFont="1" applyFill="1" applyBorder="1"/>
    <xf numFmtId="192" fontId="4" fillId="2" borderId="0" xfId="1" applyNumberFormat="1" applyFont="1" applyFill="1"/>
    <xf numFmtId="192" fontId="3" fillId="2" borderId="0" xfId="2028" applyNumberFormat="1" applyFont="1" applyFill="1" applyBorder="1" applyAlignment="1">
      <alignment horizontal="right" vertical="top" wrapText="1"/>
    </xf>
    <xf numFmtId="192" fontId="3" fillId="2" borderId="0" xfId="2028" applyNumberFormat="1" applyFont="1" applyFill="1" applyBorder="1" applyAlignment="1">
      <alignment horizontal="right" vertical="top"/>
    </xf>
    <xf numFmtId="192" fontId="3" fillId="2" borderId="0" xfId="2028" applyNumberFormat="1" applyFont="1" applyFill="1" applyAlignment="1">
      <alignment horizontal="right" vertical="top" wrapText="1"/>
    </xf>
    <xf numFmtId="192" fontId="3" fillId="2" borderId="58" xfId="2028" applyNumberFormat="1" applyFont="1" applyFill="1" applyBorder="1" applyAlignment="1">
      <alignment horizontal="right" vertical="top" wrapText="1"/>
    </xf>
    <xf numFmtId="192" fontId="3" fillId="2" borderId="0" xfId="1" applyNumberFormat="1" applyFont="1" applyFill="1" applyBorder="1" applyAlignment="1">
      <alignment horizontal="right" vertical="top"/>
    </xf>
    <xf numFmtId="192" fontId="3" fillId="2" borderId="58" xfId="2028" applyNumberFormat="1" applyFont="1" applyFill="1" applyBorder="1" applyAlignment="1">
      <alignment horizontal="right" vertical="top"/>
    </xf>
    <xf numFmtId="192" fontId="3" fillId="2" borderId="125" xfId="1" applyNumberFormat="1" applyFont="1" applyFill="1" applyBorder="1" applyAlignment="1">
      <alignment horizontal="right" vertical="top"/>
    </xf>
    <xf numFmtId="192" fontId="4" fillId="2" borderId="22" xfId="1" applyNumberFormat="1" applyFont="1" applyFill="1" applyBorder="1" applyAlignment="1">
      <alignment horizontal="right" vertical="top" wrapText="1"/>
    </xf>
    <xf numFmtId="3" fontId="3" fillId="2" borderId="0" xfId="2027" applyNumberFormat="1" applyFont="1" applyFill="1" applyAlignment="1">
      <alignment horizontal="right" vertical="top" wrapText="1"/>
    </xf>
    <xf numFmtId="0" fontId="3" fillId="2" borderId="0" xfId="2027" applyFont="1" applyFill="1" applyAlignment="1">
      <alignment horizontal="right" vertical="top" wrapText="1"/>
    </xf>
    <xf numFmtId="170" fontId="3" fillId="2" borderId="2" xfId="1" quotePrefix="1" applyNumberFormat="1" applyFont="1" applyFill="1" applyBorder="1" applyAlignment="1">
      <alignment horizontal="right" vertical="top"/>
    </xf>
    <xf numFmtId="170" fontId="3" fillId="2" borderId="2" xfId="1" applyNumberFormat="1" applyFont="1" applyFill="1" applyBorder="1" applyAlignment="1">
      <alignment horizontal="right" vertical="top"/>
    </xf>
    <xf numFmtId="170" fontId="3" fillId="2" borderId="8" xfId="1" quotePrefix="1" applyNumberFormat="1" applyFont="1" applyFill="1" applyBorder="1" applyAlignment="1">
      <alignment horizontal="right" vertical="top"/>
    </xf>
    <xf numFmtId="170" fontId="3" fillId="2" borderId="0" xfId="1" quotePrefix="1" applyNumberFormat="1" applyFont="1" applyFill="1" applyBorder="1" applyAlignment="1">
      <alignment horizontal="right" vertical="top"/>
    </xf>
    <xf numFmtId="170" fontId="3" fillId="2" borderId="0" xfId="1" applyNumberFormat="1" applyFont="1" applyFill="1" applyBorder="1" applyAlignment="1">
      <alignment horizontal="right" vertical="top"/>
    </xf>
    <xf numFmtId="170" fontId="3" fillId="2" borderId="0" xfId="1" applyNumberFormat="1" applyFont="1" applyFill="1" applyAlignment="1">
      <alignment horizontal="right" vertical="top"/>
    </xf>
    <xf numFmtId="170" fontId="4" fillId="2" borderId="84" xfId="1" applyNumberFormat="1" applyFont="1" applyFill="1" applyBorder="1" applyAlignment="1">
      <alignment horizontal="right" vertical="top" wrapText="1"/>
    </xf>
    <xf numFmtId="170" fontId="4" fillId="2" borderId="38" xfId="1" applyNumberFormat="1" applyFont="1" applyFill="1" applyBorder="1" applyAlignment="1">
      <alignment horizontal="right" vertical="top" wrapText="1"/>
    </xf>
    <xf numFmtId="170" fontId="4" fillId="2" borderId="4" xfId="1" applyNumberFormat="1" applyFont="1" applyFill="1" applyBorder="1" applyAlignment="1">
      <alignment horizontal="right" vertical="top" wrapText="1"/>
    </xf>
    <xf numFmtId="170" fontId="3" fillId="2" borderId="85" xfId="1" quotePrefix="1" applyNumberFormat="1" applyFont="1" applyFill="1" applyBorder="1" applyAlignment="1">
      <alignment horizontal="right" vertical="top"/>
    </xf>
    <xf numFmtId="170" fontId="3" fillId="2" borderId="86" xfId="1" quotePrefix="1" applyNumberFormat="1" applyFont="1" applyFill="1" applyBorder="1" applyAlignment="1">
      <alignment horizontal="right" vertical="top"/>
    </xf>
    <xf numFmtId="0" fontId="3" fillId="2" borderId="0" xfId="2025" applyFont="1" applyFill="1" applyAlignment="1">
      <alignment horizontal="right" vertical="top"/>
    </xf>
    <xf numFmtId="192" fontId="3" fillId="2" borderId="2" xfId="1" applyNumberFormat="1" applyFont="1" applyFill="1" applyBorder="1" applyAlignment="1">
      <alignment horizontal="right" vertical="top"/>
    </xf>
    <xf numFmtId="192" fontId="4" fillId="2" borderId="2" xfId="2016" applyNumberFormat="1" applyFont="1" applyFill="1" applyBorder="1" applyAlignment="1">
      <alignment horizontal="right" vertical="top"/>
    </xf>
    <xf numFmtId="192" fontId="3" fillId="2" borderId="2" xfId="2016" applyNumberFormat="1" applyFont="1" applyFill="1" applyBorder="1" applyAlignment="1">
      <alignment horizontal="right" vertical="top"/>
    </xf>
    <xf numFmtId="192" fontId="3" fillId="2" borderId="2" xfId="1631" applyNumberFormat="1" applyFont="1" applyFill="1" applyBorder="1" applyAlignment="1">
      <alignment horizontal="right" vertical="top"/>
    </xf>
    <xf numFmtId="192" fontId="3" fillId="2" borderId="8" xfId="2016" applyNumberFormat="1" applyFont="1" applyFill="1" applyBorder="1" applyAlignment="1">
      <alignment horizontal="right" vertical="top"/>
    </xf>
    <xf numFmtId="192" fontId="3" fillId="2" borderId="8" xfId="1" applyNumberFormat="1" applyFont="1" applyFill="1" applyBorder="1" applyAlignment="1">
      <alignment horizontal="right" vertical="top"/>
    </xf>
    <xf numFmtId="192" fontId="3" fillId="2" borderId="8" xfId="1631" applyNumberFormat="1" applyFont="1" applyFill="1" applyBorder="1" applyAlignment="1">
      <alignment horizontal="right" vertical="top"/>
    </xf>
    <xf numFmtId="192" fontId="3" fillId="2" borderId="2" xfId="2014" applyNumberFormat="1" applyFont="1" applyFill="1" applyBorder="1" applyAlignment="1">
      <alignment horizontal="right" vertical="top"/>
    </xf>
    <xf numFmtId="192" fontId="4" fillId="2" borderId="2" xfId="2014" applyNumberFormat="1" applyFont="1" applyFill="1" applyBorder="1" applyAlignment="1">
      <alignment horizontal="right" vertical="top"/>
    </xf>
    <xf numFmtId="192" fontId="3" fillId="2" borderId="2" xfId="1631" applyNumberFormat="1" applyFont="1" applyFill="1" applyBorder="1" applyAlignment="1">
      <alignment vertical="top" wrapText="1"/>
    </xf>
    <xf numFmtId="192" fontId="3" fillId="2" borderId="2" xfId="1" applyNumberFormat="1" applyFont="1" applyFill="1" applyBorder="1" applyAlignment="1">
      <alignment vertical="top" wrapText="1"/>
    </xf>
    <xf numFmtId="192" fontId="4" fillId="2" borderId="38" xfId="1631" applyNumberFormat="1" applyFont="1" applyFill="1" applyBorder="1" applyAlignment="1">
      <alignment vertical="top" wrapText="1"/>
    </xf>
    <xf numFmtId="192" fontId="3" fillId="2" borderId="0" xfId="1" applyNumberFormat="1" applyFont="1" applyFill="1" applyBorder="1" applyAlignment="1">
      <alignment horizontal="right"/>
    </xf>
    <xf numFmtId="192" fontId="4" fillId="2" borderId="58" xfId="2031" applyNumberFormat="1" applyFont="1" applyFill="1" applyBorder="1" applyAlignment="1">
      <alignment horizontal="right"/>
    </xf>
    <xf numFmtId="192" fontId="39" fillId="2" borderId="2" xfId="4" applyNumberFormat="1" applyFont="1" applyFill="1" applyBorder="1" applyAlignment="1">
      <alignment horizontal="right" vertical="center"/>
    </xf>
    <xf numFmtId="192" fontId="76" fillId="2" borderId="38" xfId="1631" applyNumberFormat="1" applyFont="1" applyFill="1" applyBorder="1" applyAlignment="1">
      <alignment vertical="top" wrapText="1"/>
    </xf>
    <xf numFmtId="192" fontId="3" fillId="2" borderId="2" xfId="281" quotePrefix="1" applyNumberFormat="1" applyFont="1" applyFill="1" applyBorder="1" applyAlignment="1">
      <alignment horizontal="right" vertical="top"/>
    </xf>
    <xf numFmtId="192" fontId="3" fillId="2" borderId="11" xfId="281" quotePrefix="1" applyNumberFormat="1" applyFont="1" applyFill="1" applyBorder="1" applyAlignment="1">
      <alignment horizontal="right" vertical="top"/>
    </xf>
    <xf numFmtId="0" fontId="3" fillId="2" borderId="2" xfId="0" applyFont="1" applyFill="1" applyBorder="1" applyAlignment="1">
      <alignment horizontal="left" wrapText="1"/>
    </xf>
    <xf numFmtId="0" fontId="4" fillId="2" borderId="60" xfId="2022" applyFont="1" applyFill="1" applyBorder="1" applyAlignment="1">
      <alignment horizontal="center" vertical="center"/>
    </xf>
    <xf numFmtId="0" fontId="4" fillId="2" borderId="62" xfId="2022" applyFont="1" applyFill="1" applyBorder="1" applyAlignment="1">
      <alignment horizontal="center" vertical="center"/>
    </xf>
    <xf numFmtId="0" fontId="4" fillId="2" borderId="18" xfId="2022" applyFont="1" applyFill="1" applyBorder="1" applyAlignment="1">
      <alignment horizontal="center" vertical="center"/>
    </xf>
    <xf numFmtId="0" fontId="4" fillId="2" borderId="12" xfId="2022" applyFont="1" applyFill="1" applyBorder="1" applyAlignment="1">
      <alignment horizontal="center" vertical="center"/>
    </xf>
    <xf numFmtId="0" fontId="3" fillId="2" borderId="0" xfId="2" applyFont="1" applyFill="1" applyAlignment="1">
      <alignment horizontal="justify" vertical="top" wrapText="1"/>
    </xf>
    <xf numFmtId="0" fontId="36" fillId="2" borderId="0" xfId="2" applyFont="1" applyFill="1" applyAlignment="1">
      <alignment horizontal="justify" vertical="top" wrapText="1"/>
    </xf>
    <xf numFmtId="0" fontId="46" fillId="2" borderId="0" xfId="0" applyFont="1" applyFill="1" applyAlignment="1">
      <alignment horizontal="justify" vertical="top" wrapText="1"/>
    </xf>
    <xf numFmtId="0" fontId="36" fillId="2" borderId="0" xfId="2" applyFont="1" applyFill="1" applyAlignment="1">
      <alignment horizontal="justify" vertical="center" wrapText="1"/>
    </xf>
    <xf numFmtId="0" fontId="46" fillId="2" borderId="0" xfId="0" applyFont="1" applyFill="1" applyAlignment="1">
      <alignment horizontal="justify" vertical="center" wrapText="1"/>
    </xf>
    <xf numFmtId="0" fontId="3" fillId="2" borderId="0" xfId="0" applyFont="1" applyFill="1" applyAlignment="1">
      <alignment horizontal="justify" vertical="top" wrapText="1"/>
    </xf>
    <xf numFmtId="0" fontId="3" fillId="2" borderId="54" xfId="2" applyFont="1" applyFill="1" applyBorder="1" applyAlignment="1">
      <alignment horizontal="justify" vertical="top" wrapText="1"/>
    </xf>
    <xf numFmtId="0" fontId="3" fillId="2" borderId="38" xfId="0" applyFont="1" applyFill="1" applyBorder="1" applyAlignment="1">
      <alignment horizontal="justify" vertical="top" wrapText="1"/>
    </xf>
    <xf numFmtId="10" fontId="3" fillId="2" borderId="86" xfId="20" applyNumberFormat="1" applyFont="1" applyFill="1" applyBorder="1" applyAlignment="1">
      <alignment horizontal="center" vertical="center"/>
    </xf>
    <xf numFmtId="10" fontId="3" fillId="2" borderId="2" xfId="20" applyNumberFormat="1" applyFont="1" applyFill="1" applyBorder="1" applyAlignment="1">
      <alignment horizontal="center" vertical="center"/>
    </xf>
    <xf numFmtId="10" fontId="3" fillId="2" borderId="8" xfId="20" applyNumberFormat="1" applyFont="1" applyFill="1" applyBorder="1" applyAlignment="1">
      <alignment horizontal="center" vertical="center"/>
    </xf>
    <xf numFmtId="0" fontId="3" fillId="0" borderId="0" xfId="0" applyFont="1" applyAlignment="1">
      <alignment horizontal="justify" vertical="top" wrapText="1"/>
    </xf>
    <xf numFmtId="170" fontId="3" fillId="2" borderId="86" xfId="0" applyNumberFormat="1" applyFont="1" applyFill="1" applyBorder="1" applyAlignment="1">
      <alignment horizontal="center" vertical="center"/>
    </xf>
    <xf numFmtId="170" fontId="3" fillId="2" borderId="2" xfId="0" applyNumberFormat="1" applyFont="1" applyFill="1" applyBorder="1" applyAlignment="1">
      <alignment horizontal="center" vertical="center"/>
    </xf>
    <xf numFmtId="170" fontId="3" fillId="2" borderId="8" xfId="0" applyNumberFormat="1" applyFont="1" applyFill="1" applyBorder="1" applyAlignment="1">
      <alignment horizontal="center" vertical="center"/>
    </xf>
    <xf numFmtId="0" fontId="4" fillId="2" borderId="72"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76" xfId="0" applyFont="1" applyFill="1" applyBorder="1" applyAlignment="1">
      <alignment horizontal="center" vertical="center" wrapText="1"/>
    </xf>
    <xf numFmtId="0" fontId="4" fillId="2" borderId="77" xfId="0" applyFont="1" applyFill="1" applyBorder="1" applyAlignment="1">
      <alignment horizontal="center" vertical="center" wrapText="1"/>
    </xf>
    <xf numFmtId="0" fontId="3" fillId="2" borderId="0" xfId="0" applyFont="1" applyFill="1" applyAlignment="1">
      <alignment horizontal="left" vertical="center"/>
    </xf>
    <xf numFmtId="0" fontId="3" fillId="2" borderId="0" xfId="0" applyFont="1" applyFill="1" applyAlignment="1">
      <alignment horizontal="left" vertical="center" wrapText="1"/>
    </xf>
    <xf numFmtId="192" fontId="4" fillId="2" borderId="71" xfId="0" applyNumberFormat="1" applyFont="1" applyFill="1" applyBorder="1" applyAlignment="1">
      <alignment horizontal="center" vertical="center" wrapText="1"/>
    </xf>
    <xf numFmtId="192" fontId="4" fillId="2" borderId="12" xfId="0" applyNumberFormat="1" applyFont="1" applyFill="1" applyBorder="1" applyAlignment="1">
      <alignment horizontal="center" vertical="center" wrapText="1"/>
    </xf>
    <xf numFmtId="0" fontId="4" fillId="2" borderId="72" xfId="0" applyFont="1" applyFill="1" applyBorder="1" applyAlignment="1">
      <alignment horizontal="left" vertical="center"/>
    </xf>
    <xf numFmtId="0" fontId="4" fillId="2" borderId="8" xfId="0" applyFont="1" applyFill="1" applyBorder="1" applyAlignment="1">
      <alignment horizontal="left" vertical="center"/>
    </xf>
    <xf numFmtId="192" fontId="4" fillId="2" borderId="76" xfId="0" applyNumberFormat="1" applyFont="1" applyFill="1" applyBorder="1" applyAlignment="1">
      <alignment horizontal="center" vertical="center" wrapText="1"/>
    </xf>
    <xf numFmtId="192" fontId="4" fillId="2" borderId="75" xfId="0" applyNumberFormat="1" applyFont="1" applyFill="1" applyBorder="1" applyAlignment="1">
      <alignment horizontal="center" vertical="center" wrapText="1"/>
    </xf>
    <xf numFmtId="192" fontId="4" fillId="2" borderId="77" xfId="0" applyNumberFormat="1" applyFont="1" applyFill="1" applyBorder="1" applyAlignment="1">
      <alignment horizontal="center" vertical="center" wrapText="1"/>
    </xf>
    <xf numFmtId="170" fontId="4" fillId="2" borderId="101" xfId="1" applyNumberFormat="1" applyFont="1" applyFill="1" applyBorder="1" applyAlignment="1">
      <alignment horizontal="center" vertical="top" wrapText="1"/>
    </xf>
    <xf numFmtId="170" fontId="4" fillId="2" borderId="102" xfId="1" applyNumberFormat="1" applyFont="1" applyFill="1" applyBorder="1" applyAlignment="1">
      <alignment horizontal="center" vertical="top" wrapText="1"/>
    </xf>
    <xf numFmtId="170" fontId="4" fillId="2" borderId="103" xfId="1" applyNumberFormat="1" applyFont="1" applyFill="1" applyBorder="1" applyAlignment="1">
      <alignment horizontal="center" vertical="top" wrapText="1"/>
    </xf>
    <xf numFmtId="170" fontId="4" fillId="2" borderId="104" xfId="1" applyNumberFormat="1" applyFont="1" applyFill="1" applyBorder="1" applyAlignment="1">
      <alignment horizontal="center" vertical="top" wrapText="1"/>
    </xf>
    <xf numFmtId="170" fontId="4" fillId="2" borderId="105" xfId="1" applyNumberFormat="1" applyFont="1" applyFill="1" applyBorder="1" applyAlignment="1">
      <alignment horizontal="center" vertical="top" wrapText="1"/>
    </xf>
    <xf numFmtId="49" fontId="67" fillId="2" borderId="124" xfId="0" applyNumberFormat="1" applyFont="1" applyFill="1" applyBorder="1" applyAlignment="1">
      <alignment horizontal="center" vertical="top" wrapText="1"/>
    </xf>
    <xf numFmtId="49" fontId="67" fillId="2" borderId="123" xfId="0" applyNumberFormat="1" applyFont="1" applyFill="1" applyBorder="1" applyAlignment="1">
      <alignment horizontal="center" vertical="top" wrapText="1"/>
    </xf>
    <xf numFmtId="49" fontId="69" fillId="2" borderId="14" xfId="0" applyNumberFormat="1" applyFont="1" applyFill="1" applyBorder="1" applyAlignment="1">
      <alignment horizontal="center" vertical="top" wrapText="1"/>
    </xf>
    <xf numFmtId="49" fontId="69" fillId="2" borderId="0" xfId="0" applyNumberFormat="1" applyFont="1" applyFill="1" applyAlignment="1">
      <alignment horizontal="center" vertical="top" wrapText="1"/>
    </xf>
    <xf numFmtId="49" fontId="67" fillId="2" borderId="124" xfId="0" applyNumberFormat="1" applyFont="1" applyFill="1" applyBorder="1" applyAlignment="1">
      <alignment horizontal="center" vertical="top"/>
    </xf>
    <xf numFmtId="49" fontId="67" fillId="2" borderId="123" xfId="0" applyNumberFormat="1" applyFont="1" applyFill="1" applyBorder="1" applyAlignment="1">
      <alignment horizontal="center" vertical="top"/>
    </xf>
    <xf numFmtId="49" fontId="61" fillId="2" borderId="0" xfId="0" applyNumberFormat="1" applyFont="1" applyFill="1" applyAlignment="1">
      <alignment vertical="top"/>
    </xf>
    <xf numFmtId="49" fontId="5" fillId="2" borderId="0" xfId="0" applyNumberFormat="1" applyFont="1" applyFill="1" applyAlignment="1">
      <alignment vertical="top"/>
    </xf>
    <xf numFmtId="49" fontId="5" fillId="2" borderId="20" xfId="0" applyNumberFormat="1" applyFont="1" applyFill="1" applyBorder="1" applyAlignment="1">
      <alignment vertical="top"/>
    </xf>
    <xf numFmtId="49" fontId="61" fillId="2" borderId="123" xfId="0" applyNumberFormat="1" applyFont="1" applyFill="1" applyBorder="1" applyAlignment="1">
      <alignment vertical="top"/>
    </xf>
    <xf numFmtId="0" fontId="45" fillId="2" borderId="0" xfId="2013" applyFont="1" applyFill="1" applyAlignment="1">
      <alignment horizontal="center" vertical="top" wrapText="1"/>
    </xf>
    <xf numFmtId="0" fontId="44" fillId="2" borderId="0" xfId="2013" quotePrefix="1" applyFont="1" applyFill="1" applyAlignment="1">
      <alignment horizontal="left" vertical="top" wrapText="1"/>
    </xf>
    <xf numFmtId="0" fontId="44" fillId="2" borderId="0" xfId="2013" applyFont="1" applyFill="1" applyAlignment="1">
      <alignment horizontal="justify" vertical="top" wrapText="1"/>
    </xf>
    <xf numFmtId="0" fontId="43" fillId="2" borderId="0" xfId="2013" applyFont="1" applyFill="1" applyAlignment="1">
      <alignment horizontal="left" wrapText="1"/>
    </xf>
    <xf numFmtId="0" fontId="43" fillId="2" borderId="0" xfId="2013" applyFont="1" applyFill="1" applyAlignment="1">
      <alignment horizontal="left" vertical="top"/>
    </xf>
    <xf numFmtId="0" fontId="44" fillId="2" borderId="0" xfId="2013" quotePrefix="1" applyFont="1" applyFill="1" applyAlignment="1">
      <alignment horizontal="justify" vertical="top" wrapText="1"/>
    </xf>
    <xf numFmtId="0" fontId="43" fillId="2" borderId="0" xfId="2013" quotePrefix="1" applyFont="1" applyFill="1" applyAlignment="1">
      <alignment horizontal="left" vertical="top" wrapText="1"/>
    </xf>
    <xf numFmtId="0" fontId="43" fillId="2" borderId="0" xfId="2024" applyFont="1" applyFill="1" applyAlignment="1">
      <alignment horizontal="left"/>
    </xf>
    <xf numFmtId="0" fontId="43" fillId="2" borderId="0" xfId="2024" applyFont="1" applyFill="1" applyAlignment="1">
      <alignment horizontal="left" vertical="top"/>
    </xf>
    <xf numFmtId="0" fontId="43" fillId="2" borderId="0" xfId="2024" applyFont="1" applyFill="1" applyAlignment="1">
      <alignment horizontal="left" vertical="center"/>
    </xf>
    <xf numFmtId="0" fontId="44" fillId="2" borderId="0" xfId="2024" applyFont="1" applyFill="1" applyAlignment="1">
      <alignment horizontal="left" vertical="center"/>
    </xf>
    <xf numFmtId="0" fontId="45" fillId="2" borderId="0" xfId="2013" quotePrefix="1" applyFont="1" applyFill="1" applyAlignment="1">
      <alignment horizontal="left" vertical="top" wrapText="1"/>
    </xf>
    <xf numFmtId="0" fontId="44" fillId="2" borderId="0" xfId="2013" quotePrefix="1" applyFont="1" applyFill="1" applyAlignment="1">
      <alignment horizontal="justify" vertical="justify" wrapText="1"/>
    </xf>
    <xf numFmtId="0" fontId="44" fillId="2" borderId="0" xfId="2013" quotePrefix="1" applyFont="1" applyFill="1" applyAlignment="1">
      <alignment horizontal="justify" vertical="center" wrapText="1"/>
    </xf>
    <xf numFmtId="0" fontId="43" fillId="2" borderId="0" xfId="2013" applyFont="1" applyFill="1" applyAlignment="1">
      <alignment horizontal="left" vertical="top" wrapText="1"/>
    </xf>
    <xf numFmtId="0" fontId="44" fillId="2" borderId="0" xfId="2013" applyFont="1" applyFill="1" applyAlignment="1">
      <alignment horizontal="left" vertical="top"/>
    </xf>
    <xf numFmtId="0" fontId="44" fillId="2" borderId="0" xfId="2013" applyFont="1" applyFill="1" applyAlignment="1">
      <alignment horizontal="center"/>
    </xf>
    <xf numFmtId="192" fontId="4" fillId="2" borderId="13" xfId="6" applyNumberFormat="1" applyFont="1" applyFill="1" applyBorder="1" applyAlignment="1">
      <alignment horizontal="center"/>
    </xf>
    <xf numFmtId="192" fontId="4" fillId="2" borderId="19" xfId="6" applyNumberFormat="1" applyFont="1" applyFill="1" applyBorder="1" applyAlignment="1">
      <alignment horizontal="center"/>
    </xf>
    <xf numFmtId="192" fontId="4" fillId="2" borderId="17" xfId="6" applyNumberFormat="1" applyFont="1" applyFill="1" applyBorder="1" applyAlignment="1">
      <alignment horizontal="center"/>
    </xf>
    <xf numFmtId="192" fontId="4" fillId="2" borderId="13" xfId="1" applyNumberFormat="1" applyFont="1" applyFill="1" applyBorder="1" applyAlignment="1">
      <alignment horizontal="center"/>
    </xf>
    <xf numFmtId="192" fontId="4" fillId="2" borderId="19" xfId="1" applyNumberFormat="1" applyFont="1" applyFill="1" applyBorder="1" applyAlignment="1">
      <alignment horizontal="center"/>
    </xf>
    <xf numFmtId="192" fontId="4" fillId="2" borderId="17" xfId="1" applyNumberFormat="1" applyFont="1" applyFill="1" applyBorder="1" applyAlignment="1">
      <alignment horizontal="center"/>
    </xf>
    <xf numFmtId="171" fontId="4" fillId="2" borderId="13" xfId="6" applyNumberFormat="1" applyFont="1" applyFill="1" applyBorder="1" applyAlignment="1">
      <alignment horizontal="center"/>
    </xf>
    <xf numFmtId="171" fontId="4" fillId="2" borderId="19" xfId="6" applyNumberFormat="1" applyFont="1" applyFill="1" applyBorder="1" applyAlignment="1">
      <alignment horizontal="center"/>
    </xf>
    <xf numFmtId="171" fontId="4" fillId="2" borderId="17" xfId="6" applyNumberFormat="1" applyFont="1" applyFill="1" applyBorder="1" applyAlignment="1">
      <alignment horizontal="center"/>
    </xf>
    <xf numFmtId="0" fontId="3" fillId="2" borderId="0" xfId="2027" applyFont="1" applyFill="1" applyAlignment="1">
      <alignment horizontal="justify" vertical="center" wrapText="1"/>
    </xf>
    <xf numFmtId="0" fontId="3" fillId="2" borderId="0" xfId="2030" applyFont="1" applyFill="1" applyAlignment="1">
      <alignment horizontal="justify" vertical="justify" wrapText="1"/>
    </xf>
    <xf numFmtId="0" fontId="3" fillId="2" borderId="0" xfId="2027" applyFont="1" applyFill="1" applyAlignment="1">
      <alignment horizontal="left" vertical="top" wrapText="1"/>
    </xf>
    <xf numFmtId="0" fontId="40" fillId="2" borderId="0" xfId="2027" applyFont="1" applyFill="1" applyAlignment="1">
      <alignment horizontal="justify" vertical="center" wrapText="1"/>
    </xf>
    <xf numFmtId="0" fontId="4" fillId="2" borderId="0" xfId="2027" applyFont="1" applyFill="1" applyAlignment="1">
      <alignment vertical="top" wrapText="1"/>
    </xf>
    <xf numFmtId="0" fontId="3" fillId="2" borderId="0" xfId="2027" applyFont="1" applyFill="1" applyAlignment="1">
      <alignment horizontal="justify" vertical="justify" wrapText="1"/>
    </xf>
    <xf numFmtId="0" fontId="4" fillId="2" borderId="70" xfId="2027" applyFont="1" applyFill="1" applyBorder="1" applyAlignment="1">
      <alignment horizontal="right" wrapText="1"/>
    </xf>
    <xf numFmtId="0" fontId="4" fillId="2" borderId="59" xfId="2027" applyFont="1" applyFill="1" applyBorder="1" applyAlignment="1">
      <alignment horizontal="center" vertical="top" wrapText="1"/>
    </xf>
    <xf numFmtId="0" fontId="4" fillId="2" borderId="0" xfId="2027" applyFont="1" applyFill="1" applyAlignment="1">
      <alignment horizontal="justify" vertical="justify" wrapText="1"/>
    </xf>
    <xf numFmtId="0" fontId="3" fillId="2" borderId="0" xfId="2027" applyFont="1" applyFill="1" applyAlignment="1">
      <alignment horizontal="justify" vertical="top" wrapText="1"/>
    </xf>
    <xf numFmtId="0" fontId="3" fillId="2" borderId="0" xfId="2027" applyFont="1" applyFill="1" applyAlignment="1">
      <alignment vertical="top" wrapText="1"/>
    </xf>
    <xf numFmtId="0" fontId="4" fillId="2" borderId="20" xfId="2027" applyFont="1" applyFill="1" applyBorder="1" applyAlignment="1">
      <alignment horizontal="center" vertical="top" wrapText="1"/>
    </xf>
    <xf numFmtId="0" fontId="4" fillId="2" borderId="0" xfId="2027" applyFont="1" applyFill="1" applyAlignment="1">
      <alignment horizontal="left" vertical="top" wrapText="1"/>
    </xf>
    <xf numFmtId="0" fontId="3" fillId="2" borderId="0" xfId="2027" applyFont="1" applyFill="1" applyAlignment="1">
      <alignment horizontal="left" vertical="center" wrapText="1"/>
    </xf>
    <xf numFmtId="0" fontId="3" fillId="2" borderId="0" xfId="2027" applyFont="1" applyFill="1" applyAlignment="1">
      <alignment horizontal="left" vertical="center"/>
    </xf>
    <xf numFmtId="0" fontId="4" fillId="2" borderId="0" xfId="2027" applyFont="1" applyFill="1" applyAlignment="1">
      <alignment horizontal="justify" vertical="top"/>
    </xf>
    <xf numFmtId="0" fontId="3" fillId="2" borderId="0" xfId="2027" applyFont="1" applyFill="1" applyAlignment="1">
      <alignment horizontal="justify" vertical="top"/>
    </xf>
    <xf numFmtId="0" fontId="3" fillId="2" borderId="0" xfId="2027" applyFont="1" applyFill="1" applyAlignment="1">
      <alignment horizontal="justify" wrapText="1"/>
    </xf>
    <xf numFmtId="0" fontId="4" fillId="2" borderId="0" xfId="2025" applyFont="1" applyFill="1" applyAlignment="1">
      <alignment horizontal="left"/>
    </xf>
    <xf numFmtId="0" fontId="4" fillId="2" borderId="0" xfId="2025" applyFont="1" applyFill="1"/>
    <xf numFmtId="0" fontId="3" fillId="2" borderId="0" xfId="2013" applyFont="1" applyFill="1" applyAlignment="1">
      <alignment horizontal="center" vertical="top" wrapText="1"/>
    </xf>
    <xf numFmtId="15" fontId="4" fillId="2" borderId="45" xfId="2013" applyNumberFormat="1" applyFont="1" applyFill="1" applyBorder="1" applyAlignment="1">
      <alignment horizontal="center" vertical="center"/>
    </xf>
    <xf numFmtId="15" fontId="4" fillId="2" borderId="46" xfId="2013" applyNumberFormat="1" applyFont="1" applyFill="1" applyBorder="1" applyAlignment="1">
      <alignment horizontal="center" vertical="center"/>
    </xf>
    <xf numFmtId="15" fontId="4" fillId="2" borderId="44" xfId="2013" applyNumberFormat="1" applyFont="1" applyFill="1" applyBorder="1" applyAlignment="1">
      <alignment horizontal="center" vertical="center"/>
    </xf>
    <xf numFmtId="0" fontId="4" fillId="2" borderId="43" xfId="2016" applyFont="1" applyFill="1" applyBorder="1" applyAlignment="1">
      <alignment horizontal="center" vertical="center" wrapText="1"/>
    </xf>
    <xf numFmtId="0" fontId="4" fillId="2" borderId="8" xfId="2016" applyFont="1" applyFill="1" applyBorder="1" applyAlignment="1">
      <alignment horizontal="center" vertical="center" wrapText="1"/>
    </xf>
    <xf numFmtId="15" fontId="4" fillId="2" borderId="45" xfId="2016" applyNumberFormat="1" applyFont="1" applyFill="1" applyBorder="1" applyAlignment="1">
      <alignment horizontal="center" vertical="top"/>
    </xf>
    <xf numFmtId="15" fontId="4" fillId="2" borderId="46" xfId="2016" applyNumberFormat="1" applyFont="1" applyFill="1" applyBorder="1" applyAlignment="1">
      <alignment horizontal="center" vertical="top"/>
    </xf>
    <xf numFmtId="15" fontId="4" fillId="2" borderId="45" xfId="2016" applyNumberFormat="1" applyFont="1" applyFill="1" applyBorder="1" applyAlignment="1">
      <alignment horizontal="center" vertical="center"/>
    </xf>
    <xf numFmtId="15" fontId="4" fillId="2" borderId="53" xfId="2016" applyNumberFormat="1" applyFont="1" applyFill="1" applyBorder="1" applyAlignment="1">
      <alignment horizontal="center" vertical="center"/>
    </xf>
    <xf numFmtId="15" fontId="4" fillId="2" borderId="51" xfId="2016" applyNumberFormat="1" applyFont="1" applyFill="1" applyBorder="1" applyAlignment="1">
      <alignment horizontal="center" vertical="center"/>
    </xf>
    <xf numFmtId="15" fontId="4" fillId="2" borderId="2" xfId="2016" applyNumberFormat="1" applyFont="1" applyFill="1" applyBorder="1" applyAlignment="1">
      <alignment horizontal="center" vertical="top"/>
    </xf>
    <xf numFmtId="15" fontId="4" fillId="2" borderId="14" xfId="2016" applyNumberFormat="1" applyFont="1" applyFill="1" applyBorder="1" applyAlignment="1">
      <alignment horizontal="center" vertical="top"/>
    </xf>
    <xf numFmtId="0" fontId="3" fillId="2" borderId="0" xfId="2016" applyFont="1" applyFill="1" applyAlignment="1">
      <alignment horizontal="justify" vertical="center" wrapText="1"/>
    </xf>
    <xf numFmtId="0" fontId="3" fillId="2" borderId="0" xfId="2016" applyFont="1" applyFill="1" applyAlignment="1">
      <alignment horizontal="left" vertical="top" wrapText="1"/>
    </xf>
    <xf numFmtId="0" fontId="36" fillId="2" borderId="0" xfId="2013" applyFont="1" applyFill="1" applyAlignment="1">
      <alignment horizontal="justify" vertical="center" wrapText="1"/>
    </xf>
    <xf numFmtId="0" fontId="4" fillId="2" borderId="50" xfId="2016" applyFont="1" applyFill="1" applyBorder="1" applyAlignment="1">
      <alignment horizontal="center" vertical="center" wrapText="1"/>
    </xf>
    <xf numFmtId="0" fontId="4" fillId="2" borderId="38" xfId="2013" applyFont="1" applyFill="1" applyBorder="1" applyAlignment="1">
      <alignment horizontal="center" vertical="center" wrapText="1"/>
    </xf>
    <xf numFmtId="0" fontId="3" fillId="2" borderId="0" xfId="2016" applyFont="1" applyFill="1" applyAlignment="1">
      <alignment horizontal="justify" vertical="top" wrapText="1"/>
    </xf>
    <xf numFmtId="0" fontId="3" fillId="2" borderId="14" xfId="2016" applyFont="1" applyFill="1" applyBorder="1" applyAlignment="1">
      <alignment vertical="top" wrapText="1"/>
    </xf>
    <xf numFmtId="0" fontId="3" fillId="2" borderId="0" xfId="2016" applyFont="1" applyFill="1" applyAlignment="1">
      <alignment vertical="top" wrapText="1"/>
    </xf>
    <xf numFmtId="0" fontId="3" fillId="2" borderId="11" xfId="2016" applyFont="1" applyFill="1" applyBorder="1" applyAlignment="1">
      <alignment vertical="top" wrapText="1"/>
    </xf>
    <xf numFmtId="0" fontId="3" fillId="2" borderId="14" xfId="2016" applyFont="1" applyFill="1" applyBorder="1" applyAlignment="1">
      <alignment horizontal="justify" vertical="top" wrapText="1"/>
    </xf>
    <xf numFmtId="0" fontId="3" fillId="2" borderId="11" xfId="2016" applyFont="1" applyFill="1" applyBorder="1" applyAlignment="1">
      <alignment horizontal="justify" vertical="top" wrapText="1"/>
    </xf>
    <xf numFmtId="0" fontId="4" fillId="2" borderId="14" xfId="2016" applyFont="1" applyFill="1" applyBorder="1" applyAlignment="1">
      <alignment vertical="top" wrapText="1"/>
    </xf>
    <xf numFmtId="0" fontId="4" fillId="2" borderId="0" xfId="2016" applyFont="1" applyFill="1" applyAlignment="1">
      <alignment vertical="top" wrapText="1"/>
    </xf>
    <xf numFmtId="0" fontId="4" fillId="2" borderId="11" xfId="2016" applyFont="1" applyFill="1" applyBorder="1" applyAlignment="1">
      <alignment vertical="top" wrapText="1"/>
    </xf>
    <xf numFmtId="0" fontId="3" fillId="2" borderId="63" xfId="2016" applyFont="1" applyFill="1" applyBorder="1" applyAlignment="1">
      <alignment horizontal="justify" vertical="top" wrapText="1"/>
    </xf>
    <xf numFmtId="0" fontId="3" fillId="2" borderId="64" xfId="2016" applyFont="1" applyFill="1" applyBorder="1" applyAlignment="1">
      <alignment horizontal="justify" vertical="top" wrapText="1"/>
    </xf>
    <xf numFmtId="0" fontId="3" fillId="2" borderId="65" xfId="2016" applyFont="1" applyFill="1" applyBorder="1" applyAlignment="1">
      <alignment horizontal="justify" vertical="top" wrapText="1"/>
    </xf>
    <xf numFmtId="0" fontId="3" fillId="2" borderId="4" xfId="2016" applyFont="1" applyFill="1" applyBorder="1" applyAlignment="1">
      <alignment horizontal="left" vertical="top" wrapText="1"/>
    </xf>
    <xf numFmtId="0" fontId="3" fillId="2" borderId="14" xfId="2016" applyFont="1" applyFill="1" applyBorder="1" applyAlignment="1">
      <alignment horizontal="justify" vertical="center" wrapText="1"/>
    </xf>
    <xf numFmtId="0" fontId="3" fillId="2" borderId="11" xfId="2016" applyFont="1" applyFill="1" applyBorder="1" applyAlignment="1">
      <alignment horizontal="justify" vertical="center" wrapText="1"/>
    </xf>
    <xf numFmtId="0" fontId="4" fillId="2" borderId="14" xfId="2016" applyFont="1" applyFill="1" applyBorder="1" applyAlignment="1">
      <alignment vertical="top"/>
    </xf>
    <xf numFmtId="0" fontId="4" fillId="2" borderId="0" xfId="2016" applyFont="1" applyFill="1" applyAlignment="1">
      <alignment vertical="top"/>
    </xf>
    <xf numFmtId="0" fontId="4" fillId="2" borderId="11" xfId="2016" applyFont="1" applyFill="1" applyBorder="1" applyAlignment="1">
      <alignment vertical="top"/>
    </xf>
    <xf numFmtId="0" fontId="3" fillId="2" borderId="18" xfId="2016" applyFont="1" applyFill="1" applyBorder="1" applyAlignment="1">
      <alignment vertical="top" wrapText="1"/>
    </xf>
    <xf numFmtId="0" fontId="3" fillId="2" borderId="20" xfId="2016" applyFont="1" applyFill="1" applyBorder="1" applyAlignment="1">
      <alignment vertical="top" wrapText="1"/>
    </xf>
    <xf numFmtId="0" fontId="3" fillId="2" borderId="12" xfId="2016" applyFont="1" applyFill="1" applyBorder="1" applyAlignment="1">
      <alignment vertical="top" wrapText="1"/>
    </xf>
    <xf numFmtId="0" fontId="3" fillId="2" borderId="48" xfId="2016" applyFont="1" applyFill="1" applyBorder="1" applyAlignment="1">
      <alignment horizontal="justify" vertical="top" wrapText="1"/>
    </xf>
    <xf numFmtId="0" fontId="46" fillId="2" borderId="48" xfId="2016" applyFont="1" applyFill="1" applyBorder="1" applyAlignment="1">
      <alignment horizontal="justify" vertical="top" wrapText="1"/>
    </xf>
    <xf numFmtId="0" fontId="46" fillId="2" borderId="49" xfId="2016" applyFont="1" applyFill="1" applyBorder="1" applyAlignment="1">
      <alignment horizontal="justify" vertical="top" wrapText="1"/>
    </xf>
    <xf numFmtId="0" fontId="4" fillId="2" borderId="48" xfId="2016" applyFont="1" applyFill="1" applyBorder="1" applyAlignment="1">
      <alignment horizontal="left" vertical="top" wrapText="1"/>
    </xf>
    <xf numFmtId="0" fontId="3" fillId="2" borderId="48" xfId="2016" applyFont="1" applyFill="1" applyBorder="1" applyAlignment="1">
      <alignment horizontal="left" vertical="top" wrapText="1"/>
    </xf>
    <xf numFmtId="0" fontId="3" fillId="2" borderId="20" xfId="2016" applyFont="1" applyFill="1" applyBorder="1" applyAlignment="1">
      <alignment horizontal="left" vertical="top" wrapText="1"/>
    </xf>
    <xf numFmtId="0" fontId="4" fillId="2" borderId="0" xfId="5" quotePrefix="1" applyFont="1" applyFill="1" applyAlignment="1">
      <alignment horizontal="left" vertical="top" wrapText="1"/>
    </xf>
    <xf numFmtId="0" fontId="3" fillId="2" borderId="0" xfId="0" applyFont="1" applyFill="1" applyAlignment="1">
      <alignment horizontal="left" vertical="top" wrapText="1"/>
    </xf>
    <xf numFmtId="0" fontId="3" fillId="2" borderId="0" xfId="0" applyFont="1" applyFill="1" applyAlignment="1">
      <alignment horizontal="justify" vertical="center" wrapText="1"/>
    </xf>
    <xf numFmtId="0" fontId="35" fillId="2" borderId="0" xfId="0" applyFont="1" applyFill="1" applyAlignment="1">
      <alignment horizontal="left" vertical="justify" wrapText="1"/>
    </xf>
    <xf numFmtId="0" fontId="39" fillId="2" borderId="0" xfId="0" applyFont="1" applyFill="1" applyAlignment="1">
      <alignment horizontal="justify" vertical="top" wrapText="1"/>
    </xf>
    <xf numFmtId="0" fontId="39" fillId="2" borderId="20" xfId="0" applyFont="1" applyFill="1" applyBorder="1" applyAlignment="1">
      <alignment horizontal="justify" vertical="top" wrapText="1"/>
    </xf>
    <xf numFmtId="0" fontId="60" fillId="2" borderId="107" xfId="0" applyFont="1" applyFill="1" applyBorder="1" applyAlignment="1">
      <alignment horizontal="center" vertical="center"/>
    </xf>
    <xf numFmtId="0" fontId="60" fillId="2" borderId="129" xfId="0" applyFont="1" applyFill="1" applyBorder="1" applyAlignment="1">
      <alignment horizontal="center" vertical="center"/>
    </xf>
    <xf numFmtId="0" fontId="60" fillId="2" borderId="130" xfId="0" applyFont="1" applyFill="1" applyBorder="1" applyAlignment="1">
      <alignment horizontal="center" vertical="center"/>
    </xf>
    <xf numFmtId="0" fontId="57" fillId="2" borderId="15" xfId="15" applyFont="1" applyFill="1" applyBorder="1" applyAlignment="1">
      <alignment horizontal="left"/>
    </xf>
    <xf numFmtId="0" fontId="57" fillId="2" borderId="21" xfId="15" applyFont="1" applyFill="1" applyBorder="1" applyAlignment="1">
      <alignment horizontal="left"/>
    </xf>
    <xf numFmtId="0" fontId="57" fillId="2" borderId="16" xfId="15" applyFont="1" applyFill="1" applyBorder="1" applyAlignment="1">
      <alignment horizontal="left"/>
    </xf>
    <xf numFmtId="0" fontId="4" fillId="2" borderId="0" xfId="0" applyFont="1" applyFill="1" applyAlignment="1">
      <alignment horizontal="center"/>
    </xf>
    <xf numFmtId="0" fontId="50" fillId="2" borderId="38" xfId="0" applyFont="1" applyFill="1" applyBorder="1" applyAlignment="1">
      <alignment horizontal="center" wrapText="1"/>
    </xf>
    <xf numFmtId="0" fontId="52" fillId="2" borderId="0" xfId="0" applyFont="1" applyFill="1" applyAlignment="1">
      <alignment horizontal="center" wrapText="1"/>
    </xf>
    <xf numFmtId="4" fontId="50" fillId="2" borderId="38" xfId="0" applyNumberFormat="1" applyFont="1" applyFill="1" applyBorder="1" applyAlignment="1">
      <alignment horizontal="center" wrapText="1"/>
    </xf>
    <xf numFmtId="0" fontId="50" fillId="2" borderId="0" xfId="0" applyFont="1" applyFill="1" applyAlignment="1">
      <alignment horizontal="center" wrapText="1"/>
    </xf>
    <xf numFmtId="0" fontId="51" fillId="2" borderId="0" xfId="0" applyFont="1" applyFill="1" applyAlignment="1">
      <alignment horizontal="center" wrapText="1"/>
    </xf>
    <xf numFmtId="0" fontId="53" fillId="2" borderId="80" xfId="0" applyFont="1" applyFill="1" applyBorder="1" applyAlignment="1">
      <alignment horizontal="center" wrapText="1"/>
    </xf>
    <xf numFmtId="192" fontId="4" fillId="2" borderId="65" xfId="1" applyNumberFormat="1" applyFont="1" applyFill="1" applyBorder="1"/>
  </cellXfs>
  <cellStyles count="2635">
    <cellStyle name="_Budget Format 2009.10" xfId="21" xr:uid="{00000000-0005-0000-0000-000000000000}"/>
    <cellStyle name="_Budget Presentation format final-Mumbai" xfId="22" xr:uid="{00000000-0005-0000-0000-000001000000}"/>
    <cellStyle name="_CTC -Salary Cost-Budget 2009.10" xfId="23" xr:uid="{00000000-0005-0000-0000-000002000000}"/>
    <cellStyle name="_Inorganic  International exps-Upto Dec 08" xfId="24" xr:uid="{00000000-0005-0000-0000-000003000000}"/>
    <cellStyle name="_Mumbai group  Reveue Aug 09" xfId="25" xr:uid="{00000000-0005-0000-0000-000004000000}"/>
    <cellStyle name="_Mumbai Monthly MIS August 09-format" xfId="26" xr:uid="{00000000-0005-0000-0000-000005000000}"/>
    <cellStyle name="_Mumbai Monthly MIS July 09-format" xfId="27" xr:uid="{00000000-0005-0000-0000-000006000000}"/>
    <cellStyle name="_Mumbai Reveue Jul 09 Final" xfId="28" xr:uid="{00000000-0005-0000-0000-000007000000}"/>
    <cellStyle name="_Mumbai Sep09 ageing- New" xfId="29" xr:uid="{00000000-0005-0000-0000-000008000000}"/>
    <cellStyle name="_Mumbai-Budget-2008.09-Final-revised on 19.11.2008" xfId="30" xr:uid="{00000000-0005-0000-0000-000009000000}"/>
    <cellStyle name="_Presentation Qtr II RV LAB" xfId="31" xr:uid="{00000000-0005-0000-0000-00000A000000}"/>
    <cellStyle name="_Presentation Qtr II TRIPOLI" xfId="32" xr:uid="{00000000-0005-0000-0000-00000B000000}"/>
    <cellStyle name="_Presentation-Half yearly 08 Mumbai" xfId="33" xr:uid="{00000000-0005-0000-0000-00000C000000}"/>
    <cellStyle name="_Presentation-Half yearly0809-Lister" xfId="34" xr:uid="{00000000-0005-0000-0000-00000D000000}"/>
    <cellStyle name="_Profit &amp; Loss account -May 09" xfId="35" xr:uid="{00000000-0005-0000-0000-00000E000000}"/>
    <cellStyle name="_Profit &amp; Loss Account -Upto August-09" xfId="36" xr:uid="{00000000-0005-0000-0000-00000F000000}"/>
    <cellStyle name="_Profit &amp; Loss Account -Upto July 091" xfId="37" xr:uid="{00000000-0005-0000-0000-000010000000}"/>
    <cellStyle name="_Profit &amp; Loss account -Upto June 09" xfId="38" xr:uid="{00000000-0005-0000-0000-000011000000}"/>
    <cellStyle name="_Receivables" xfId="39" xr:uid="{00000000-0005-0000-0000-000012000000}"/>
    <cellStyle name="_rent details" xfId="40" xr:uid="{00000000-0005-0000-0000-000013000000}"/>
    <cellStyle name="_Reveue 09-10 Final 4" xfId="41" xr:uid="{00000000-0005-0000-0000-000014000000}"/>
    <cellStyle name="_Reveue Jun 09" xfId="42" xr:uid="{00000000-0005-0000-0000-000015000000}"/>
    <cellStyle name="_Reveue May 2009" xfId="43" xr:uid="{00000000-0005-0000-0000-000016000000}"/>
    <cellStyle name="20% - Accent1 10" xfId="334" xr:uid="{00000000-0005-0000-0000-000017000000}"/>
    <cellStyle name="20% - Accent1 11" xfId="377" xr:uid="{00000000-0005-0000-0000-000018000000}"/>
    <cellStyle name="20% - Accent1 12" xfId="420" xr:uid="{00000000-0005-0000-0000-000019000000}"/>
    <cellStyle name="20% - Accent1 13" xfId="462" xr:uid="{00000000-0005-0000-0000-00001A000000}"/>
    <cellStyle name="20% - Accent1 14" xfId="504" xr:uid="{00000000-0005-0000-0000-00001B000000}"/>
    <cellStyle name="20% - Accent1 15" xfId="547" xr:uid="{00000000-0005-0000-0000-00001C000000}"/>
    <cellStyle name="20% - Accent1 16" xfId="590" xr:uid="{00000000-0005-0000-0000-00001D000000}"/>
    <cellStyle name="20% - Accent1 17" xfId="633" xr:uid="{00000000-0005-0000-0000-00001E000000}"/>
    <cellStyle name="20% - Accent1 18" xfId="676" xr:uid="{00000000-0005-0000-0000-00001F000000}"/>
    <cellStyle name="20% - Accent1 19" xfId="719" xr:uid="{00000000-0005-0000-0000-000020000000}"/>
    <cellStyle name="20% - Accent1 2" xfId="44" xr:uid="{00000000-0005-0000-0000-000021000000}"/>
    <cellStyle name="20% - Accent1 20" xfId="762" xr:uid="{00000000-0005-0000-0000-000022000000}"/>
    <cellStyle name="20% - Accent1 21" xfId="805" xr:uid="{00000000-0005-0000-0000-000023000000}"/>
    <cellStyle name="20% - Accent1 22" xfId="848" xr:uid="{00000000-0005-0000-0000-000024000000}"/>
    <cellStyle name="20% - Accent1 23" xfId="891" xr:uid="{00000000-0005-0000-0000-000025000000}"/>
    <cellStyle name="20% - Accent1 24" xfId="934" xr:uid="{00000000-0005-0000-0000-000026000000}"/>
    <cellStyle name="20% - Accent1 25" xfId="977" xr:uid="{00000000-0005-0000-0000-000027000000}"/>
    <cellStyle name="20% - Accent1 26" xfId="1020" xr:uid="{00000000-0005-0000-0000-000028000000}"/>
    <cellStyle name="20% - Accent1 27" xfId="1063" xr:uid="{00000000-0005-0000-0000-000029000000}"/>
    <cellStyle name="20% - Accent1 28" xfId="1106" xr:uid="{00000000-0005-0000-0000-00002A000000}"/>
    <cellStyle name="20% - Accent1 29" xfId="1149" xr:uid="{00000000-0005-0000-0000-00002B000000}"/>
    <cellStyle name="20% - Accent1 3" xfId="88" xr:uid="{00000000-0005-0000-0000-00002C000000}"/>
    <cellStyle name="20% - Accent1 30" xfId="1192" xr:uid="{00000000-0005-0000-0000-00002D000000}"/>
    <cellStyle name="20% - Accent1 31" xfId="1235" xr:uid="{00000000-0005-0000-0000-00002E000000}"/>
    <cellStyle name="20% - Accent1 32" xfId="1278" xr:uid="{00000000-0005-0000-0000-00002F000000}"/>
    <cellStyle name="20% - Accent1 33" xfId="1321" xr:uid="{00000000-0005-0000-0000-000030000000}"/>
    <cellStyle name="20% - Accent1 34" xfId="1364" xr:uid="{00000000-0005-0000-0000-000031000000}"/>
    <cellStyle name="20% - Accent1 35" xfId="1455" xr:uid="{00000000-0005-0000-0000-000032000000}"/>
    <cellStyle name="20% - Accent1 36" xfId="86" xr:uid="{00000000-0005-0000-0000-000033000000}"/>
    <cellStyle name="20% - Accent1 37" xfId="1491" xr:uid="{00000000-0005-0000-0000-000034000000}"/>
    <cellStyle name="20% - Accent1 38" xfId="1533" xr:uid="{00000000-0005-0000-0000-000035000000}"/>
    <cellStyle name="20% - Accent1 4" xfId="129" xr:uid="{00000000-0005-0000-0000-000036000000}"/>
    <cellStyle name="20% - Accent1 5" xfId="87" xr:uid="{00000000-0005-0000-0000-000037000000}"/>
    <cellStyle name="20% - Accent1 6" xfId="165" xr:uid="{00000000-0005-0000-0000-000038000000}"/>
    <cellStyle name="20% - Accent1 7" xfId="206" xr:uid="{00000000-0005-0000-0000-000039000000}"/>
    <cellStyle name="20% - Accent1 8" xfId="248" xr:uid="{00000000-0005-0000-0000-00003A000000}"/>
    <cellStyle name="20% - Accent1 9" xfId="291" xr:uid="{00000000-0005-0000-0000-00003B000000}"/>
    <cellStyle name="20% - Accent2 10" xfId="384" xr:uid="{00000000-0005-0000-0000-00003C000000}"/>
    <cellStyle name="20% - Accent2 11" xfId="426" xr:uid="{00000000-0005-0000-0000-00003D000000}"/>
    <cellStyle name="20% - Accent2 12" xfId="468" xr:uid="{00000000-0005-0000-0000-00003E000000}"/>
    <cellStyle name="20% - Accent2 13" xfId="511" xr:uid="{00000000-0005-0000-0000-00003F000000}"/>
    <cellStyle name="20% - Accent2 14" xfId="554" xr:uid="{00000000-0005-0000-0000-000040000000}"/>
    <cellStyle name="20% - Accent2 15" xfId="597" xr:uid="{00000000-0005-0000-0000-000041000000}"/>
    <cellStyle name="20% - Accent2 16" xfId="640" xr:uid="{00000000-0005-0000-0000-000042000000}"/>
    <cellStyle name="20% - Accent2 17" xfId="683" xr:uid="{00000000-0005-0000-0000-000043000000}"/>
    <cellStyle name="20% - Accent2 18" xfId="726" xr:uid="{00000000-0005-0000-0000-000044000000}"/>
    <cellStyle name="20% - Accent2 19" xfId="769" xr:uid="{00000000-0005-0000-0000-000045000000}"/>
    <cellStyle name="20% - Accent2 2" xfId="45" xr:uid="{00000000-0005-0000-0000-000046000000}"/>
    <cellStyle name="20% - Accent2 20" xfId="812" xr:uid="{00000000-0005-0000-0000-000047000000}"/>
    <cellStyle name="20% - Accent2 21" xfId="855" xr:uid="{00000000-0005-0000-0000-000048000000}"/>
    <cellStyle name="20% - Accent2 22" xfId="898" xr:uid="{00000000-0005-0000-0000-000049000000}"/>
    <cellStyle name="20% - Accent2 23" xfId="941" xr:uid="{00000000-0005-0000-0000-00004A000000}"/>
    <cellStyle name="20% - Accent2 24" xfId="984" xr:uid="{00000000-0005-0000-0000-00004B000000}"/>
    <cellStyle name="20% - Accent2 25" xfId="1027" xr:uid="{00000000-0005-0000-0000-00004C000000}"/>
    <cellStyle name="20% - Accent2 26" xfId="1070" xr:uid="{00000000-0005-0000-0000-00004D000000}"/>
    <cellStyle name="20% - Accent2 27" xfId="1113" xr:uid="{00000000-0005-0000-0000-00004E000000}"/>
    <cellStyle name="20% - Accent2 28" xfId="1156" xr:uid="{00000000-0005-0000-0000-00004F000000}"/>
    <cellStyle name="20% - Accent2 29" xfId="1199" xr:uid="{00000000-0005-0000-0000-000050000000}"/>
    <cellStyle name="20% - Accent2 3" xfId="89" xr:uid="{00000000-0005-0000-0000-000051000000}"/>
    <cellStyle name="20% - Accent2 30" xfId="1242" xr:uid="{00000000-0005-0000-0000-000052000000}"/>
    <cellStyle name="20% - Accent2 31" xfId="1285" xr:uid="{00000000-0005-0000-0000-000053000000}"/>
    <cellStyle name="20% - Accent2 32" xfId="1328" xr:uid="{00000000-0005-0000-0000-000054000000}"/>
    <cellStyle name="20% - Accent2 33" xfId="1371" xr:uid="{00000000-0005-0000-0000-000055000000}"/>
    <cellStyle name="20% - Accent2 34" xfId="1413" xr:uid="{00000000-0005-0000-0000-000056000000}"/>
    <cellStyle name="20% - Accent2 35" xfId="1456" xr:uid="{00000000-0005-0000-0000-000057000000}"/>
    <cellStyle name="20% - Accent2 36" xfId="1498" xr:uid="{00000000-0005-0000-0000-000058000000}"/>
    <cellStyle name="20% - Accent2 37" xfId="1539" xr:uid="{00000000-0005-0000-0000-000059000000}"/>
    <cellStyle name="20% - Accent2 38" xfId="1580" xr:uid="{00000000-0005-0000-0000-00005A000000}"/>
    <cellStyle name="20% - Accent2 4" xfId="130" xr:uid="{00000000-0005-0000-0000-00005B000000}"/>
    <cellStyle name="20% - Accent2 5" xfId="171" xr:uid="{00000000-0005-0000-0000-00005C000000}"/>
    <cellStyle name="20% - Accent2 6" xfId="212" xr:uid="{00000000-0005-0000-0000-00005D000000}"/>
    <cellStyle name="20% - Accent2 7" xfId="255" xr:uid="{00000000-0005-0000-0000-00005E000000}"/>
    <cellStyle name="20% - Accent2 8" xfId="298" xr:uid="{00000000-0005-0000-0000-00005F000000}"/>
    <cellStyle name="20% - Accent2 9" xfId="341" xr:uid="{00000000-0005-0000-0000-000060000000}"/>
    <cellStyle name="20% - Accent3 10" xfId="385" xr:uid="{00000000-0005-0000-0000-000061000000}"/>
    <cellStyle name="20% - Accent3 11" xfId="427" xr:uid="{00000000-0005-0000-0000-000062000000}"/>
    <cellStyle name="20% - Accent3 12" xfId="469" xr:uid="{00000000-0005-0000-0000-000063000000}"/>
    <cellStyle name="20% - Accent3 13" xfId="512" xr:uid="{00000000-0005-0000-0000-000064000000}"/>
    <cellStyle name="20% - Accent3 14" xfId="555" xr:uid="{00000000-0005-0000-0000-000065000000}"/>
    <cellStyle name="20% - Accent3 15" xfId="598" xr:uid="{00000000-0005-0000-0000-000066000000}"/>
    <cellStyle name="20% - Accent3 16" xfId="641" xr:uid="{00000000-0005-0000-0000-000067000000}"/>
    <cellStyle name="20% - Accent3 17" xfId="684" xr:uid="{00000000-0005-0000-0000-000068000000}"/>
    <cellStyle name="20% - Accent3 18" xfId="727" xr:uid="{00000000-0005-0000-0000-000069000000}"/>
    <cellStyle name="20% - Accent3 19" xfId="770" xr:uid="{00000000-0005-0000-0000-00006A000000}"/>
    <cellStyle name="20% - Accent3 2" xfId="46" xr:uid="{00000000-0005-0000-0000-00006B000000}"/>
    <cellStyle name="20% - Accent3 20" xfId="813" xr:uid="{00000000-0005-0000-0000-00006C000000}"/>
    <cellStyle name="20% - Accent3 21" xfId="856" xr:uid="{00000000-0005-0000-0000-00006D000000}"/>
    <cellStyle name="20% - Accent3 22" xfId="899" xr:uid="{00000000-0005-0000-0000-00006E000000}"/>
    <cellStyle name="20% - Accent3 23" xfId="942" xr:uid="{00000000-0005-0000-0000-00006F000000}"/>
    <cellStyle name="20% - Accent3 24" xfId="985" xr:uid="{00000000-0005-0000-0000-000070000000}"/>
    <cellStyle name="20% - Accent3 25" xfId="1028" xr:uid="{00000000-0005-0000-0000-000071000000}"/>
    <cellStyle name="20% - Accent3 26" xfId="1071" xr:uid="{00000000-0005-0000-0000-000072000000}"/>
    <cellStyle name="20% - Accent3 27" xfId="1114" xr:uid="{00000000-0005-0000-0000-000073000000}"/>
    <cellStyle name="20% - Accent3 28" xfId="1157" xr:uid="{00000000-0005-0000-0000-000074000000}"/>
    <cellStyle name="20% - Accent3 29" xfId="1200" xr:uid="{00000000-0005-0000-0000-000075000000}"/>
    <cellStyle name="20% - Accent3 3" xfId="90" xr:uid="{00000000-0005-0000-0000-000076000000}"/>
    <cellStyle name="20% - Accent3 30" xfId="1243" xr:uid="{00000000-0005-0000-0000-000077000000}"/>
    <cellStyle name="20% - Accent3 31" xfId="1286" xr:uid="{00000000-0005-0000-0000-000078000000}"/>
    <cellStyle name="20% - Accent3 32" xfId="1329" xr:uid="{00000000-0005-0000-0000-000079000000}"/>
    <cellStyle name="20% - Accent3 33" xfId="1372" xr:uid="{00000000-0005-0000-0000-00007A000000}"/>
    <cellStyle name="20% - Accent3 34" xfId="1414" xr:uid="{00000000-0005-0000-0000-00007B000000}"/>
    <cellStyle name="20% - Accent3 35" xfId="1457" xr:uid="{00000000-0005-0000-0000-00007C000000}"/>
    <cellStyle name="20% - Accent3 36" xfId="1499" xr:uid="{00000000-0005-0000-0000-00007D000000}"/>
    <cellStyle name="20% - Accent3 37" xfId="1540" xr:uid="{00000000-0005-0000-0000-00007E000000}"/>
    <cellStyle name="20% - Accent3 38" xfId="1581" xr:uid="{00000000-0005-0000-0000-00007F000000}"/>
    <cellStyle name="20% - Accent3 4" xfId="131" xr:uid="{00000000-0005-0000-0000-000080000000}"/>
    <cellStyle name="20% - Accent3 5" xfId="172" xr:uid="{00000000-0005-0000-0000-000081000000}"/>
    <cellStyle name="20% - Accent3 6" xfId="213" xr:uid="{00000000-0005-0000-0000-000082000000}"/>
    <cellStyle name="20% - Accent3 7" xfId="256" xr:uid="{00000000-0005-0000-0000-000083000000}"/>
    <cellStyle name="20% - Accent3 8" xfId="299" xr:uid="{00000000-0005-0000-0000-000084000000}"/>
    <cellStyle name="20% - Accent3 9" xfId="342" xr:uid="{00000000-0005-0000-0000-000085000000}"/>
    <cellStyle name="20% - Accent4 10" xfId="386" xr:uid="{00000000-0005-0000-0000-000086000000}"/>
    <cellStyle name="20% - Accent4 11" xfId="428" xr:uid="{00000000-0005-0000-0000-000087000000}"/>
    <cellStyle name="20% - Accent4 12" xfId="470" xr:uid="{00000000-0005-0000-0000-000088000000}"/>
    <cellStyle name="20% - Accent4 13" xfId="513" xr:uid="{00000000-0005-0000-0000-000089000000}"/>
    <cellStyle name="20% - Accent4 14" xfId="556" xr:uid="{00000000-0005-0000-0000-00008A000000}"/>
    <cellStyle name="20% - Accent4 15" xfId="599" xr:uid="{00000000-0005-0000-0000-00008B000000}"/>
    <cellStyle name="20% - Accent4 16" xfId="642" xr:uid="{00000000-0005-0000-0000-00008C000000}"/>
    <cellStyle name="20% - Accent4 17" xfId="685" xr:uid="{00000000-0005-0000-0000-00008D000000}"/>
    <cellStyle name="20% - Accent4 18" xfId="728" xr:uid="{00000000-0005-0000-0000-00008E000000}"/>
    <cellStyle name="20% - Accent4 19" xfId="771" xr:uid="{00000000-0005-0000-0000-00008F000000}"/>
    <cellStyle name="20% - Accent4 2" xfId="47" xr:uid="{00000000-0005-0000-0000-000090000000}"/>
    <cellStyle name="20% - Accent4 20" xfId="814" xr:uid="{00000000-0005-0000-0000-000091000000}"/>
    <cellStyle name="20% - Accent4 21" xfId="857" xr:uid="{00000000-0005-0000-0000-000092000000}"/>
    <cellStyle name="20% - Accent4 22" xfId="900" xr:uid="{00000000-0005-0000-0000-000093000000}"/>
    <cellStyle name="20% - Accent4 23" xfId="943" xr:uid="{00000000-0005-0000-0000-000094000000}"/>
    <cellStyle name="20% - Accent4 24" xfId="986" xr:uid="{00000000-0005-0000-0000-000095000000}"/>
    <cellStyle name="20% - Accent4 25" xfId="1029" xr:uid="{00000000-0005-0000-0000-000096000000}"/>
    <cellStyle name="20% - Accent4 26" xfId="1072" xr:uid="{00000000-0005-0000-0000-000097000000}"/>
    <cellStyle name="20% - Accent4 27" xfId="1115" xr:uid="{00000000-0005-0000-0000-000098000000}"/>
    <cellStyle name="20% - Accent4 28" xfId="1158" xr:uid="{00000000-0005-0000-0000-000099000000}"/>
    <cellStyle name="20% - Accent4 29" xfId="1201" xr:uid="{00000000-0005-0000-0000-00009A000000}"/>
    <cellStyle name="20% - Accent4 3" xfId="91" xr:uid="{00000000-0005-0000-0000-00009B000000}"/>
    <cellStyle name="20% - Accent4 30" xfId="1244" xr:uid="{00000000-0005-0000-0000-00009C000000}"/>
    <cellStyle name="20% - Accent4 31" xfId="1287" xr:uid="{00000000-0005-0000-0000-00009D000000}"/>
    <cellStyle name="20% - Accent4 32" xfId="1330" xr:uid="{00000000-0005-0000-0000-00009E000000}"/>
    <cellStyle name="20% - Accent4 33" xfId="1373" xr:uid="{00000000-0005-0000-0000-00009F000000}"/>
    <cellStyle name="20% - Accent4 34" xfId="1415" xr:uid="{00000000-0005-0000-0000-0000A0000000}"/>
    <cellStyle name="20% - Accent4 35" xfId="1458" xr:uid="{00000000-0005-0000-0000-0000A1000000}"/>
    <cellStyle name="20% - Accent4 36" xfId="1500" xr:uid="{00000000-0005-0000-0000-0000A2000000}"/>
    <cellStyle name="20% - Accent4 37" xfId="1541" xr:uid="{00000000-0005-0000-0000-0000A3000000}"/>
    <cellStyle name="20% - Accent4 38" xfId="1582" xr:uid="{00000000-0005-0000-0000-0000A4000000}"/>
    <cellStyle name="20% - Accent4 4" xfId="132" xr:uid="{00000000-0005-0000-0000-0000A5000000}"/>
    <cellStyle name="20% - Accent4 5" xfId="173" xr:uid="{00000000-0005-0000-0000-0000A6000000}"/>
    <cellStyle name="20% - Accent4 6" xfId="214" xr:uid="{00000000-0005-0000-0000-0000A7000000}"/>
    <cellStyle name="20% - Accent4 7" xfId="257" xr:uid="{00000000-0005-0000-0000-0000A8000000}"/>
    <cellStyle name="20% - Accent4 8" xfId="300" xr:uid="{00000000-0005-0000-0000-0000A9000000}"/>
    <cellStyle name="20% - Accent4 9" xfId="343" xr:uid="{00000000-0005-0000-0000-0000AA000000}"/>
    <cellStyle name="20% - Accent5 10" xfId="387" xr:uid="{00000000-0005-0000-0000-0000AB000000}"/>
    <cellStyle name="20% - Accent5 11" xfId="429" xr:uid="{00000000-0005-0000-0000-0000AC000000}"/>
    <cellStyle name="20% - Accent5 12" xfId="471" xr:uid="{00000000-0005-0000-0000-0000AD000000}"/>
    <cellStyle name="20% - Accent5 13" xfId="514" xr:uid="{00000000-0005-0000-0000-0000AE000000}"/>
    <cellStyle name="20% - Accent5 14" xfId="557" xr:uid="{00000000-0005-0000-0000-0000AF000000}"/>
    <cellStyle name="20% - Accent5 15" xfId="600" xr:uid="{00000000-0005-0000-0000-0000B0000000}"/>
    <cellStyle name="20% - Accent5 16" xfId="643" xr:uid="{00000000-0005-0000-0000-0000B1000000}"/>
    <cellStyle name="20% - Accent5 17" xfId="686" xr:uid="{00000000-0005-0000-0000-0000B2000000}"/>
    <cellStyle name="20% - Accent5 18" xfId="729" xr:uid="{00000000-0005-0000-0000-0000B3000000}"/>
    <cellStyle name="20% - Accent5 19" xfId="772" xr:uid="{00000000-0005-0000-0000-0000B4000000}"/>
    <cellStyle name="20% - Accent5 2" xfId="48" xr:uid="{00000000-0005-0000-0000-0000B5000000}"/>
    <cellStyle name="20% - Accent5 20" xfId="815" xr:uid="{00000000-0005-0000-0000-0000B6000000}"/>
    <cellStyle name="20% - Accent5 21" xfId="858" xr:uid="{00000000-0005-0000-0000-0000B7000000}"/>
    <cellStyle name="20% - Accent5 22" xfId="901" xr:uid="{00000000-0005-0000-0000-0000B8000000}"/>
    <cellStyle name="20% - Accent5 23" xfId="944" xr:uid="{00000000-0005-0000-0000-0000B9000000}"/>
    <cellStyle name="20% - Accent5 24" xfId="987" xr:uid="{00000000-0005-0000-0000-0000BA000000}"/>
    <cellStyle name="20% - Accent5 25" xfId="1030" xr:uid="{00000000-0005-0000-0000-0000BB000000}"/>
    <cellStyle name="20% - Accent5 26" xfId="1073" xr:uid="{00000000-0005-0000-0000-0000BC000000}"/>
    <cellStyle name="20% - Accent5 27" xfId="1116" xr:uid="{00000000-0005-0000-0000-0000BD000000}"/>
    <cellStyle name="20% - Accent5 28" xfId="1159" xr:uid="{00000000-0005-0000-0000-0000BE000000}"/>
    <cellStyle name="20% - Accent5 29" xfId="1202" xr:uid="{00000000-0005-0000-0000-0000BF000000}"/>
    <cellStyle name="20% - Accent5 3" xfId="92" xr:uid="{00000000-0005-0000-0000-0000C0000000}"/>
    <cellStyle name="20% - Accent5 30" xfId="1245" xr:uid="{00000000-0005-0000-0000-0000C1000000}"/>
    <cellStyle name="20% - Accent5 31" xfId="1288" xr:uid="{00000000-0005-0000-0000-0000C2000000}"/>
    <cellStyle name="20% - Accent5 32" xfId="1331" xr:uid="{00000000-0005-0000-0000-0000C3000000}"/>
    <cellStyle name="20% - Accent5 33" xfId="1374" xr:uid="{00000000-0005-0000-0000-0000C4000000}"/>
    <cellStyle name="20% - Accent5 34" xfId="1416" xr:uid="{00000000-0005-0000-0000-0000C5000000}"/>
    <cellStyle name="20% - Accent5 35" xfId="1459" xr:uid="{00000000-0005-0000-0000-0000C6000000}"/>
    <cellStyle name="20% - Accent5 36" xfId="1501" xr:uid="{00000000-0005-0000-0000-0000C7000000}"/>
    <cellStyle name="20% - Accent5 37" xfId="1542" xr:uid="{00000000-0005-0000-0000-0000C8000000}"/>
    <cellStyle name="20% - Accent5 38" xfId="1583" xr:uid="{00000000-0005-0000-0000-0000C9000000}"/>
    <cellStyle name="20% - Accent5 4" xfId="133" xr:uid="{00000000-0005-0000-0000-0000CA000000}"/>
    <cellStyle name="20% - Accent5 5" xfId="174" xr:uid="{00000000-0005-0000-0000-0000CB000000}"/>
    <cellStyle name="20% - Accent5 6" xfId="215" xr:uid="{00000000-0005-0000-0000-0000CC000000}"/>
    <cellStyle name="20% - Accent5 7" xfId="258" xr:uid="{00000000-0005-0000-0000-0000CD000000}"/>
    <cellStyle name="20% - Accent5 8" xfId="301" xr:uid="{00000000-0005-0000-0000-0000CE000000}"/>
    <cellStyle name="20% - Accent5 9" xfId="344" xr:uid="{00000000-0005-0000-0000-0000CF000000}"/>
    <cellStyle name="20% - Accent6 10" xfId="388" xr:uid="{00000000-0005-0000-0000-0000D0000000}"/>
    <cellStyle name="20% - Accent6 11" xfId="430" xr:uid="{00000000-0005-0000-0000-0000D1000000}"/>
    <cellStyle name="20% - Accent6 12" xfId="472" xr:uid="{00000000-0005-0000-0000-0000D2000000}"/>
    <cellStyle name="20% - Accent6 13" xfId="515" xr:uid="{00000000-0005-0000-0000-0000D3000000}"/>
    <cellStyle name="20% - Accent6 14" xfId="558" xr:uid="{00000000-0005-0000-0000-0000D4000000}"/>
    <cellStyle name="20% - Accent6 15" xfId="601" xr:uid="{00000000-0005-0000-0000-0000D5000000}"/>
    <cellStyle name="20% - Accent6 16" xfId="644" xr:uid="{00000000-0005-0000-0000-0000D6000000}"/>
    <cellStyle name="20% - Accent6 17" xfId="687" xr:uid="{00000000-0005-0000-0000-0000D7000000}"/>
    <cellStyle name="20% - Accent6 18" xfId="730" xr:uid="{00000000-0005-0000-0000-0000D8000000}"/>
    <cellStyle name="20% - Accent6 19" xfId="773" xr:uid="{00000000-0005-0000-0000-0000D9000000}"/>
    <cellStyle name="20% - Accent6 2" xfId="49" xr:uid="{00000000-0005-0000-0000-0000DA000000}"/>
    <cellStyle name="20% - Accent6 20" xfId="816" xr:uid="{00000000-0005-0000-0000-0000DB000000}"/>
    <cellStyle name="20% - Accent6 21" xfId="859" xr:uid="{00000000-0005-0000-0000-0000DC000000}"/>
    <cellStyle name="20% - Accent6 22" xfId="902" xr:uid="{00000000-0005-0000-0000-0000DD000000}"/>
    <cellStyle name="20% - Accent6 23" xfId="945" xr:uid="{00000000-0005-0000-0000-0000DE000000}"/>
    <cellStyle name="20% - Accent6 24" xfId="988" xr:uid="{00000000-0005-0000-0000-0000DF000000}"/>
    <cellStyle name="20% - Accent6 25" xfId="1031" xr:uid="{00000000-0005-0000-0000-0000E0000000}"/>
    <cellStyle name="20% - Accent6 26" xfId="1074" xr:uid="{00000000-0005-0000-0000-0000E1000000}"/>
    <cellStyle name="20% - Accent6 27" xfId="1117" xr:uid="{00000000-0005-0000-0000-0000E2000000}"/>
    <cellStyle name="20% - Accent6 28" xfId="1160" xr:uid="{00000000-0005-0000-0000-0000E3000000}"/>
    <cellStyle name="20% - Accent6 29" xfId="1203" xr:uid="{00000000-0005-0000-0000-0000E4000000}"/>
    <cellStyle name="20% - Accent6 3" xfId="93" xr:uid="{00000000-0005-0000-0000-0000E5000000}"/>
    <cellStyle name="20% - Accent6 30" xfId="1246" xr:uid="{00000000-0005-0000-0000-0000E6000000}"/>
    <cellStyle name="20% - Accent6 31" xfId="1289" xr:uid="{00000000-0005-0000-0000-0000E7000000}"/>
    <cellStyle name="20% - Accent6 32" xfId="1332" xr:uid="{00000000-0005-0000-0000-0000E8000000}"/>
    <cellStyle name="20% - Accent6 33" xfId="1375" xr:uid="{00000000-0005-0000-0000-0000E9000000}"/>
    <cellStyle name="20% - Accent6 34" xfId="1417" xr:uid="{00000000-0005-0000-0000-0000EA000000}"/>
    <cellStyle name="20% - Accent6 35" xfId="1460" xr:uid="{00000000-0005-0000-0000-0000EB000000}"/>
    <cellStyle name="20% - Accent6 36" xfId="1502" xr:uid="{00000000-0005-0000-0000-0000EC000000}"/>
    <cellStyle name="20% - Accent6 37" xfId="1543" xr:uid="{00000000-0005-0000-0000-0000ED000000}"/>
    <cellStyle name="20% - Accent6 38" xfId="1584" xr:uid="{00000000-0005-0000-0000-0000EE000000}"/>
    <cellStyle name="20% - Accent6 4" xfId="134" xr:uid="{00000000-0005-0000-0000-0000EF000000}"/>
    <cellStyle name="20% - Accent6 5" xfId="175" xr:uid="{00000000-0005-0000-0000-0000F0000000}"/>
    <cellStyle name="20% - Accent6 6" xfId="216" xr:uid="{00000000-0005-0000-0000-0000F1000000}"/>
    <cellStyle name="20% - Accent6 7" xfId="259" xr:uid="{00000000-0005-0000-0000-0000F2000000}"/>
    <cellStyle name="20% - Accent6 8" xfId="302" xr:uid="{00000000-0005-0000-0000-0000F3000000}"/>
    <cellStyle name="20% - Accent6 9" xfId="345" xr:uid="{00000000-0005-0000-0000-0000F4000000}"/>
    <cellStyle name="40% - Accent1 10" xfId="389" xr:uid="{00000000-0005-0000-0000-0000F5000000}"/>
    <cellStyle name="40% - Accent1 11" xfId="431" xr:uid="{00000000-0005-0000-0000-0000F6000000}"/>
    <cellStyle name="40% - Accent1 12" xfId="473" xr:uid="{00000000-0005-0000-0000-0000F7000000}"/>
    <cellStyle name="40% - Accent1 13" xfId="516" xr:uid="{00000000-0005-0000-0000-0000F8000000}"/>
    <cellStyle name="40% - Accent1 14" xfId="559" xr:uid="{00000000-0005-0000-0000-0000F9000000}"/>
    <cellStyle name="40% - Accent1 15" xfId="602" xr:uid="{00000000-0005-0000-0000-0000FA000000}"/>
    <cellStyle name="40% - Accent1 16" xfId="645" xr:uid="{00000000-0005-0000-0000-0000FB000000}"/>
    <cellStyle name="40% - Accent1 17" xfId="688" xr:uid="{00000000-0005-0000-0000-0000FC000000}"/>
    <cellStyle name="40% - Accent1 18" xfId="731" xr:uid="{00000000-0005-0000-0000-0000FD000000}"/>
    <cellStyle name="40% - Accent1 19" xfId="774" xr:uid="{00000000-0005-0000-0000-0000FE000000}"/>
    <cellStyle name="40% - Accent1 2" xfId="50" xr:uid="{00000000-0005-0000-0000-0000FF000000}"/>
    <cellStyle name="40% - Accent1 20" xfId="817" xr:uid="{00000000-0005-0000-0000-000000010000}"/>
    <cellStyle name="40% - Accent1 21" xfId="860" xr:uid="{00000000-0005-0000-0000-000001010000}"/>
    <cellStyle name="40% - Accent1 22" xfId="903" xr:uid="{00000000-0005-0000-0000-000002010000}"/>
    <cellStyle name="40% - Accent1 23" xfId="946" xr:uid="{00000000-0005-0000-0000-000003010000}"/>
    <cellStyle name="40% - Accent1 24" xfId="989" xr:uid="{00000000-0005-0000-0000-000004010000}"/>
    <cellStyle name="40% - Accent1 25" xfId="1032" xr:uid="{00000000-0005-0000-0000-000005010000}"/>
    <cellStyle name="40% - Accent1 26" xfId="1075" xr:uid="{00000000-0005-0000-0000-000006010000}"/>
    <cellStyle name="40% - Accent1 27" xfId="1118" xr:uid="{00000000-0005-0000-0000-000007010000}"/>
    <cellStyle name="40% - Accent1 28" xfId="1161" xr:uid="{00000000-0005-0000-0000-000008010000}"/>
    <cellStyle name="40% - Accent1 29" xfId="1204" xr:uid="{00000000-0005-0000-0000-000009010000}"/>
    <cellStyle name="40% - Accent1 3" xfId="94" xr:uid="{00000000-0005-0000-0000-00000A010000}"/>
    <cellStyle name="40% - Accent1 30" xfId="1247" xr:uid="{00000000-0005-0000-0000-00000B010000}"/>
    <cellStyle name="40% - Accent1 31" xfId="1290" xr:uid="{00000000-0005-0000-0000-00000C010000}"/>
    <cellStyle name="40% - Accent1 32" xfId="1333" xr:uid="{00000000-0005-0000-0000-00000D010000}"/>
    <cellStyle name="40% - Accent1 33" xfId="1376" xr:uid="{00000000-0005-0000-0000-00000E010000}"/>
    <cellStyle name="40% - Accent1 34" xfId="1418" xr:uid="{00000000-0005-0000-0000-00000F010000}"/>
    <cellStyle name="40% - Accent1 35" xfId="1461" xr:uid="{00000000-0005-0000-0000-000010010000}"/>
    <cellStyle name="40% - Accent1 36" xfId="1503" xr:uid="{00000000-0005-0000-0000-000011010000}"/>
    <cellStyle name="40% - Accent1 37" xfId="1544" xr:uid="{00000000-0005-0000-0000-000012010000}"/>
    <cellStyle name="40% - Accent1 38" xfId="1585" xr:uid="{00000000-0005-0000-0000-000013010000}"/>
    <cellStyle name="40% - Accent1 4" xfId="135" xr:uid="{00000000-0005-0000-0000-000014010000}"/>
    <cellStyle name="40% - Accent1 5" xfId="176" xr:uid="{00000000-0005-0000-0000-000015010000}"/>
    <cellStyle name="40% - Accent1 6" xfId="217" xr:uid="{00000000-0005-0000-0000-000016010000}"/>
    <cellStyle name="40% - Accent1 7" xfId="260" xr:uid="{00000000-0005-0000-0000-000017010000}"/>
    <cellStyle name="40% - Accent1 8" xfId="303" xr:uid="{00000000-0005-0000-0000-000018010000}"/>
    <cellStyle name="40% - Accent1 9" xfId="346" xr:uid="{00000000-0005-0000-0000-000019010000}"/>
    <cellStyle name="40% - Accent2 10" xfId="390" xr:uid="{00000000-0005-0000-0000-00001A010000}"/>
    <cellStyle name="40% - Accent2 11" xfId="432" xr:uid="{00000000-0005-0000-0000-00001B010000}"/>
    <cellStyle name="40% - Accent2 12" xfId="474" xr:uid="{00000000-0005-0000-0000-00001C010000}"/>
    <cellStyle name="40% - Accent2 13" xfId="517" xr:uid="{00000000-0005-0000-0000-00001D010000}"/>
    <cellStyle name="40% - Accent2 14" xfId="560" xr:uid="{00000000-0005-0000-0000-00001E010000}"/>
    <cellStyle name="40% - Accent2 15" xfId="603" xr:uid="{00000000-0005-0000-0000-00001F010000}"/>
    <cellStyle name="40% - Accent2 16" xfId="646" xr:uid="{00000000-0005-0000-0000-000020010000}"/>
    <cellStyle name="40% - Accent2 17" xfId="689" xr:uid="{00000000-0005-0000-0000-000021010000}"/>
    <cellStyle name="40% - Accent2 18" xfId="732" xr:uid="{00000000-0005-0000-0000-000022010000}"/>
    <cellStyle name="40% - Accent2 19" xfId="775" xr:uid="{00000000-0005-0000-0000-000023010000}"/>
    <cellStyle name="40% - Accent2 2" xfId="51" xr:uid="{00000000-0005-0000-0000-000024010000}"/>
    <cellStyle name="40% - Accent2 20" xfId="818" xr:uid="{00000000-0005-0000-0000-000025010000}"/>
    <cellStyle name="40% - Accent2 21" xfId="861" xr:uid="{00000000-0005-0000-0000-000026010000}"/>
    <cellStyle name="40% - Accent2 22" xfId="904" xr:uid="{00000000-0005-0000-0000-000027010000}"/>
    <cellStyle name="40% - Accent2 23" xfId="947" xr:uid="{00000000-0005-0000-0000-000028010000}"/>
    <cellStyle name="40% - Accent2 24" xfId="990" xr:uid="{00000000-0005-0000-0000-000029010000}"/>
    <cellStyle name="40% - Accent2 25" xfId="1033" xr:uid="{00000000-0005-0000-0000-00002A010000}"/>
    <cellStyle name="40% - Accent2 26" xfId="1076" xr:uid="{00000000-0005-0000-0000-00002B010000}"/>
    <cellStyle name="40% - Accent2 27" xfId="1119" xr:uid="{00000000-0005-0000-0000-00002C010000}"/>
    <cellStyle name="40% - Accent2 28" xfId="1162" xr:uid="{00000000-0005-0000-0000-00002D010000}"/>
    <cellStyle name="40% - Accent2 29" xfId="1205" xr:uid="{00000000-0005-0000-0000-00002E010000}"/>
    <cellStyle name="40% - Accent2 3" xfId="95" xr:uid="{00000000-0005-0000-0000-00002F010000}"/>
    <cellStyle name="40% - Accent2 30" xfId="1248" xr:uid="{00000000-0005-0000-0000-000030010000}"/>
    <cellStyle name="40% - Accent2 31" xfId="1291" xr:uid="{00000000-0005-0000-0000-000031010000}"/>
    <cellStyle name="40% - Accent2 32" xfId="1334" xr:uid="{00000000-0005-0000-0000-000032010000}"/>
    <cellStyle name="40% - Accent2 33" xfId="1377" xr:uid="{00000000-0005-0000-0000-000033010000}"/>
    <cellStyle name="40% - Accent2 34" xfId="1419" xr:uid="{00000000-0005-0000-0000-000034010000}"/>
    <cellStyle name="40% - Accent2 35" xfId="1462" xr:uid="{00000000-0005-0000-0000-000035010000}"/>
    <cellStyle name="40% - Accent2 36" xfId="1504" xr:uid="{00000000-0005-0000-0000-000036010000}"/>
    <cellStyle name="40% - Accent2 37" xfId="1545" xr:uid="{00000000-0005-0000-0000-000037010000}"/>
    <cellStyle name="40% - Accent2 38" xfId="1586" xr:uid="{00000000-0005-0000-0000-000038010000}"/>
    <cellStyle name="40% - Accent2 4" xfId="136" xr:uid="{00000000-0005-0000-0000-000039010000}"/>
    <cellStyle name="40% - Accent2 5" xfId="177" xr:uid="{00000000-0005-0000-0000-00003A010000}"/>
    <cellStyle name="40% - Accent2 6" xfId="218" xr:uid="{00000000-0005-0000-0000-00003B010000}"/>
    <cellStyle name="40% - Accent2 7" xfId="261" xr:uid="{00000000-0005-0000-0000-00003C010000}"/>
    <cellStyle name="40% - Accent2 8" xfId="304" xr:uid="{00000000-0005-0000-0000-00003D010000}"/>
    <cellStyle name="40% - Accent2 9" xfId="347" xr:uid="{00000000-0005-0000-0000-00003E010000}"/>
    <cellStyle name="40% - Accent3 10" xfId="391" xr:uid="{00000000-0005-0000-0000-00003F010000}"/>
    <cellStyle name="40% - Accent3 11" xfId="433" xr:uid="{00000000-0005-0000-0000-000040010000}"/>
    <cellStyle name="40% - Accent3 12" xfId="475" xr:uid="{00000000-0005-0000-0000-000041010000}"/>
    <cellStyle name="40% - Accent3 13" xfId="518" xr:uid="{00000000-0005-0000-0000-000042010000}"/>
    <cellStyle name="40% - Accent3 14" xfId="561" xr:uid="{00000000-0005-0000-0000-000043010000}"/>
    <cellStyle name="40% - Accent3 15" xfId="604" xr:uid="{00000000-0005-0000-0000-000044010000}"/>
    <cellStyle name="40% - Accent3 16" xfId="647" xr:uid="{00000000-0005-0000-0000-000045010000}"/>
    <cellStyle name="40% - Accent3 17" xfId="690" xr:uid="{00000000-0005-0000-0000-000046010000}"/>
    <cellStyle name="40% - Accent3 18" xfId="733" xr:uid="{00000000-0005-0000-0000-000047010000}"/>
    <cellStyle name="40% - Accent3 19" xfId="776" xr:uid="{00000000-0005-0000-0000-000048010000}"/>
    <cellStyle name="40% - Accent3 2" xfId="52" xr:uid="{00000000-0005-0000-0000-000049010000}"/>
    <cellStyle name="40% - Accent3 20" xfId="819" xr:uid="{00000000-0005-0000-0000-00004A010000}"/>
    <cellStyle name="40% - Accent3 21" xfId="862" xr:uid="{00000000-0005-0000-0000-00004B010000}"/>
    <cellStyle name="40% - Accent3 22" xfId="905" xr:uid="{00000000-0005-0000-0000-00004C010000}"/>
    <cellStyle name="40% - Accent3 23" xfId="948" xr:uid="{00000000-0005-0000-0000-00004D010000}"/>
    <cellStyle name="40% - Accent3 24" xfId="991" xr:uid="{00000000-0005-0000-0000-00004E010000}"/>
    <cellStyle name="40% - Accent3 25" xfId="1034" xr:uid="{00000000-0005-0000-0000-00004F010000}"/>
    <cellStyle name="40% - Accent3 26" xfId="1077" xr:uid="{00000000-0005-0000-0000-000050010000}"/>
    <cellStyle name="40% - Accent3 27" xfId="1120" xr:uid="{00000000-0005-0000-0000-000051010000}"/>
    <cellStyle name="40% - Accent3 28" xfId="1163" xr:uid="{00000000-0005-0000-0000-000052010000}"/>
    <cellStyle name="40% - Accent3 29" xfId="1206" xr:uid="{00000000-0005-0000-0000-000053010000}"/>
    <cellStyle name="40% - Accent3 3" xfId="96" xr:uid="{00000000-0005-0000-0000-000054010000}"/>
    <cellStyle name="40% - Accent3 30" xfId="1249" xr:uid="{00000000-0005-0000-0000-000055010000}"/>
    <cellStyle name="40% - Accent3 31" xfId="1292" xr:uid="{00000000-0005-0000-0000-000056010000}"/>
    <cellStyle name="40% - Accent3 32" xfId="1335" xr:uid="{00000000-0005-0000-0000-000057010000}"/>
    <cellStyle name="40% - Accent3 33" xfId="1378" xr:uid="{00000000-0005-0000-0000-000058010000}"/>
    <cellStyle name="40% - Accent3 34" xfId="1420" xr:uid="{00000000-0005-0000-0000-000059010000}"/>
    <cellStyle name="40% - Accent3 35" xfId="1463" xr:uid="{00000000-0005-0000-0000-00005A010000}"/>
    <cellStyle name="40% - Accent3 36" xfId="1505" xr:uid="{00000000-0005-0000-0000-00005B010000}"/>
    <cellStyle name="40% - Accent3 37" xfId="1546" xr:uid="{00000000-0005-0000-0000-00005C010000}"/>
    <cellStyle name="40% - Accent3 38" xfId="1587" xr:uid="{00000000-0005-0000-0000-00005D010000}"/>
    <cellStyle name="40% - Accent3 4" xfId="137" xr:uid="{00000000-0005-0000-0000-00005E010000}"/>
    <cellStyle name="40% - Accent3 5" xfId="178" xr:uid="{00000000-0005-0000-0000-00005F010000}"/>
    <cellStyle name="40% - Accent3 6" xfId="219" xr:uid="{00000000-0005-0000-0000-000060010000}"/>
    <cellStyle name="40% - Accent3 7" xfId="262" xr:uid="{00000000-0005-0000-0000-000061010000}"/>
    <cellStyle name="40% - Accent3 8" xfId="305" xr:uid="{00000000-0005-0000-0000-000062010000}"/>
    <cellStyle name="40% - Accent3 9" xfId="348" xr:uid="{00000000-0005-0000-0000-000063010000}"/>
    <cellStyle name="40% - Accent4 10" xfId="392" xr:uid="{00000000-0005-0000-0000-000064010000}"/>
    <cellStyle name="40% - Accent4 11" xfId="434" xr:uid="{00000000-0005-0000-0000-000065010000}"/>
    <cellStyle name="40% - Accent4 12" xfId="476" xr:uid="{00000000-0005-0000-0000-000066010000}"/>
    <cellStyle name="40% - Accent4 13" xfId="519" xr:uid="{00000000-0005-0000-0000-000067010000}"/>
    <cellStyle name="40% - Accent4 14" xfId="562" xr:uid="{00000000-0005-0000-0000-000068010000}"/>
    <cellStyle name="40% - Accent4 15" xfId="605" xr:uid="{00000000-0005-0000-0000-000069010000}"/>
    <cellStyle name="40% - Accent4 16" xfId="648" xr:uid="{00000000-0005-0000-0000-00006A010000}"/>
    <cellStyle name="40% - Accent4 17" xfId="691" xr:uid="{00000000-0005-0000-0000-00006B010000}"/>
    <cellStyle name="40% - Accent4 18" xfId="734" xr:uid="{00000000-0005-0000-0000-00006C010000}"/>
    <cellStyle name="40% - Accent4 19" xfId="777" xr:uid="{00000000-0005-0000-0000-00006D010000}"/>
    <cellStyle name="40% - Accent4 2" xfId="53" xr:uid="{00000000-0005-0000-0000-00006E010000}"/>
    <cellStyle name="40% - Accent4 20" xfId="820" xr:uid="{00000000-0005-0000-0000-00006F010000}"/>
    <cellStyle name="40% - Accent4 21" xfId="863" xr:uid="{00000000-0005-0000-0000-000070010000}"/>
    <cellStyle name="40% - Accent4 22" xfId="906" xr:uid="{00000000-0005-0000-0000-000071010000}"/>
    <cellStyle name="40% - Accent4 23" xfId="949" xr:uid="{00000000-0005-0000-0000-000072010000}"/>
    <cellStyle name="40% - Accent4 24" xfId="992" xr:uid="{00000000-0005-0000-0000-000073010000}"/>
    <cellStyle name="40% - Accent4 25" xfId="1035" xr:uid="{00000000-0005-0000-0000-000074010000}"/>
    <cellStyle name="40% - Accent4 26" xfId="1078" xr:uid="{00000000-0005-0000-0000-000075010000}"/>
    <cellStyle name="40% - Accent4 27" xfId="1121" xr:uid="{00000000-0005-0000-0000-000076010000}"/>
    <cellStyle name="40% - Accent4 28" xfId="1164" xr:uid="{00000000-0005-0000-0000-000077010000}"/>
    <cellStyle name="40% - Accent4 29" xfId="1207" xr:uid="{00000000-0005-0000-0000-000078010000}"/>
    <cellStyle name="40% - Accent4 3" xfId="97" xr:uid="{00000000-0005-0000-0000-000079010000}"/>
    <cellStyle name="40% - Accent4 30" xfId="1250" xr:uid="{00000000-0005-0000-0000-00007A010000}"/>
    <cellStyle name="40% - Accent4 31" xfId="1293" xr:uid="{00000000-0005-0000-0000-00007B010000}"/>
    <cellStyle name="40% - Accent4 32" xfId="1336" xr:uid="{00000000-0005-0000-0000-00007C010000}"/>
    <cellStyle name="40% - Accent4 33" xfId="1379" xr:uid="{00000000-0005-0000-0000-00007D010000}"/>
    <cellStyle name="40% - Accent4 34" xfId="1421" xr:uid="{00000000-0005-0000-0000-00007E010000}"/>
    <cellStyle name="40% - Accent4 35" xfId="1464" xr:uid="{00000000-0005-0000-0000-00007F010000}"/>
    <cellStyle name="40% - Accent4 36" xfId="1506" xr:uid="{00000000-0005-0000-0000-000080010000}"/>
    <cellStyle name="40% - Accent4 37" xfId="1547" xr:uid="{00000000-0005-0000-0000-000081010000}"/>
    <cellStyle name="40% - Accent4 38" xfId="1588" xr:uid="{00000000-0005-0000-0000-000082010000}"/>
    <cellStyle name="40% - Accent4 4" xfId="138" xr:uid="{00000000-0005-0000-0000-000083010000}"/>
    <cellStyle name="40% - Accent4 5" xfId="179" xr:uid="{00000000-0005-0000-0000-000084010000}"/>
    <cellStyle name="40% - Accent4 6" xfId="220" xr:uid="{00000000-0005-0000-0000-000085010000}"/>
    <cellStyle name="40% - Accent4 7" xfId="263" xr:uid="{00000000-0005-0000-0000-000086010000}"/>
    <cellStyle name="40% - Accent4 8" xfId="306" xr:uid="{00000000-0005-0000-0000-000087010000}"/>
    <cellStyle name="40% - Accent4 9" xfId="349" xr:uid="{00000000-0005-0000-0000-000088010000}"/>
    <cellStyle name="40% - Accent5 10" xfId="393" xr:uid="{00000000-0005-0000-0000-000089010000}"/>
    <cellStyle name="40% - Accent5 11" xfId="435" xr:uid="{00000000-0005-0000-0000-00008A010000}"/>
    <cellStyle name="40% - Accent5 12" xfId="477" xr:uid="{00000000-0005-0000-0000-00008B010000}"/>
    <cellStyle name="40% - Accent5 13" xfId="520" xr:uid="{00000000-0005-0000-0000-00008C010000}"/>
    <cellStyle name="40% - Accent5 14" xfId="563" xr:uid="{00000000-0005-0000-0000-00008D010000}"/>
    <cellStyle name="40% - Accent5 15" xfId="606" xr:uid="{00000000-0005-0000-0000-00008E010000}"/>
    <cellStyle name="40% - Accent5 16" xfId="649" xr:uid="{00000000-0005-0000-0000-00008F010000}"/>
    <cellStyle name="40% - Accent5 17" xfId="692" xr:uid="{00000000-0005-0000-0000-000090010000}"/>
    <cellStyle name="40% - Accent5 18" xfId="735" xr:uid="{00000000-0005-0000-0000-000091010000}"/>
    <cellStyle name="40% - Accent5 19" xfId="778" xr:uid="{00000000-0005-0000-0000-000092010000}"/>
    <cellStyle name="40% - Accent5 2" xfId="54" xr:uid="{00000000-0005-0000-0000-000093010000}"/>
    <cellStyle name="40% - Accent5 20" xfId="821" xr:uid="{00000000-0005-0000-0000-000094010000}"/>
    <cellStyle name="40% - Accent5 21" xfId="864" xr:uid="{00000000-0005-0000-0000-000095010000}"/>
    <cellStyle name="40% - Accent5 22" xfId="907" xr:uid="{00000000-0005-0000-0000-000096010000}"/>
    <cellStyle name="40% - Accent5 23" xfId="950" xr:uid="{00000000-0005-0000-0000-000097010000}"/>
    <cellStyle name="40% - Accent5 24" xfId="993" xr:uid="{00000000-0005-0000-0000-000098010000}"/>
    <cellStyle name="40% - Accent5 25" xfId="1036" xr:uid="{00000000-0005-0000-0000-000099010000}"/>
    <cellStyle name="40% - Accent5 26" xfId="1079" xr:uid="{00000000-0005-0000-0000-00009A010000}"/>
    <cellStyle name="40% - Accent5 27" xfId="1122" xr:uid="{00000000-0005-0000-0000-00009B010000}"/>
    <cellStyle name="40% - Accent5 28" xfId="1165" xr:uid="{00000000-0005-0000-0000-00009C010000}"/>
    <cellStyle name="40% - Accent5 29" xfId="1208" xr:uid="{00000000-0005-0000-0000-00009D010000}"/>
    <cellStyle name="40% - Accent5 3" xfId="98" xr:uid="{00000000-0005-0000-0000-00009E010000}"/>
    <cellStyle name="40% - Accent5 30" xfId="1251" xr:uid="{00000000-0005-0000-0000-00009F010000}"/>
    <cellStyle name="40% - Accent5 31" xfId="1294" xr:uid="{00000000-0005-0000-0000-0000A0010000}"/>
    <cellStyle name="40% - Accent5 32" xfId="1337" xr:uid="{00000000-0005-0000-0000-0000A1010000}"/>
    <cellStyle name="40% - Accent5 33" xfId="1380" xr:uid="{00000000-0005-0000-0000-0000A2010000}"/>
    <cellStyle name="40% - Accent5 34" xfId="1422" xr:uid="{00000000-0005-0000-0000-0000A3010000}"/>
    <cellStyle name="40% - Accent5 35" xfId="1465" xr:uid="{00000000-0005-0000-0000-0000A4010000}"/>
    <cellStyle name="40% - Accent5 36" xfId="1507" xr:uid="{00000000-0005-0000-0000-0000A5010000}"/>
    <cellStyle name="40% - Accent5 37" xfId="1548" xr:uid="{00000000-0005-0000-0000-0000A6010000}"/>
    <cellStyle name="40% - Accent5 38" xfId="1589" xr:uid="{00000000-0005-0000-0000-0000A7010000}"/>
    <cellStyle name="40% - Accent5 4" xfId="139" xr:uid="{00000000-0005-0000-0000-0000A8010000}"/>
    <cellStyle name="40% - Accent5 5" xfId="180" xr:uid="{00000000-0005-0000-0000-0000A9010000}"/>
    <cellStyle name="40% - Accent5 6" xfId="221" xr:uid="{00000000-0005-0000-0000-0000AA010000}"/>
    <cellStyle name="40% - Accent5 7" xfId="264" xr:uid="{00000000-0005-0000-0000-0000AB010000}"/>
    <cellStyle name="40% - Accent5 8" xfId="307" xr:uid="{00000000-0005-0000-0000-0000AC010000}"/>
    <cellStyle name="40% - Accent5 9" xfId="350" xr:uid="{00000000-0005-0000-0000-0000AD010000}"/>
    <cellStyle name="40% - Accent6 10" xfId="394" xr:uid="{00000000-0005-0000-0000-0000AE010000}"/>
    <cellStyle name="40% - Accent6 11" xfId="436" xr:uid="{00000000-0005-0000-0000-0000AF010000}"/>
    <cellStyle name="40% - Accent6 12" xfId="478" xr:uid="{00000000-0005-0000-0000-0000B0010000}"/>
    <cellStyle name="40% - Accent6 13" xfId="521" xr:uid="{00000000-0005-0000-0000-0000B1010000}"/>
    <cellStyle name="40% - Accent6 14" xfId="564" xr:uid="{00000000-0005-0000-0000-0000B2010000}"/>
    <cellStyle name="40% - Accent6 15" xfId="607" xr:uid="{00000000-0005-0000-0000-0000B3010000}"/>
    <cellStyle name="40% - Accent6 16" xfId="650" xr:uid="{00000000-0005-0000-0000-0000B4010000}"/>
    <cellStyle name="40% - Accent6 17" xfId="693" xr:uid="{00000000-0005-0000-0000-0000B5010000}"/>
    <cellStyle name="40% - Accent6 18" xfId="736" xr:uid="{00000000-0005-0000-0000-0000B6010000}"/>
    <cellStyle name="40% - Accent6 19" xfId="779" xr:uid="{00000000-0005-0000-0000-0000B7010000}"/>
    <cellStyle name="40% - Accent6 2" xfId="55" xr:uid="{00000000-0005-0000-0000-0000B8010000}"/>
    <cellStyle name="40% - Accent6 20" xfId="822" xr:uid="{00000000-0005-0000-0000-0000B9010000}"/>
    <cellStyle name="40% - Accent6 21" xfId="865" xr:uid="{00000000-0005-0000-0000-0000BA010000}"/>
    <cellStyle name="40% - Accent6 22" xfId="908" xr:uid="{00000000-0005-0000-0000-0000BB010000}"/>
    <cellStyle name="40% - Accent6 23" xfId="951" xr:uid="{00000000-0005-0000-0000-0000BC010000}"/>
    <cellStyle name="40% - Accent6 24" xfId="994" xr:uid="{00000000-0005-0000-0000-0000BD010000}"/>
    <cellStyle name="40% - Accent6 25" xfId="1037" xr:uid="{00000000-0005-0000-0000-0000BE010000}"/>
    <cellStyle name="40% - Accent6 26" xfId="1080" xr:uid="{00000000-0005-0000-0000-0000BF010000}"/>
    <cellStyle name="40% - Accent6 27" xfId="1123" xr:uid="{00000000-0005-0000-0000-0000C0010000}"/>
    <cellStyle name="40% - Accent6 28" xfId="1166" xr:uid="{00000000-0005-0000-0000-0000C1010000}"/>
    <cellStyle name="40% - Accent6 29" xfId="1209" xr:uid="{00000000-0005-0000-0000-0000C2010000}"/>
    <cellStyle name="40% - Accent6 3" xfId="99" xr:uid="{00000000-0005-0000-0000-0000C3010000}"/>
    <cellStyle name="40% - Accent6 30" xfId="1252" xr:uid="{00000000-0005-0000-0000-0000C4010000}"/>
    <cellStyle name="40% - Accent6 31" xfId="1295" xr:uid="{00000000-0005-0000-0000-0000C5010000}"/>
    <cellStyle name="40% - Accent6 32" xfId="1338" xr:uid="{00000000-0005-0000-0000-0000C6010000}"/>
    <cellStyle name="40% - Accent6 33" xfId="1381" xr:uid="{00000000-0005-0000-0000-0000C7010000}"/>
    <cellStyle name="40% - Accent6 34" xfId="1423" xr:uid="{00000000-0005-0000-0000-0000C8010000}"/>
    <cellStyle name="40% - Accent6 35" xfId="1466" xr:uid="{00000000-0005-0000-0000-0000C9010000}"/>
    <cellStyle name="40% - Accent6 36" xfId="1508" xr:uid="{00000000-0005-0000-0000-0000CA010000}"/>
    <cellStyle name="40% - Accent6 37" xfId="1549" xr:uid="{00000000-0005-0000-0000-0000CB010000}"/>
    <cellStyle name="40% - Accent6 38" xfId="1590" xr:uid="{00000000-0005-0000-0000-0000CC010000}"/>
    <cellStyle name="40% - Accent6 4" xfId="140" xr:uid="{00000000-0005-0000-0000-0000CD010000}"/>
    <cellStyle name="40% - Accent6 5" xfId="181" xr:uid="{00000000-0005-0000-0000-0000CE010000}"/>
    <cellStyle name="40% - Accent6 6" xfId="222" xr:uid="{00000000-0005-0000-0000-0000CF010000}"/>
    <cellStyle name="40% - Accent6 7" xfId="265" xr:uid="{00000000-0005-0000-0000-0000D0010000}"/>
    <cellStyle name="40% - Accent6 8" xfId="308" xr:uid="{00000000-0005-0000-0000-0000D1010000}"/>
    <cellStyle name="40% - Accent6 9" xfId="351" xr:uid="{00000000-0005-0000-0000-0000D2010000}"/>
    <cellStyle name="60% - Accent1 10" xfId="395" xr:uid="{00000000-0005-0000-0000-0000D3010000}"/>
    <cellStyle name="60% - Accent1 11" xfId="437" xr:uid="{00000000-0005-0000-0000-0000D4010000}"/>
    <cellStyle name="60% - Accent1 12" xfId="479" xr:uid="{00000000-0005-0000-0000-0000D5010000}"/>
    <cellStyle name="60% - Accent1 13" xfId="522" xr:uid="{00000000-0005-0000-0000-0000D6010000}"/>
    <cellStyle name="60% - Accent1 14" xfId="565" xr:uid="{00000000-0005-0000-0000-0000D7010000}"/>
    <cellStyle name="60% - Accent1 15" xfId="608" xr:uid="{00000000-0005-0000-0000-0000D8010000}"/>
    <cellStyle name="60% - Accent1 16" xfId="651" xr:uid="{00000000-0005-0000-0000-0000D9010000}"/>
    <cellStyle name="60% - Accent1 17" xfId="694" xr:uid="{00000000-0005-0000-0000-0000DA010000}"/>
    <cellStyle name="60% - Accent1 18" xfId="737" xr:uid="{00000000-0005-0000-0000-0000DB010000}"/>
    <cellStyle name="60% - Accent1 19" xfId="780" xr:uid="{00000000-0005-0000-0000-0000DC010000}"/>
    <cellStyle name="60% - Accent1 2" xfId="56" xr:uid="{00000000-0005-0000-0000-0000DD010000}"/>
    <cellStyle name="60% - Accent1 20" xfId="823" xr:uid="{00000000-0005-0000-0000-0000DE010000}"/>
    <cellStyle name="60% - Accent1 21" xfId="866" xr:uid="{00000000-0005-0000-0000-0000DF010000}"/>
    <cellStyle name="60% - Accent1 22" xfId="909" xr:uid="{00000000-0005-0000-0000-0000E0010000}"/>
    <cellStyle name="60% - Accent1 23" xfId="952" xr:uid="{00000000-0005-0000-0000-0000E1010000}"/>
    <cellStyle name="60% - Accent1 24" xfId="995" xr:uid="{00000000-0005-0000-0000-0000E2010000}"/>
    <cellStyle name="60% - Accent1 25" xfId="1038" xr:uid="{00000000-0005-0000-0000-0000E3010000}"/>
    <cellStyle name="60% - Accent1 26" xfId="1081" xr:uid="{00000000-0005-0000-0000-0000E4010000}"/>
    <cellStyle name="60% - Accent1 27" xfId="1124" xr:uid="{00000000-0005-0000-0000-0000E5010000}"/>
    <cellStyle name="60% - Accent1 28" xfId="1167" xr:uid="{00000000-0005-0000-0000-0000E6010000}"/>
    <cellStyle name="60% - Accent1 29" xfId="1210" xr:uid="{00000000-0005-0000-0000-0000E7010000}"/>
    <cellStyle name="60% - Accent1 3" xfId="100" xr:uid="{00000000-0005-0000-0000-0000E8010000}"/>
    <cellStyle name="60% - Accent1 30" xfId="1253" xr:uid="{00000000-0005-0000-0000-0000E9010000}"/>
    <cellStyle name="60% - Accent1 31" xfId="1296" xr:uid="{00000000-0005-0000-0000-0000EA010000}"/>
    <cellStyle name="60% - Accent1 32" xfId="1339" xr:uid="{00000000-0005-0000-0000-0000EB010000}"/>
    <cellStyle name="60% - Accent1 33" xfId="1382" xr:uid="{00000000-0005-0000-0000-0000EC010000}"/>
    <cellStyle name="60% - Accent1 34" xfId="1424" xr:uid="{00000000-0005-0000-0000-0000ED010000}"/>
    <cellStyle name="60% - Accent1 35" xfId="1467" xr:uid="{00000000-0005-0000-0000-0000EE010000}"/>
    <cellStyle name="60% - Accent1 36" xfId="1509" xr:uid="{00000000-0005-0000-0000-0000EF010000}"/>
    <cellStyle name="60% - Accent1 37" xfId="1550" xr:uid="{00000000-0005-0000-0000-0000F0010000}"/>
    <cellStyle name="60% - Accent1 38" xfId="1591" xr:uid="{00000000-0005-0000-0000-0000F1010000}"/>
    <cellStyle name="60% - Accent1 4" xfId="141" xr:uid="{00000000-0005-0000-0000-0000F2010000}"/>
    <cellStyle name="60% - Accent1 5" xfId="182" xr:uid="{00000000-0005-0000-0000-0000F3010000}"/>
    <cellStyle name="60% - Accent1 6" xfId="223" xr:uid="{00000000-0005-0000-0000-0000F4010000}"/>
    <cellStyle name="60% - Accent1 7" xfId="266" xr:uid="{00000000-0005-0000-0000-0000F5010000}"/>
    <cellStyle name="60% - Accent1 8" xfId="309" xr:uid="{00000000-0005-0000-0000-0000F6010000}"/>
    <cellStyle name="60% - Accent1 9" xfId="352" xr:uid="{00000000-0005-0000-0000-0000F7010000}"/>
    <cellStyle name="60% - Accent2 10" xfId="396" xr:uid="{00000000-0005-0000-0000-0000F8010000}"/>
    <cellStyle name="60% - Accent2 11" xfId="438" xr:uid="{00000000-0005-0000-0000-0000F9010000}"/>
    <cellStyle name="60% - Accent2 12" xfId="480" xr:uid="{00000000-0005-0000-0000-0000FA010000}"/>
    <cellStyle name="60% - Accent2 13" xfId="523" xr:uid="{00000000-0005-0000-0000-0000FB010000}"/>
    <cellStyle name="60% - Accent2 14" xfId="566" xr:uid="{00000000-0005-0000-0000-0000FC010000}"/>
    <cellStyle name="60% - Accent2 15" xfId="609" xr:uid="{00000000-0005-0000-0000-0000FD010000}"/>
    <cellStyle name="60% - Accent2 16" xfId="652" xr:uid="{00000000-0005-0000-0000-0000FE010000}"/>
    <cellStyle name="60% - Accent2 17" xfId="695" xr:uid="{00000000-0005-0000-0000-0000FF010000}"/>
    <cellStyle name="60% - Accent2 18" xfId="738" xr:uid="{00000000-0005-0000-0000-000000020000}"/>
    <cellStyle name="60% - Accent2 19" xfId="781" xr:uid="{00000000-0005-0000-0000-000001020000}"/>
    <cellStyle name="60% - Accent2 2" xfId="57" xr:uid="{00000000-0005-0000-0000-000002020000}"/>
    <cellStyle name="60% - Accent2 20" xfId="824" xr:uid="{00000000-0005-0000-0000-000003020000}"/>
    <cellStyle name="60% - Accent2 21" xfId="867" xr:uid="{00000000-0005-0000-0000-000004020000}"/>
    <cellStyle name="60% - Accent2 22" xfId="910" xr:uid="{00000000-0005-0000-0000-000005020000}"/>
    <cellStyle name="60% - Accent2 23" xfId="953" xr:uid="{00000000-0005-0000-0000-000006020000}"/>
    <cellStyle name="60% - Accent2 24" xfId="996" xr:uid="{00000000-0005-0000-0000-000007020000}"/>
    <cellStyle name="60% - Accent2 25" xfId="1039" xr:uid="{00000000-0005-0000-0000-000008020000}"/>
    <cellStyle name="60% - Accent2 26" xfId="1082" xr:uid="{00000000-0005-0000-0000-000009020000}"/>
    <cellStyle name="60% - Accent2 27" xfId="1125" xr:uid="{00000000-0005-0000-0000-00000A020000}"/>
    <cellStyle name="60% - Accent2 28" xfId="1168" xr:uid="{00000000-0005-0000-0000-00000B020000}"/>
    <cellStyle name="60% - Accent2 29" xfId="1211" xr:uid="{00000000-0005-0000-0000-00000C020000}"/>
    <cellStyle name="60% - Accent2 3" xfId="101" xr:uid="{00000000-0005-0000-0000-00000D020000}"/>
    <cellStyle name="60% - Accent2 30" xfId="1254" xr:uid="{00000000-0005-0000-0000-00000E020000}"/>
    <cellStyle name="60% - Accent2 31" xfId="1297" xr:uid="{00000000-0005-0000-0000-00000F020000}"/>
    <cellStyle name="60% - Accent2 32" xfId="1340" xr:uid="{00000000-0005-0000-0000-000010020000}"/>
    <cellStyle name="60% - Accent2 33" xfId="1383" xr:uid="{00000000-0005-0000-0000-000011020000}"/>
    <cellStyle name="60% - Accent2 34" xfId="1425" xr:uid="{00000000-0005-0000-0000-000012020000}"/>
    <cellStyle name="60% - Accent2 35" xfId="1468" xr:uid="{00000000-0005-0000-0000-000013020000}"/>
    <cellStyle name="60% - Accent2 36" xfId="1510" xr:uid="{00000000-0005-0000-0000-000014020000}"/>
    <cellStyle name="60% - Accent2 37" xfId="1551" xr:uid="{00000000-0005-0000-0000-000015020000}"/>
    <cellStyle name="60% - Accent2 38" xfId="1592" xr:uid="{00000000-0005-0000-0000-000016020000}"/>
    <cellStyle name="60% - Accent2 4" xfId="142" xr:uid="{00000000-0005-0000-0000-000017020000}"/>
    <cellStyle name="60% - Accent2 5" xfId="183" xr:uid="{00000000-0005-0000-0000-000018020000}"/>
    <cellStyle name="60% - Accent2 6" xfId="224" xr:uid="{00000000-0005-0000-0000-000019020000}"/>
    <cellStyle name="60% - Accent2 7" xfId="267" xr:uid="{00000000-0005-0000-0000-00001A020000}"/>
    <cellStyle name="60% - Accent2 8" xfId="310" xr:uid="{00000000-0005-0000-0000-00001B020000}"/>
    <cellStyle name="60% - Accent2 9" xfId="353" xr:uid="{00000000-0005-0000-0000-00001C020000}"/>
    <cellStyle name="60% - Accent3 10" xfId="397" xr:uid="{00000000-0005-0000-0000-00001D020000}"/>
    <cellStyle name="60% - Accent3 11" xfId="439" xr:uid="{00000000-0005-0000-0000-00001E020000}"/>
    <cellStyle name="60% - Accent3 12" xfId="481" xr:uid="{00000000-0005-0000-0000-00001F020000}"/>
    <cellStyle name="60% - Accent3 13" xfId="524" xr:uid="{00000000-0005-0000-0000-000020020000}"/>
    <cellStyle name="60% - Accent3 14" xfId="567" xr:uid="{00000000-0005-0000-0000-000021020000}"/>
    <cellStyle name="60% - Accent3 15" xfId="610" xr:uid="{00000000-0005-0000-0000-000022020000}"/>
    <cellStyle name="60% - Accent3 16" xfId="653" xr:uid="{00000000-0005-0000-0000-000023020000}"/>
    <cellStyle name="60% - Accent3 17" xfId="696" xr:uid="{00000000-0005-0000-0000-000024020000}"/>
    <cellStyle name="60% - Accent3 18" xfId="739" xr:uid="{00000000-0005-0000-0000-000025020000}"/>
    <cellStyle name="60% - Accent3 19" xfId="782" xr:uid="{00000000-0005-0000-0000-000026020000}"/>
    <cellStyle name="60% - Accent3 2" xfId="58" xr:uid="{00000000-0005-0000-0000-000027020000}"/>
    <cellStyle name="60% - Accent3 20" xfId="825" xr:uid="{00000000-0005-0000-0000-000028020000}"/>
    <cellStyle name="60% - Accent3 21" xfId="868" xr:uid="{00000000-0005-0000-0000-000029020000}"/>
    <cellStyle name="60% - Accent3 22" xfId="911" xr:uid="{00000000-0005-0000-0000-00002A020000}"/>
    <cellStyle name="60% - Accent3 23" xfId="954" xr:uid="{00000000-0005-0000-0000-00002B020000}"/>
    <cellStyle name="60% - Accent3 24" xfId="997" xr:uid="{00000000-0005-0000-0000-00002C020000}"/>
    <cellStyle name="60% - Accent3 25" xfId="1040" xr:uid="{00000000-0005-0000-0000-00002D020000}"/>
    <cellStyle name="60% - Accent3 26" xfId="1083" xr:uid="{00000000-0005-0000-0000-00002E020000}"/>
    <cellStyle name="60% - Accent3 27" xfId="1126" xr:uid="{00000000-0005-0000-0000-00002F020000}"/>
    <cellStyle name="60% - Accent3 28" xfId="1169" xr:uid="{00000000-0005-0000-0000-000030020000}"/>
    <cellStyle name="60% - Accent3 29" xfId="1212" xr:uid="{00000000-0005-0000-0000-000031020000}"/>
    <cellStyle name="60% - Accent3 3" xfId="102" xr:uid="{00000000-0005-0000-0000-000032020000}"/>
    <cellStyle name="60% - Accent3 30" xfId="1255" xr:uid="{00000000-0005-0000-0000-000033020000}"/>
    <cellStyle name="60% - Accent3 31" xfId="1298" xr:uid="{00000000-0005-0000-0000-000034020000}"/>
    <cellStyle name="60% - Accent3 32" xfId="1341" xr:uid="{00000000-0005-0000-0000-000035020000}"/>
    <cellStyle name="60% - Accent3 33" xfId="1384" xr:uid="{00000000-0005-0000-0000-000036020000}"/>
    <cellStyle name="60% - Accent3 34" xfId="1426" xr:uid="{00000000-0005-0000-0000-000037020000}"/>
    <cellStyle name="60% - Accent3 35" xfId="1469" xr:uid="{00000000-0005-0000-0000-000038020000}"/>
    <cellStyle name="60% - Accent3 36" xfId="1511" xr:uid="{00000000-0005-0000-0000-000039020000}"/>
    <cellStyle name="60% - Accent3 37" xfId="1552" xr:uid="{00000000-0005-0000-0000-00003A020000}"/>
    <cellStyle name="60% - Accent3 38" xfId="1593" xr:uid="{00000000-0005-0000-0000-00003B020000}"/>
    <cellStyle name="60% - Accent3 4" xfId="143" xr:uid="{00000000-0005-0000-0000-00003C020000}"/>
    <cellStyle name="60% - Accent3 5" xfId="184" xr:uid="{00000000-0005-0000-0000-00003D020000}"/>
    <cellStyle name="60% - Accent3 6" xfId="225" xr:uid="{00000000-0005-0000-0000-00003E020000}"/>
    <cellStyle name="60% - Accent3 7" xfId="268" xr:uid="{00000000-0005-0000-0000-00003F020000}"/>
    <cellStyle name="60% - Accent3 8" xfId="311" xr:uid="{00000000-0005-0000-0000-000040020000}"/>
    <cellStyle name="60% - Accent3 9" xfId="354" xr:uid="{00000000-0005-0000-0000-000041020000}"/>
    <cellStyle name="60% - Accent4 10" xfId="398" xr:uid="{00000000-0005-0000-0000-000042020000}"/>
    <cellStyle name="60% - Accent4 11" xfId="440" xr:uid="{00000000-0005-0000-0000-000043020000}"/>
    <cellStyle name="60% - Accent4 12" xfId="482" xr:uid="{00000000-0005-0000-0000-000044020000}"/>
    <cellStyle name="60% - Accent4 13" xfId="525" xr:uid="{00000000-0005-0000-0000-000045020000}"/>
    <cellStyle name="60% - Accent4 14" xfId="568" xr:uid="{00000000-0005-0000-0000-000046020000}"/>
    <cellStyle name="60% - Accent4 15" xfId="611" xr:uid="{00000000-0005-0000-0000-000047020000}"/>
    <cellStyle name="60% - Accent4 16" xfId="654" xr:uid="{00000000-0005-0000-0000-000048020000}"/>
    <cellStyle name="60% - Accent4 17" xfId="697" xr:uid="{00000000-0005-0000-0000-000049020000}"/>
    <cellStyle name="60% - Accent4 18" xfId="740" xr:uid="{00000000-0005-0000-0000-00004A020000}"/>
    <cellStyle name="60% - Accent4 19" xfId="783" xr:uid="{00000000-0005-0000-0000-00004B020000}"/>
    <cellStyle name="60% - Accent4 2" xfId="59" xr:uid="{00000000-0005-0000-0000-00004C020000}"/>
    <cellStyle name="60% - Accent4 20" xfId="826" xr:uid="{00000000-0005-0000-0000-00004D020000}"/>
    <cellStyle name="60% - Accent4 21" xfId="869" xr:uid="{00000000-0005-0000-0000-00004E020000}"/>
    <cellStyle name="60% - Accent4 22" xfId="912" xr:uid="{00000000-0005-0000-0000-00004F020000}"/>
    <cellStyle name="60% - Accent4 23" xfId="955" xr:uid="{00000000-0005-0000-0000-000050020000}"/>
    <cellStyle name="60% - Accent4 24" xfId="998" xr:uid="{00000000-0005-0000-0000-000051020000}"/>
    <cellStyle name="60% - Accent4 25" xfId="1041" xr:uid="{00000000-0005-0000-0000-000052020000}"/>
    <cellStyle name="60% - Accent4 26" xfId="1084" xr:uid="{00000000-0005-0000-0000-000053020000}"/>
    <cellStyle name="60% - Accent4 27" xfId="1127" xr:uid="{00000000-0005-0000-0000-000054020000}"/>
    <cellStyle name="60% - Accent4 28" xfId="1170" xr:uid="{00000000-0005-0000-0000-000055020000}"/>
    <cellStyle name="60% - Accent4 29" xfId="1213" xr:uid="{00000000-0005-0000-0000-000056020000}"/>
    <cellStyle name="60% - Accent4 3" xfId="103" xr:uid="{00000000-0005-0000-0000-000057020000}"/>
    <cellStyle name="60% - Accent4 30" xfId="1256" xr:uid="{00000000-0005-0000-0000-000058020000}"/>
    <cellStyle name="60% - Accent4 31" xfId="1299" xr:uid="{00000000-0005-0000-0000-000059020000}"/>
    <cellStyle name="60% - Accent4 32" xfId="1342" xr:uid="{00000000-0005-0000-0000-00005A020000}"/>
    <cellStyle name="60% - Accent4 33" xfId="1385" xr:uid="{00000000-0005-0000-0000-00005B020000}"/>
    <cellStyle name="60% - Accent4 34" xfId="1427" xr:uid="{00000000-0005-0000-0000-00005C020000}"/>
    <cellStyle name="60% - Accent4 35" xfId="1470" xr:uid="{00000000-0005-0000-0000-00005D020000}"/>
    <cellStyle name="60% - Accent4 36" xfId="1512" xr:uid="{00000000-0005-0000-0000-00005E020000}"/>
    <cellStyle name="60% - Accent4 37" xfId="1553" xr:uid="{00000000-0005-0000-0000-00005F020000}"/>
    <cellStyle name="60% - Accent4 38" xfId="1594" xr:uid="{00000000-0005-0000-0000-000060020000}"/>
    <cellStyle name="60% - Accent4 4" xfId="144" xr:uid="{00000000-0005-0000-0000-000061020000}"/>
    <cellStyle name="60% - Accent4 5" xfId="185" xr:uid="{00000000-0005-0000-0000-000062020000}"/>
    <cellStyle name="60% - Accent4 6" xfId="226" xr:uid="{00000000-0005-0000-0000-000063020000}"/>
    <cellStyle name="60% - Accent4 7" xfId="269" xr:uid="{00000000-0005-0000-0000-000064020000}"/>
    <cellStyle name="60% - Accent4 8" xfId="312" xr:uid="{00000000-0005-0000-0000-000065020000}"/>
    <cellStyle name="60% - Accent4 9" xfId="355" xr:uid="{00000000-0005-0000-0000-000066020000}"/>
    <cellStyle name="60% - Accent5 10" xfId="399" xr:uid="{00000000-0005-0000-0000-000067020000}"/>
    <cellStyle name="60% - Accent5 11" xfId="441" xr:uid="{00000000-0005-0000-0000-000068020000}"/>
    <cellStyle name="60% - Accent5 12" xfId="483" xr:uid="{00000000-0005-0000-0000-000069020000}"/>
    <cellStyle name="60% - Accent5 13" xfId="526" xr:uid="{00000000-0005-0000-0000-00006A020000}"/>
    <cellStyle name="60% - Accent5 14" xfId="569" xr:uid="{00000000-0005-0000-0000-00006B020000}"/>
    <cellStyle name="60% - Accent5 15" xfId="612" xr:uid="{00000000-0005-0000-0000-00006C020000}"/>
    <cellStyle name="60% - Accent5 16" xfId="655" xr:uid="{00000000-0005-0000-0000-00006D020000}"/>
    <cellStyle name="60% - Accent5 17" xfId="698" xr:uid="{00000000-0005-0000-0000-00006E020000}"/>
    <cellStyle name="60% - Accent5 18" xfId="741" xr:uid="{00000000-0005-0000-0000-00006F020000}"/>
    <cellStyle name="60% - Accent5 19" xfId="784" xr:uid="{00000000-0005-0000-0000-000070020000}"/>
    <cellStyle name="60% - Accent5 2" xfId="60" xr:uid="{00000000-0005-0000-0000-000071020000}"/>
    <cellStyle name="60% - Accent5 20" xfId="827" xr:uid="{00000000-0005-0000-0000-000072020000}"/>
    <cellStyle name="60% - Accent5 21" xfId="870" xr:uid="{00000000-0005-0000-0000-000073020000}"/>
    <cellStyle name="60% - Accent5 22" xfId="913" xr:uid="{00000000-0005-0000-0000-000074020000}"/>
    <cellStyle name="60% - Accent5 23" xfId="956" xr:uid="{00000000-0005-0000-0000-000075020000}"/>
    <cellStyle name="60% - Accent5 24" xfId="999" xr:uid="{00000000-0005-0000-0000-000076020000}"/>
    <cellStyle name="60% - Accent5 25" xfId="1042" xr:uid="{00000000-0005-0000-0000-000077020000}"/>
    <cellStyle name="60% - Accent5 26" xfId="1085" xr:uid="{00000000-0005-0000-0000-000078020000}"/>
    <cellStyle name="60% - Accent5 27" xfId="1128" xr:uid="{00000000-0005-0000-0000-000079020000}"/>
    <cellStyle name="60% - Accent5 28" xfId="1171" xr:uid="{00000000-0005-0000-0000-00007A020000}"/>
    <cellStyle name="60% - Accent5 29" xfId="1214" xr:uid="{00000000-0005-0000-0000-00007B020000}"/>
    <cellStyle name="60% - Accent5 3" xfId="104" xr:uid="{00000000-0005-0000-0000-00007C020000}"/>
    <cellStyle name="60% - Accent5 30" xfId="1257" xr:uid="{00000000-0005-0000-0000-00007D020000}"/>
    <cellStyle name="60% - Accent5 31" xfId="1300" xr:uid="{00000000-0005-0000-0000-00007E020000}"/>
    <cellStyle name="60% - Accent5 32" xfId="1343" xr:uid="{00000000-0005-0000-0000-00007F020000}"/>
    <cellStyle name="60% - Accent5 33" xfId="1386" xr:uid="{00000000-0005-0000-0000-000080020000}"/>
    <cellStyle name="60% - Accent5 34" xfId="1428" xr:uid="{00000000-0005-0000-0000-000081020000}"/>
    <cellStyle name="60% - Accent5 35" xfId="1471" xr:uid="{00000000-0005-0000-0000-000082020000}"/>
    <cellStyle name="60% - Accent5 36" xfId="1513" xr:uid="{00000000-0005-0000-0000-000083020000}"/>
    <cellStyle name="60% - Accent5 37" xfId="1554" xr:uid="{00000000-0005-0000-0000-000084020000}"/>
    <cellStyle name="60% - Accent5 38" xfId="1595" xr:uid="{00000000-0005-0000-0000-000085020000}"/>
    <cellStyle name="60% - Accent5 4" xfId="145" xr:uid="{00000000-0005-0000-0000-000086020000}"/>
    <cellStyle name="60% - Accent5 5" xfId="186" xr:uid="{00000000-0005-0000-0000-000087020000}"/>
    <cellStyle name="60% - Accent5 6" xfId="227" xr:uid="{00000000-0005-0000-0000-000088020000}"/>
    <cellStyle name="60% - Accent5 7" xfId="270" xr:uid="{00000000-0005-0000-0000-000089020000}"/>
    <cellStyle name="60% - Accent5 8" xfId="313" xr:uid="{00000000-0005-0000-0000-00008A020000}"/>
    <cellStyle name="60% - Accent5 9" xfId="356" xr:uid="{00000000-0005-0000-0000-00008B020000}"/>
    <cellStyle name="60% - Accent6 10" xfId="400" xr:uid="{00000000-0005-0000-0000-00008C020000}"/>
    <cellStyle name="60% - Accent6 11" xfId="442" xr:uid="{00000000-0005-0000-0000-00008D020000}"/>
    <cellStyle name="60% - Accent6 12" xfId="484" xr:uid="{00000000-0005-0000-0000-00008E020000}"/>
    <cellStyle name="60% - Accent6 13" xfId="527" xr:uid="{00000000-0005-0000-0000-00008F020000}"/>
    <cellStyle name="60% - Accent6 14" xfId="570" xr:uid="{00000000-0005-0000-0000-000090020000}"/>
    <cellStyle name="60% - Accent6 15" xfId="613" xr:uid="{00000000-0005-0000-0000-000091020000}"/>
    <cellStyle name="60% - Accent6 16" xfId="656" xr:uid="{00000000-0005-0000-0000-000092020000}"/>
    <cellStyle name="60% - Accent6 17" xfId="699" xr:uid="{00000000-0005-0000-0000-000093020000}"/>
    <cellStyle name="60% - Accent6 18" xfId="742" xr:uid="{00000000-0005-0000-0000-000094020000}"/>
    <cellStyle name="60% - Accent6 19" xfId="785" xr:uid="{00000000-0005-0000-0000-000095020000}"/>
    <cellStyle name="60% - Accent6 2" xfId="61" xr:uid="{00000000-0005-0000-0000-000096020000}"/>
    <cellStyle name="60% - Accent6 20" xfId="828" xr:uid="{00000000-0005-0000-0000-000097020000}"/>
    <cellStyle name="60% - Accent6 21" xfId="871" xr:uid="{00000000-0005-0000-0000-000098020000}"/>
    <cellStyle name="60% - Accent6 22" xfId="914" xr:uid="{00000000-0005-0000-0000-000099020000}"/>
    <cellStyle name="60% - Accent6 23" xfId="957" xr:uid="{00000000-0005-0000-0000-00009A020000}"/>
    <cellStyle name="60% - Accent6 24" xfId="1000" xr:uid="{00000000-0005-0000-0000-00009B020000}"/>
    <cellStyle name="60% - Accent6 25" xfId="1043" xr:uid="{00000000-0005-0000-0000-00009C020000}"/>
    <cellStyle name="60% - Accent6 26" xfId="1086" xr:uid="{00000000-0005-0000-0000-00009D020000}"/>
    <cellStyle name="60% - Accent6 27" xfId="1129" xr:uid="{00000000-0005-0000-0000-00009E020000}"/>
    <cellStyle name="60% - Accent6 28" xfId="1172" xr:uid="{00000000-0005-0000-0000-00009F020000}"/>
    <cellStyle name="60% - Accent6 29" xfId="1215" xr:uid="{00000000-0005-0000-0000-0000A0020000}"/>
    <cellStyle name="60% - Accent6 3" xfId="105" xr:uid="{00000000-0005-0000-0000-0000A1020000}"/>
    <cellStyle name="60% - Accent6 30" xfId="1258" xr:uid="{00000000-0005-0000-0000-0000A2020000}"/>
    <cellStyle name="60% - Accent6 31" xfId="1301" xr:uid="{00000000-0005-0000-0000-0000A3020000}"/>
    <cellStyle name="60% - Accent6 32" xfId="1344" xr:uid="{00000000-0005-0000-0000-0000A4020000}"/>
    <cellStyle name="60% - Accent6 33" xfId="1387" xr:uid="{00000000-0005-0000-0000-0000A5020000}"/>
    <cellStyle name="60% - Accent6 34" xfId="1429" xr:uid="{00000000-0005-0000-0000-0000A6020000}"/>
    <cellStyle name="60% - Accent6 35" xfId="1472" xr:uid="{00000000-0005-0000-0000-0000A7020000}"/>
    <cellStyle name="60% - Accent6 36" xfId="1514" xr:uid="{00000000-0005-0000-0000-0000A8020000}"/>
    <cellStyle name="60% - Accent6 37" xfId="1555" xr:uid="{00000000-0005-0000-0000-0000A9020000}"/>
    <cellStyle name="60% - Accent6 38" xfId="1596" xr:uid="{00000000-0005-0000-0000-0000AA020000}"/>
    <cellStyle name="60% - Accent6 4" xfId="146" xr:uid="{00000000-0005-0000-0000-0000AB020000}"/>
    <cellStyle name="60% - Accent6 5" xfId="187" xr:uid="{00000000-0005-0000-0000-0000AC020000}"/>
    <cellStyle name="60% - Accent6 6" xfId="228" xr:uid="{00000000-0005-0000-0000-0000AD020000}"/>
    <cellStyle name="60% - Accent6 7" xfId="271" xr:uid="{00000000-0005-0000-0000-0000AE020000}"/>
    <cellStyle name="60% - Accent6 8" xfId="314" xr:uid="{00000000-0005-0000-0000-0000AF020000}"/>
    <cellStyle name="60% - Accent6 9" xfId="357" xr:uid="{00000000-0005-0000-0000-0000B0020000}"/>
    <cellStyle name="Accent1 10" xfId="401" xr:uid="{00000000-0005-0000-0000-0000B1020000}"/>
    <cellStyle name="Accent1 11" xfId="443" xr:uid="{00000000-0005-0000-0000-0000B2020000}"/>
    <cellStyle name="Accent1 12" xfId="485" xr:uid="{00000000-0005-0000-0000-0000B3020000}"/>
    <cellStyle name="Accent1 13" xfId="528" xr:uid="{00000000-0005-0000-0000-0000B4020000}"/>
    <cellStyle name="Accent1 14" xfId="571" xr:uid="{00000000-0005-0000-0000-0000B5020000}"/>
    <cellStyle name="Accent1 15" xfId="614" xr:uid="{00000000-0005-0000-0000-0000B6020000}"/>
    <cellStyle name="Accent1 16" xfId="657" xr:uid="{00000000-0005-0000-0000-0000B7020000}"/>
    <cellStyle name="Accent1 17" xfId="700" xr:uid="{00000000-0005-0000-0000-0000B8020000}"/>
    <cellStyle name="Accent1 18" xfId="743" xr:uid="{00000000-0005-0000-0000-0000B9020000}"/>
    <cellStyle name="Accent1 19" xfId="786" xr:uid="{00000000-0005-0000-0000-0000BA020000}"/>
    <cellStyle name="Accent1 2" xfId="62" xr:uid="{00000000-0005-0000-0000-0000BB020000}"/>
    <cellStyle name="Accent1 20" xfId="829" xr:uid="{00000000-0005-0000-0000-0000BC020000}"/>
    <cellStyle name="Accent1 21" xfId="872" xr:uid="{00000000-0005-0000-0000-0000BD020000}"/>
    <cellStyle name="Accent1 22" xfId="915" xr:uid="{00000000-0005-0000-0000-0000BE020000}"/>
    <cellStyle name="Accent1 23" xfId="958" xr:uid="{00000000-0005-0000-0000-0000BF020000}"/>
    <cellStyle name="Accent1 24" xfId="1001" xr:uid="{00000000-0005-0000-0000-0000C0020000}"/>
    <cellStyle name="Accent1 25" xfId="1044" xr:uid="{00000000-0005-0000-0000-0000C1020000}"/>
    <cellStyle name="Accent1 26" xfId="1087" xr:uid="{00000000-0005-0000-0000-0000C2020000}"/>
    <cellStyle name="Accent1 27" xfId="1130" xr:uid="{00000000-0005-0000-0000-0000C3020000}"/>
    <cellStyle name="Accent1 28" xfId="1173" xr:uid="{00000000-0005-0000-0000-0000C4020000}"/>
    <cellStyle name="Accent1 29" xfId="1216" xr:uid="{00000000-0005-0000-0000-0000C5020000}"/>
    <cellStyle name="Accent1 3" xfId="106" xr:uid="{00000000-0005-0000-0000-0000C6020000}"/>
    <cellStyle name="Accent1 30" xfId="1259" xr:uid="{00000000-0005-0000-0000-0000C7020000}"/>
    <cellStyle name="Accent1 31" xfId="1302" xr:uid="{00000000-0005-0000-0000-0000C8020000}"/>
    <cellStyle name="Accent1 32" xfId="1345" xr:uid="{00000000-0005-0000-0000-0000C9020000}"/>
    <cellStyle name="Accent1 33" xfId="1388" xr:uid="{00000000-0005-0000-0000-0000CA020000}"/>
    <cellStyle name="Accent1 34" xfId="1430" xr:uid="{00000000-0005-0000-0000-0000CB020000}"/>
    <cellStyle name="Accent1 35" xfId="1473" xr:uid="{00000000-0005-0000-0000-0000CC020000}"/>
    <cellStyle name="Accent1 36" xfId="1515" xr:uid="{00000000-0005-0000-0000-0000CD020000}"/>
    <cellStyle name="Accent1 37" xfId="1556" xr:uid="{00000000-0005-0000-0000-0000CE020000}"/>
    <cellStyle name="Accent1 38" xfId="1597" xr:uid="{00000000-0005-0000-0000-0000CF020000}"/>
    <cellStyle name="Accent1 4" xfId="147" xr:uid="{00000000-0005-0000-0000-0000D0020000}"/>
    <cellStyle name="Accent1 5" xfId="188" xr:uid="{00000000-0005-0000-0000-0000D1020000}"/>
    <cellStyle name="Accent1 6" xfId="229" xr:uid="{00000000-0005-0000-0000-0000D2020000}"/>
    <cellStyle name="Accent1 7" xfId="272" xr:uid="{00000000-0005-0000-0000-0000D3020000}"/>
    <cellStyle name="Accent1 8" xfId="315" xr:uid="{00000000-0005-0000-0000-0000D4020000}"/>
    <cellStyle name="Accent1 9" xfId="358" xr:uid="{00000000-0005-0000-0000-0000D5020000}"/>
    <cellStyle name="Accent2 10" xfId="402" xr:uid="{00000000-0005-0000-0000-0000D6020000}"/>
    <cellStyle name="Accent2 11" xfId="444" xr:uid="{00000000-0005-0000-0000-0000D7020000}"/>
    <cellStyle name="Accent2 12" xfId="486" xr:uid="{00000000-0005-0000-0000-0000D8020000}"/>
    <cellStyle name="Accent2 13" xfId="529" xr:uid="{00000000-0005-0000-0000-0000D9020000}"/>
    <cellStyle name="Accent2 14" xfId="572" xr:uid="{00000000-0005-0000-0000-0000DA020000}"/>
    <cellStyle name="Accent2 15" xfId="615" xr:uid="{00000000-0005-0000-0000-0000DB020000}"/>
    <cellStyle name="Accent2 16" xfId="658" xr:uid="{00000000-0005-0000-0000-0000DC020000}"/>
    <cellStyle name="Accent2 17" xfId="701" xr:uid="{00000000-0005-0000-0000-0000DD020000}"/>
    <cellStyle name="Accent2 18" xfId="744" xr:uid="{00000000-0005-0000-0000-0000DE020000}"/>
    <cellStyle name="Accent2 19" xfId="787" xr:uid="{00000000-0005-0000-0000-0000DF020000}"/>
    <cellStyle name="Accent2 2" xfId="63" xr:uid="{00000000-0005-0000-0000-0000E0020000}"/>
    <cellStyle name="Accent2 20" xfId="830" xr:uid="{00000000-0005-0000-0000-0000E1020000}"/>
    <cellStyle name="Accent2 21" xfId="873" xr:uid="{00000000-0005-0000-0000-0000E2020000}"/>
    <cellStyle name="Accent2 22" xfId="916" xr:uid="{00000000-0005-0000-0000-0000E3020000}"/>
    <cellStyle name="Accent2 23" xfId="959" xr:uid="{00000000-0005-0000-0000-0000E4020000}"/>
    <cellStyle name="Accent2 24" xfId="1002" xr:uid="{00000000-0005-0000-0000-0000E5020000}"/>
    <cellStyle name="Accent2 25" xfId="1045" xr:uid="{00000000-0005-0000-0000-0000E6020000}"/>
    <cellStyle name="Accent2 26" xfId="1088" xr:uid="{00000000-0005-0000-0000-0000E7020000}"/>
    <cellStyle name="Accent2 27" xfId="1131" xr:uid="{00000000-0005-0000-0000-0000E8020000}"/>
    <cellStyle name="Accent2 28" xfId="1174" xr:uid="{00000000-0005-0000-0000-0000E9020000}"/>
    <cellStyle name="Accent2 29" xfId="1217" xr:uid="{00000000-0005-0000-0000-0000EA020000}"/>
    <cellStyle name="Accent2 3" xfId="107" xr:uid="{00000000-0005-0000-0000-0000EB020000}"/>
    <cellStyle name="Accent2 30" xfId="1260" xr:uid="{00000000-0005-0000-0000-0000EC020000}"/>
    <cellStyle name="Accent2 31" xfId="1303" xr:uid="{00000000-0005-0000-0000-0000ED020000}"/>
    <cellStyle name="Accent2 32" xfId="1346" xr:uid="{00000000-0005-0000-0000-0000EE020000}"/>
    <cellStyle name="Accent2 33" xfId="1389" xr:uid="{00000000-0005-0000-0000-0000EF020000}"/>
    <cellStyle name="Accent2 34" xfId="1431" xr:uid="{00000000-0005-0000-0000-0000F0020000}"/>
    <cellStyle name="Accent2 35" xfId="1474" xr:uid="{00000000-0005-0000-0000-0000F1020000}"/>
    <cellStyle name="Accent2 36" xfId="1516" xr:uid="{00000000-0005-0000-0000-0000F2020000}"/>
    <cellStyle name="Accent2 37" xfId="1557" xr:uid="{00000000-0005-0000-0000-0000F3020000}"/>
    <cellStyle name="Accent2 38" xfId="1598" xr:uid="{00000000-0005-0000-0000-0000F4020000}"/>
    <cellStyle name="Accent2 4" xfId="148" xr:uid="{00000000-0005-0000-0000-0000F5020000}"/>
    <cellStyle name="Accent2 5" xfId="189" xr:uid="{00000000-0005-0000-0000-0000F6020000}"/>
    <cellStyle name="Accent2 6" xfId="230" xr:uid="{00000000-0005-0000-0000-0000F7020000}"/>
    <cellStyle name="Accent2 7" xfId="273" xr:uid="{00000000-0005-0000-0000-0000F8020000}"/>
    <cellStyle name="Accent2 8" xfId="316" xr:uid="{00000000-0005-0000-0000-0000F9020000}"/>
    <cellStyle name="Accent2 9" xfId="359" xr:uid="{00000000-0005-0000-0000-0000FA020000}"/>
    <cellStyle name="Accent3 10" xfId="403" xr:uid="{00000000-0005-0000-0000-0000FB020000}"/>
    <cellStyle name="Accent3 11" xfId="445" xr:uid="{00000000-0005-0000-0000-0000FC020000}"/>
    <cellStyle name="Accent3 12" xfId="487" xr:uid="{00000000-0005-0000-0000-0000FD020000}"/>
    <cellStyle name="Accent3 13" xfId="530" xr:uid="{00000000-0005-0000-0000-0000FE020000}"/>
    <cellStyle name="Accent3 14" xfId="573" xr:uid="{00000000-0005-0000-0000-0000FF020000}"/>
    <cellStyle name="Accent3 15" xfId="616" xr:uid="{00000000-0005-0000-0000-000000030000}"/>
    <cellStyle name="Accent3 16" xfId="659" xr:uid="{00000000-0005-0000-0000-000001030000}"/>
    <cellStyle name="Accent3 17" xfId="702" xr:uid="{00000000-0005-0000-0000-000002030000}"/>
    <cellStyle name="Accent3 18" xfId="745" xr:uid="{00000000-0005-0000-0000-000003030000}"/>
    <cellStyle name="Accent3 19" xfId="788" xr:uid="{00000000-0005-0000-0000-000004030000}"/>
    <cellStyle name="Accent3 2" xfId="64" xr:uid="{00000000-0005-0000-0000-000005030000}"/>
    <cellStyle name="Accent3 20" xfId="831" xr:uid="{00000000-0005-0000-0000-000006030000}"/>
    <cellStyle name="Accent3 21" xfId="874" xr:uid="{00000000-0005-0000-0000-000007030000}"/>
    <cellStyle name="Accent3 22" xfId="917" xr:uid="{00000000-0005-0000-0000-000008030000}"/>
    <cellStyle name="Accent3 23" xfId="960" xr:uid="{00000000-0005-0000-0000-000009030000}"/>
    <cellStyle name="Accent3 24" xfId="1003" xr:uid="{00000000-0005-0000-0000-00000A030000}"/>
    <cellStyle name="Accent3 25" xfId="1046" xr:uid="{00000000-0005-0000-0000-00000B030000}"/>
    <cellStyle name="Accent3 26" xfId="1089" xr:uid="{00000000-0005-0000-0000-00000C030000}"/>
    <cellStyle name="Accent3 27" xfId="1132" xr:uid="{00000000-0005-0000-0000-00000D030000}"/>
    <cellStyle name="Accent3 28" xfId="1175" xr:uid="{00000000-0005-0000-0000-00000E030000}"/>
    <cellStyle name="Accent3 29" xfId="1218" xr:uid="{00000000-0005-0000-0000-00000F030000}"/>
    <cellStyle name="Accent3 3" xfId="108" xr:uid="{00000000-0005-0000-0000-000010030000}"/>
    <cellStyle name="Accent3 30" xfId="1261" xr:uid="{00000000-0005-0000-0000-000011030000}"/>
    <cellStyle name="Accent3 31" xfId="1304" xr:uid="{00000000-0005-0000-0000-000012030000}"/>
    <cellStyle name="Accent3 32" xfId="1347" xr:uid="{00000000-0005-0000-0000-000013030000}"/>
    <cellStyle name="Accent3 33" xfId="1390" xr:uid="{00000000-0005-0000-0000-000014030000}"/>
    <cellStyle name="Accent3 34" xfId="1432" xr:uid="{00000000-0005-0000-0000-000015030000}"/>
    <cellStyle name="Accent3 35" xfId="1475" xr:uid="{00000000-0005-0000-0000-000016030000}"/>
    <cellStyle name="Accent3 36" xfId="1517" xr:uid="{00000000-0005-0000-0000-000017030000}"/>
    <cellStyle name="Accent3 37" xfId="1558" xr:uid="{00000000-0005-0000-0000-000018030000}"/>
    <cellStyle name="Accent3 38" xfId="1599" xr:uid="{00000000-0005-0000-0000-000019030000}"/>
    <cellStyle name="Accent3 4" xfId="149" xr:uid="{00000000-0005-0000-0000-00001A030000}"/>
    <cellStyle name="Accent3 5" xfId="190" xr:uid="{00000000-0005-0000-0000-00001B030000}"/>
    <cellStyle name="Accent3 6" xfId="231" xr:uid="{00000000-0005-0000-0000-00001C030000}"/>
    <cellStyle name="Accent3 7" xfId="274" xr:uid="{00000000-0005-0000-0000-00001D030000}"/>
    <cellStyle name="Accent3 8" xfId="317" xr:uid="{00000000-0005-0000-0000-00001E030000}"/>
    <cellStyle name="Accent3 9" xfId="360" xr:uid="{00000000-0005-0000-0000-00001F030000}"/>
    <cellStyle name="Accent4 10" xfId="404" xr:uid="{00000000-0005-0000-0000-000020030000}"/>
    <cellStyle name="Accent4 11" xfId="446" xr:uid="{00000000-0005-0000-0000-000021030000}"/>
    <cellStyle name="Accent4 12" xfId="488" xr:uid="{00000000-0005-0000-0000-000022030000}"/>
    <cellStyle name="Accent4 13" xfId="531" xr:uid="{00000000-0005-0000-0000-000023030000}"/>
    <cellStyle name="Accent4 14" xfId="574" xr:uid="{00000000-0005-0000-0000-000024030000}"/>
    <cellStyle name="Accent4 15" xfId="617" xr:uid="{00000000-0005-0000-0000-000025030000}"/>
    <cellStyle name="Accent4 16" xfId="660" xr:uid="{00000000-0005-0000-0000-000026030000}"/>
    <cellStyle name="Accent4 17" xfId="703" xr:uid="{00000000-0005-0000-0000-000027030000}"/>
    <cellStyle name="Accent4 18" xfId="746" xr:uid="{00000000-0005-0000-0000-000028030000}"/>
    <cellStyle name="Accent4 19" xfId="789" xr:uid="{00000000-0005-0000-0000-000029030000}"/>
    <cellStyle name="Accent4 2" xfId="65" xr:uid="{00000000-0005-0000-0000-00002A030000}"/>
    <cellStyle name="Accent4 20" xfId="832" xr:uid="{00000000-0005-0000-0000-00002B030000}"/>
    <cellStyle name="Accent4 21" xfId="875" xr:uid="{00000000-0005-0000-0000-00002C030000}"/>
    <cellStyle name="Accent4 22" xfId="918" xr:uid="{00000000-0005-0000-0000-00002D030000}"/>
    <cellStyle name="Accent4 23" xfId="961" xr:uid="{00000000-0005-0000-0000-00002E030000}"/>
    <cellStyle name="Accent4 24" xfId="1004" xr:uid="{00000000-0005-0000-0000-00002F030000}"/>
    <cellStyle name="Accent4 25" xfId="1047" xr:uid="{00000000-0005-0000-0000-000030030000}"/>
    <cellStyle name="Accent4 26" xfId="1090" xr:uid="{00000000-0005-0000-0000-000031030000}"/>
    <cellStyle name="Accent4 27" xfId="1133" xr:uid="{00000000-0005-0000-0000-000032030000}"/>
    <cellStyle name="Accent4 28" xfId="1176" xr:uid="{00000000-0005-0000-0000-000033030000}"/>
    <cellStyle name="Accent4 29" xfId="1219" xr:uid="{00000000-0005-0000-0000-000034030000}"/>
    <cellStyle name="Accent4 3" xfId="109" xr:uid="{00000000-0005-0000-0000-000035030000}"/>
    <cellStyle name="Accent4 30" xfId="1262" xr:uid="{00000000-0005-0000-0000-000036030000}"/>
    <cellStyle name="Accent4 31" xfId="1305" xr:uid="{00000000-0005-0000-0000-000037030000}"/>
    <cellStyle name="Accent4 32" xfId="1348" xr:uid="{00000000-0005-0000-0000-000038030000}"/>
    <cellStyle name="Accent4 33" xfId="1391" xr:uid="{00000000-0005-0000-0000-000039030000}"/>
    <cellStyle name="Accent4 34" xfId="1433" xr:uid="{00000000-0005-0000-0000-00003A030000}"/>
    <cellStyle name="Accent4 35" xfId="1476" xr:uid="{00000000-0005-0000-0000-00003B030000}"/>
    <cellStyle name="Accent4 36" xfId="1518" xr:uid="{00000000-0005-0000-0000-00003C030000}"/>
    <cellStyle name="Accent4 37" xfId="1559" xr:uid="{00000000-0005-0000-0000-00003D030000}"/>
    <cellStyle name="Accent4 38" xfId="1600" xr:uid="{00000000-0005-0000-0000-00003E030000}"/>
    <cellStyle name="Accent4 4" xfId="150" xr:uid="{00000000-0005-0000-0000-00003F030000}"/>
    <cellStyle name="Accent4 5" xfId="191" xr:uid="{00000000-0005-0000-0000-000040030000}"/>
    <cellStyle name="Accent4 6" xfId="232" xr:uid="{00000000-0005-0000-0000-000041030000}"/>
    <cellStyle name="Accent4 7" xfId="275" xr:uid="{00000000-0005-0000-0000-000042030000}"/>
    <cellStyle name="Accent4 8" xfId="318" xr:uid="{00000000-0005-0000-0000-000043030000}"/>
    <cellStyle name="Accent4 9" xfId="361" xr:uid="{00000000-0005-0000-0000-000044030000}"/>
    <cellStyle name="Accent5 10" xfId="405" xr:uid="{00000000-0005-0000-0000-000045030000}"/>
    <cellStyle name="Accent5 11" xfId="447" xr:uid="{00000000-0005-0000-0000-000046030000}"/>
    <cellStyle name="Accent5 12" xfId="489" xr:uid="{00000000-0005-0000-0000-000047030000}"/>
    <cellStyle name="Accent5 13" xfId="532" xr:uid="{00000000-0005-0000-0000-000048030000}"/>
    <cellStyle name="Accent5 14" xfId="575" xr:uid="{00000000-0005-0000-0000-000049030000}"/>
    <cellStyle name="Accent5 15" xfId="618" xr:uid="{00000000-0005-0000-0000-00004A030000}"/>
    <cellStyle name="Accent5 16" xfId="661" xr:uid="{00000000-0005-0000-0000-00004B030000}"/>
    <cellStyle name="Accent5 17" xfId="704" xr:uid="{00000000-0005-0000-0000-00004C030000}"/>
    <cellStyle name="Accent5 18" xfId="747" xr:uid="{00000000-0005-0000-0000-00004D030000}"/>
    <cellStyle name="Accent5 19" xfId="790" xr:uid="{00000000-0005-0000-0000-00004E030000}"/>
    <cellStyle name="Accent5 2" xfId="66" xr:uid="{00000000-0005-0000-0000-00004F030000}"/>
    <cellStyle name="Accent5 20" xfId="833" xr:uid="{00000000-0005-0000-0000-000050030000}"/>
    <cellStyle name="Accent5 21" xfId="876" xr:uid="{00000000-0005-0000-0000-000051030000}"/>
    <cellStyle name="Accent5 22" xfId="919" xr:uid="{00000000-0005-0000-0000-000052030000}"/>
    <cellStyle name="Accent5 23" xfId="962" xr:uid="{00000000-0005-0000-0000-000053030000}"/>
    <cellStyle name="Accent5 24" xfId="1005" xr:uid="{00000000-0005-0000-0000-000054030000}"/>
    <cellStyle name="Accent5 25" xfId="1048" xr:uid="{00000000-0005-0000-0000-000055030000}"/>
    <cellStyle name="Accent5 26" xfId="1091" xr:uid="{00000000-0005-0000-0000-000056030000}"/>
    <cellStyle name="Accent5 27" xfId="1134" xr:uid="{00000000-0005-0000-0000-000057030000}"/>
    <cellStyle name="Accent5 28" xfId="1177" xr:uid="{00000000-0005-0000-0000-000058030000}"/>
    <cellStyle name="Accent5 29" xfId="1220" xr:uid="{00000000-0005-0000-0000-000059030000}"/>
    <cellStyle name="Accent5 3" xfId="110" xr:uid="{00000000-0005-0000-0000-00005A030000}"/>
    <cellStyle name="Accent5 30" xfId="1263" xr:uid="{00000000-0005-0000-0000-00005B030000}"/>
    <cellStyle name="Accent5 31" xfId="1306" xr:uid="{00000000-0005-0000-0000-00005C030000}"/>
    <cellStyle name="Accent5 32" xfId="1349" xr:uid="{00000000-0005-0000-0000-00005D030000}"/>
    <cellStyle name="Accent5 33" xfId="1392" xr:uid="{00000000-0005-0000-0000-00005E030000}"/>
    <cellStyle name="Accent5 34" xfId="1434" xr:uid="{00000000-0005-0000-0000-00005F030000}"/>
    <cellStyle name="Accent5 35" xfId="1477" xr:uid="{00000000-0005-0000-0000-000060030000}"/>
    <cellStyle name="Accent5 36" xfId="1519" xr:uid="{00000000-0005-0000-0000-000061030000}"/>
    <cellStyle name="Accent5 37" xfId="1560" xr:uid="{00000000-0005-0000-0000-000062030000}"/>
    <cellStyle name="Accent5 38" xfId="1601" xr:uid="{00000000-0005-0000-0000-000063030000}"/>
    <cellStyle name="Accent5 4" xfId="151" xr:uid="{00000000-0005-0000-0000-000064030000}"/>
    <cellStyle name="Accent5 5" xfId="192" xr:uid="{00000000-0005-0000-0000-000065030000}"/>
    <cellStyle name="Accent5 6" xfId="233" xr:uid="{00000000-0005-0000-0000-000066030000}"/>
    <cellStyle name="Accent5 7" xfId="276" xr:uid="{00000000-0005-0000-0000-000067030000}"/>
    <cellStyle name="Accent5 8" xfId="319" xr:uid="{00000000-0005-0000-0000-000068030000}"/>
    <cellStyle name="Accent5 9" xfId="362" xr:uid="{00000000-0005-0000-0000-000069030000}"/>
    <cellStyle name="Accent6 10" xfId="406" xr:uid="{00000000-0005-0000-0000-00006A030000}"/>
    <cellStyle name="Accent6 11" xfId="448" xr:uid="{00000000-0005-0000-0000-00006B030000}"/>
    <cellStyle name="Accent6 12" xfId="490" xr:uid="{00000000-0005-0000-0000-00006C030000}"/>
    <cellStyle name="Accent6 13" xfId="533" xr:uid="{00000000-0005-0000-0000-00006D030000}"/>
    <cellStyle name="Accent6 14" xfId="576" xr:uid="{00000000-0005-0000-0000-00006E030000}"/>
    <cellStyle name="Accent6 15" xfId="619" xr:uid="{00000000-0005-0000-0000-00006F030000}"/>
    <cellStyle name="Accent6 16" xfId="662" xr:uid="{00000000-0005-0000-0000-000070030000}"/>
    <cellStyle name="Accent6 17" xfId="705" xr:uid="{00000000-0005-0000-0000-000071030000}"/>
    <cellStyle name="Accent6 18" xfId="748" xr:uid="{00000000-0005-0000-0000-000072030000}"/>
    <cellStyle name="Accent6 19" xfId="791" xr:uid="{00000000-0005-0000-0000-000073030000}"/>
    <cellStyle name="Accent6 2" xfId="67" xr:uid="{00000000-0005-0000-0000-000074030000}"/>
    <cellStyle name="Accent6 20" xfId="834" xr:uid="{00000000-0005-0000-0000-000075030000}"/>
    <cellStyle name="Accent6 21" xfId="877" xr:uid="{00000000-0005-0000-0000-000076030000}"/>
    <cellStyle name="Accent6 22" xfId="920" xr:uid="{00000000-0005-0000-0000-000077030000}"/>
    <cellStyle name="Accent6 23" xfId="963" xr:uid="{00000000-0005-0000-0000-000078030000}"/>
    <cellStyle name="Accent6 24" xfId="1006" xr:uid="{00000000-0005-0000-0000-000079030000}"/>
    <cellStyle name="Accent6 25" xfId="1049" xr:uid="{00000000-0005-0000-0000-00007A030000}"/>
    <cellStyle name="Accent6 26" xfId="1092" xr:uid="{00000000-0005-0000-0000-00007B030000}"/>
    <cellStyle name="Accent6 27" xfId="1135" xr:uid="{00000000-0005-0000-0000-00007C030000}"/>
    <cellStyle name="Accent6 28" xfId="1178" xr:uid="{00000000-0005-0000-0000-00007D030000}"/>
    <cellStyle name="Accent6 29" xfId="1221" xr:uid="{00000000-0005-0000-0000-00007E030000}"/>
    <cellStyle name="Accent6 3" xfId="111" xr:uid="{00000000-0005-0000-0000-00007F030000}"/>
    <cellStyle name="Accent6 30" xfId="1264" xr:uid="{00000000-0005-0000-0000-000080030000}"/>
    <cellStyle name="Accent6 31" xfId="1307" xr:uid="{00000000-0005-0000-0000-000081030000}"/>
    <cellStyle name="Accent6 32" xfId="1350" xr:uid="{00000000-0005-0000-0000-000082030000}"/>
    <cellStyle name="Accent6 33" xfId="1393" xr:uid="{00000000-0005-0000-0000-000083030000}"/>
    <cellStyle name="Accent6 34" xfId="1435" xr:uid="{00000000-0005-0000-0000-000084030000}"/>
    <cellStyle name="Accent6 35" xfId="1478" xr:uid="{00000000-0005-0000-0000-000085030000}"/>
    <cellStyle name="Accent6 36" xfId="1520" xr:uid="{00000000-0005-0000-0000-000086030000}"/>
    <cellStyle name="Accent6 37" xfId="1561" xr:uid="{00000000-0005-0000-0000-000087030000}"/>
    <cellStyle name="Accent6 38" xfId="1602" xr:uid="{00000000-0005-0000-0000-000088030000}"/>
    <cellStyle name="Accent6 4" xfId="152" xr:uid="{00000000-0005-0000-0000-000089030000}"/>
    <cellStyle name="Accent6 5" xfId="193" xr:uid="{00000000-0005-0000-0000-00008A030000}"/>
    <cellStyle name="Accent6 6" xfId="234" xr:uid="{00000000-0005-0000-0000-00008B030000}"/>
    <cellStyle name="Accent6 7" xfId="277" xr:uid="{00000000-0005-0000-0000-00008C030000}"/>
    <cellStyle name="Accent6 8" xfId="320" xr:uid="{00000000-0005-0000-0000-00008D030000}"/>
    <cellStyle name="Accent6 9" xfId="363" xr:uid="{00000000-0005-0000-0000-00008E030000}"/>
    <cellStyle name="Bad 10" xfId="407" xr:uid="{00000000-0005-0000-0000-00008F030000}"/>
    <cellStyle name="Bad 11" xfId="449" xr:uid="{00000000-0005-0000-0000-000090030000}"/>
    <cellStyle name="Bad 12" xfId="491" xr:uid="{00000000-0005-0000-0000-000091030000}"/>
    <cellStyle name="Bad 13" xfId="534" xr:uid="{00000000-0005-0000-0000-000092030000}"/>
    <cellStyle name="Bad 14" xfId="577" xr:uid="{00000000-0005-0000-0000-000093030000}"/>
    <cellStyle name="Bad 15" xfId="620" xr:uid="{00000000-0005-0000-0000-000094030000}"/>
    <cellStyle name="Bad 16" xfId="663" xr:uid="{00000000-0005-0000-0000-000095030000}"/>
    <cellStyle name="Bad 17" xfId="706" xr:uid="{00000000-0005-0000-0000-000096030000}"/>
    <cellStyle name="Bad 18" xfId="749" xr:uid="{00000000-0005-0000-0000-000097030000}"/>
    <cellStyle name="Bad 19" xfId="792" xr:uid="{00000000-0005-0000-0000-000098030000}"/>
    <cellStyle name="Bad 2" xfId="68" xr:uid="{00000000-0005-0000-0000-000099030000}"/>
    <cellStyle name="Bad 20" xfId="835" xr:uid="{00000000-0005-0000-0000-00009A030000}"/>
    <cellStyle name="Bad 21" xfId="878" xr:uid="{00000000-0005-0000-0000-00009B030000}"/>
    <cellStyle name="Bad 22" xfId="921" xr:uid="{00000000-0005-0000-0000-00009C030000}"/>
    <cellStyle name="Bad 23" xfId="964" xr:uid="{00000000-0005-0000-0000-00009D030000}"/>
    <cellStyle name="Bad 24" xfId="1007" xr:uid="{00000000-0005-0000-0000-00009E030000}"/>
    <cellStyle name="Bad 25" xfId="1050" xr:uid="{00000000-0005-0000-0000-00009F030000}"/>
    <cellStyle name="Bad 26" xfId="1093" xr:uid="{00000000-0005-0000-0000-0000A0030000}"/>
    <cellStyle name="Bad 27" xfId="1136" xr:uid="{00000000-0005-0000-0000-0000A1030000}"/>
    <cellStyle name="Bad 28" xfId="1179" xr:uid="{00000000-0005-0000-0000-0000A2030000}"/>
    <cellStyle name="Bad 29" xfId="1222" xr:uid="{00000000-0005-0000-0000-0000A3030000}"/>
    <cellStyle name="Bad 3" xfId="112" xr:uid="{00000000-0005-0000-0000-0000A4030000}"/>
    <cellStyle name="Bad 30" xfId="1265" xr:uid="{00000000-0005-0000-0000-0000A5030000}"/>
    <cellStyle name="Bad 31" xfId="1308" xr:uid="{00000000-0005-0000-0000-0000A6030000}"/>
    <cellStyle name="Bad 32" xfId="1351" xr:uid="{00000000-0005-0000-0000-0000A7030000}"/>
    <cellStyle name="Bad 33" xfId="1394" xr:uid="{00000000-0005-0000-0000-0000A8030000}"/>
    <cellStyle name="Bad 34" xfId="1436" xr:uid="{00000000-0005-0000-0000-0000A9030000}"/>
    <cellStyle name="Bad 35" xfId="1479" xr:uid="{00000000-0005-0000-0000-0000AA030000}"/>
    <cellStyle name="Bad 36" xfId="1521" xr:uid="{00000000-0005-0000-0000-0000AB030000}"/>
    <cellStyle name="Bad 37" xfId="1562" xr:uid="{00000000-0005-0000-0000-0000AC030000}"/>
    <cellStyle name="Bad 38" xfId="1603" xr:uid="{00000000-0005-0000-0000-0000AD030000}"/>
    <cellStyle name="Bad 4" xfId="153" xr:uid="{00000000-0005-0000-0000-0000AE030000}"/>
    <cellStyle name="Bad 5" xfId="194" xr:uid="{00000000-0005-0000-0000-0000AF030000}"/>
    <cellStyle name="Bad 6" xfId="235" xr:uid="{00000000-0005-0000-0000-0000B0030000}"/>
    <cellStyle name="Bad 7" xfId="278" xr:uid="{00000000-0005-0000-0000-0000B1030000}"/>
    <cellStyle name="Bad 8" xfId="321" xr:uid="{00000000-0005-0000-0000-0000B2030000}"/>
    <cellStyle name="Bad 9" xfId="364" xr:uid="{00000000-0005-0000-0000-0000B3030000}"/>
    <cellStyle name="Calculation 10" xfId="408" xr:uid="{00000000-0005-0000-0000-0000B4030000}"/>
    <cellStyle name="Calculation 10 2" xfId="1722" xr:uid="{00000000-0005-0000-0000-0000B5030000}"/>
    <cellStyle name="Calculation 10 2 2" xfId="2338" xr:uid="{CDA125DF-9283-424B-813E-0D208A16BE88}"/>
    <cellStyle name="Calculation 10 3" xfId="1677" xr:uid="{00000000-0005-0000-0000-0000B6030000}"/>
    <cellStyle name="Calculation 10 3 2" xfId="2293" xr:uid="{A03F6838-2A8A-4BED-ADDA-79B4A4F326D3}"/>
    <cellStyle name="Calculation 10 4" xfId="2085" xr:uid="{2D9B09AC-2625-4B06-8A18-E598F69D10F0}"/>
    <cellStyle name="Calculation 11" xfId="450" xr:uid="{00000000-0005-0000-0000-0000B7030000}"/>
    <cellStyle name="Calculation 11 2" xfId="1731" xr:uid="{00000000-0005-0000-0000-0000B8030000}"/>
    <cellStyle name="Calculation 11 2 2" xfId="2347" xr:uid="{F4EBAEA6-1262-4EB1-9619-FDBCA7AE0282}"/>
    <cellStyle name="Calculation 11 3" xfId="1942" xr:uid="{00000000-0005-0000-0000-0000B9030000}"/>
    <cellStyle name="Calculation 11 3 2" xfId="2558" xr:uid="{922633AD-B582-4F29-B98D-4EACCA170BA4}"/>
    <cellStyle name="Calculation 11 4" xfId="2091" xr:uid="{A9259E05-7FA8-4999-924F-032F13C75D78}"/>
    <cellStyle name="Calculation 12" xfId="492" xr:uid="{00000000-0005-0000-0000-0000BA030000}"/>
    <cellStyle name="Calculation 12 2" xfId="1741" xr:uid="{00000000-0005-0000-0000-0000BB030000}"/>
    <cellStyle name="Calculation 12 2 2" xfId="2357" xr:uid="{8FD6EABA-A75A-45A3-A77D-F42D82532592}"/>
    <cellStyle name="Calculation 12 3" xfId="1906" xr:uid="{00000000-0005-0000-0000-0000BC030000}"/>
    <cellStyle name="Calculation 12 3 2" xfId="2522" xr:uid="{22599DD4-93F6-4321-A573-F08156A9D2F7}"/>
    <cellStyle name="Calculation 12 4" xfId="2097" xr:uid="{1185BF86-BDB9-45AE-93B7-ACEDC43D902F}"/>
    <cellStyle name="Calculation 13" xfId="535" xr:uid="{00000000-0005-0000-0000-0000BD030000}"/>
    <cellStyle name="Calculation 13 2" xfId="1749" xr:uid="{00000000-0005-0000-0000-0000BE030000}"/>
    <cellStyle name="Calculation 13 2 2" xfId="2365" xr:uid="{EE510DC9-2E3F-4024-A1E9-ADBF74AD33AC}"/>
    <cellStyle name="Calculation 13 3" xfId="1849" xr:uid="{00000000-0005-0000-0000-0000BF030000}"/>
    <cellStyle name="Calculation 13 3 2" xfId="2465" xr:uid="{2B50CD0B-23CE-4329-AAFE-07267734993B}"/>
    <cellStyle name="Calculation 13 4" xfId="2103" xr:uid="{59A1F713-A62A-4DC7-9088-D16844DBE546}"/>
    <cellStyle name="Calculation 14" xfId="578" xr:uid="{00000000-0005-0000-0000-0000C0030000}"/>
    <cellStyle name="Calculation 14 2" xfId="1759" xr:uid="{00000000-0005-0000-0000-0000C1030000}"/>
    <cellStyle name="Calculation 14 2 2" xfId="2375" xr:uid="{0F695CA6-4863-427C-A25E-D1A220624F32}"/>
    <cellStyle name="Calculation 14 3" xfId="1796" xr:uid="{00000000-0005-0000-0000-0000C2030000}"/>
    <cellStyle name="Calculation 14 3 2" xfId="2412" xr:uid="{73EF4F7D-E50F-4ADB-B1EF-D98E3FB83538}"/>
    <cellStyle name="Calculation 14 4" xfId="2109" xr:uid="{9B1C36B9-F329-451A-AFC3-6B117685B09F}"/>
    <cellStyle name="Calculation 15" xfId="621" xr:uid="{00000000-0005-0000-0000-0000C3030000}"/>
    <cellStyle name="Calculation 15 2" xfId="1768" xr:uid="{00000000-0005-0000-0000-0000C4030000}"/>
    <cellStyle name="Calculation 15 2 2" xfId="2384" xr:uid="{BD78D0BD-DFC0-4FB9-9640-92728D87093C}"/>
    <cellStyle name="Calculation 15 3" xfId="1740" xr:uid="{00000000-0005-0000-0000-0000C5030000}"/>
    <cellStyle name="Calculation 15 3 2" xfId="2356" xr:uid="{BAB17760-B7E9-4C6F-90D6-4140475B28A6}"/>
    <cellStyle name="Calculation 15 4" xfId="2115" xr:uid="{B1CDD1A3-6F23-45E0-B58A-FA6A285B4DA1}"/>
    <cellStyle name="Calculation 16" xfId="664" xr:uid="{00000000-0005-0000-0000-0000C6030000}"/>
    <cellStyle name="Calculation 16 2" xfId="1777" xr:uid="{00000000-0005-0000-0000-0000C7030000}"/>
    <cellStyle name="Calculation 16 2 2" xfId="2393" xr:uid="{EAD8174F-9DB4-4729-A3C4-C19118A75B83}"/>
    <cellStyle name="Calculation 16 3" xfId="1685" xr:uid="{00000000-0005-0000-0000-0000C8030000}"/>
    <cellStyle name="Calculation 16 3 2" xfId="2301" xr:uid="{5B215FF2-8DF5-46D4-9B41-FB9FA073DAC4}"/>
    <cellStyle name="Calculation 16 4" xfId="2121" xr:uid="{BEAB35D4-643A-4A91-A20B-1AA0A64EC1C1}"/>
    <cellStyle name="Calculation 17" xfId="707" xr:uid="{00000000-0005-0000-0000-0000C9030000}"/>
    <cellStyle name="Calculation 17 2" xfId="1786" xr:uid="{00000000-0005-0000-0000-0000CA030000}"/>
    <cellStyle name="Calculation 17 2 2" xfId="2402" xr:uid="{F22B77F7-534C-4A32-BF90-3241105E6C04}"/>
    <cellStyle name="Calculation 17 3" xfId="1960" xr:uid="{00000000-0005-0000-0000-0000CB030000}"/>
    <cellStyle name="Calculation 17 3 2" xfId="2576" xr:uid="{7C80BD60-F7F8-498B-9357-F30BED56A7F4}"/>
    <cellStyle name="Calculation 17 4" xfId="2127" xr:uid="{B184407E-DAE8-45AE-898F-A3FA9F8159D0}"/>
    <cellStyle name="Calculation 18" xfId="750" xr:uid="{00000000-0005-0000-0000-0000CC030000}"/>
    <cellStyle name="Calculation 18 2" xfId="1797" xr:uid="{00000000-0005-0000-0000-0000CD030000}"/>
    <cellStyle name="Calculation 18 2 2" xfId="2413" xr:uid="{BBB05DB0-C81E-4F0F-9DE5-A1890E205A7F}"/>
    <cellStyle name="Calculation 18 3" xfId="1657" xr:uid="{00000000-0005-0000-0000-0000CE030000}"/>
    <cellStyle name="Calculation 18 3 2" xfId="2273" xr:uid="{5E6C7B01-325F-475B-9DF2-29379C2944BA}"/>
    <cellStyle name="Calculation 18 4" xfId="2133" xr:uid="{099402E0-A7D4-47A2-BB7A-B57D61216110}"/>
    <cellStyle name="Calculation 19" xfId="793" xr:uid="{00000000-0005-0000-0000-0000CF030000}"/>
    <cellStyle name="Calculation 19 2" xfId="1807" xr:uid="{00000000-0005-0000-0000-0000D0030000}"/>
    <cellStyle name="Calculation 19 2 2" xfId="2423" xr:uid="{0E7DB0A1-537F-4C2C-AB9E-BAAE6EA7EF1C}"/>
    <cellStyle name="Calculation 19 3" xfId="1858" xr:uid="{00000000-0005-0000-0000-0000D1030000}"/>
    <cellStyle name="Calculation 19 3 2" xfId="2474" xr:uid="{1FE36867-1F2A-4751-946E-E54B5E4FAFE8}"/>
    <cellStyle name="Calculation 19 4" xfId="2139" xr:uid="{549D3C8E-2467-4D59-B002-5A2254BD11C6}"/>
    <cellStyle name="Calculation 2" xfId="69" xr:uid="{00000000-0005-0000-0000-0000D2030000}"/>
    <cellStyle name="Calculation 2 2" xfId="1650" xr:uid="{00000000-0005-0000-0000-0000D3030000}"/>
    <cellStyle name="Calculation 2 2 2" xfId="2266" xr:uid="{6F471A17-52DC-4D83-89BF-706F69834770}"/>
    <cellStyle name="Calculation 2 3" xfId="1937" xr:uid="{00000000-0005-0000-0000-0000D4030000}"/>
    <cellStyle name="Calculation 2 3 2" xfId="2553" xr:uid="{A1293A03-EA8B-49FB-9C27-3EAB14767D7D}"/>
    <cellStyle name="Calculation 2 4" xfId="2041" xr:uid="{AA8FC0F2-B0A6-4834-8C0E-446D68891EAA}"/>
    <cellStyle name="Calculation 20" xfId="836" xr:uid="{00000000-0005-0000-0000-0000D5030000}"/>
    <cellStyle name="Calculation 20 2" xfId="1817" xr:uid="{00000000-0005-0000-0000-0000D6030000}"/>
    <cellStyle name="Calculation 20 2 2" xfId="2433" xr:uid="{45C444AD-12CF-465E-900E-E83E99CC78E2}"/>
    <cellStyle name="Calculation 20 3" xfId="1806" xr:uid="{00000000-0005-0000-0000-0000D7030000}"/>
    <cellStyle name="Calculation 20 3 2" xfId="2422" xr:uid="{4313F6D3-CB37-4A2D-8709-7C236FE95450}"/>
    <cellStyle name="Calculation 20 4" xfId="2145" xr:uid="{5E77739D-171A-4E76-B047-0206A1DF50CD}"/>
    <cellStyle name="Calculation 21" xfId="879" xr:uid="{00000000-0005-0000-0000-0000D8030000}"/>
    <cellStyle name="Calculation 21 2" xfId="1826" xr:uid="{00000000-0005-0000-0000-0000D9030000}"/>
    <cellStyle name="Calculation 21 2 2" xfId="2442" xr:uid="{10613FC8-37DE-4BEC-BAFF-64F0AB839105}"/>
    <cellStyle name="Calculation 21 3" xfId="1748" xr:uid="{00000000-0005-0000-0000-0000DA030000}"/>
    <cellStyle name="Calculation 21 3 2" xfId="2364" xr:uid="{14D5A9AB-E54F-4A64-90B5-418EF9934F9E}"/>
    <cellStyle name="Calculation 21 4" xfId="2151" xr:uid="{F5796364-44F2-4166-BCF9-6F3CF46A6C39}"/>
    <cellStyle name="Calculation 22" xfId="922" xr:uid="{00000000-0005-0000-0000-0000DB030000}"/>
    <cellStyle name="Calculation 22 2" xfId="1839" xr:uid="{00000000-0005-0000-0000-0000DC030000}"/>
    <cellStyle name="Calculation 22 2 2" xfId="2455" xr:uid="{505B2B44-97CE-4F01-85BE-36A485178A40}"/>
    <cellStyle name="Calculation 22 3" xfId="1693" xr:uid="{00000000-0005-0000-0000-0000DD030000}"/>
    <cellStyle name="Calculation 22 3 2" xfId="2309" xr:uid="{A5B8E7E7-C70D-43D6-8E02-5214D6F19942}"/>
    <cellStyle name="Calculation 22 4" xfId="2157" xr:uid="{56566527-D886-4CC5-8B68-B880A9353890}"/>
    <cellStyle name="Calculation 23" xfId="965" xr:uid="{00000000-0005-0000-0000-0000DE030000}"/>
    <cellStyle name="Calculation 23 2" xfId="1850" xr:uid="{00000000-0005-0000-0000-0000DF030000}"/>
    <cellStyle name="Calculation 23 2 2" xfId="2466" xr:uid="{8EB4C361-B683-428E-B010-7CFCA5AC7C0E}"/>
    <cellStyle name="Calculation 23 3" xfId="1968" xr:uid="{00000000-0005-0000-0000-0000E0030000}"/>
    <cellStyle name="Calculation 23 3 2" xfId="2584" xr:uid="{A2E7FE81-AF08-47F4-BF5A-47377464C6AD}"/>
    <cellStyle name="Calculation 23 4" xfId="2163" xr:uid="{F6D529E3-2EE7-4BF6-B37F-D55A313A5068}"/>
    <cellStyle name="Calculation 24" xfId="1008" xr:uid="{00000000-0005-0000-0000-0000E1030000}"/>
    <cellStyle name="Calculation 24 2" xfId="1859" xr:uid="{00000000-0005-0000-0000-0000E2030000}"/>
    <cellStyle name="Calculation 24 2 2" xfId="2475" xr:uid="{4200194E-1720-4F9F-98D1-71B83BE7D43C}"/>
    <cellStyle name="Calculation 24 3" xfId="1913" xr:uid="{00000000-0005-0000-0000-0000E3030000}"/>
    <cellStyle name="Calculation 24 3 2" xfId="2529" xr:uid="{D2B35EC9-8267-40E0-9B18-3587FA067C53}"/>
    <cellStyle name="Calculation 24 4" xfId="2169" xr:uid="{15B3F32B-77F7-442B-8475-02AA2BA4F257}"/>
    <cellStyle name="Calculation 25" xfId="1051" xr:uid="{00000000-0005-0000-0000-0000E4030000}"/>
    <cellStyle name="Calculation 25 2" xfId="1869" xr:uid="{00000000-0005-0000-0000-0000E5030000}"/>
    <cellStyle name="Calculation 25 2 2" xfId="2485" xr:uid="{1E0D396F-F46E-4515-AE63-0BD866C16464}"/>
    <cellStyle name="Calculation 25 3" xfId="1867" xr:uid="{00000000-0005-0000-0000-0000E6030000}"/>
    <cellStyle name="Calculation 25 3 2" xfId="2483" xr:uid="{B7B12A4D-57B3-427C-BF95-B67D02DE5080}"/>
    <cellStyle name="Calculation 25 4" xfId="2175" xr:uid="{D14F1E40-8D03-45D1-90DF-8F6086F624F1}"/>
    <cellStyle name="Calculation 26" xfId="1094" xr:uid="{00000000-0005-0000-0000-0000E7030000}"/>
    <cellStyle name="Calculation 26 2" xfId="1878" xr:uid="{00000000-0005-0000-0000-0000E8030000}"/>
    <cellStyle name="Calculation 26 2 2" xfId="2494" xr:uid="{1C38A887-4726-4E4F-BDE7-C01FEE158FDC}"/>
    <cellStyle name="Calculation 26 3" xfId="1648" xr:uid="{00000000-0005-0000-0000-0000E9030000}"/>
    <cellStyle name="Calculation 26 3 2" xfId="2264" xr:uid="{DA52966A-A2B2-45C1-886F-DFF8D1AA79D0}"/>
    <cellStyle name="Calculation 26 4" xfId="2181" xr:uid="{3457DD0C-08AF-4558-8CD6-FBC2322378C8}"/>
    <cellStyle name="Calculation 27" xfId="1137" xr:uid="{00000000-0005-0000-0000-0000EA030000}"/>
    <cellStyle name="Calculation 27 2" xfId="1886" xr:uid="{00000000-0005-0000-0000-0000EB030000}"/>
    <cellStyle name="Calculation 27 2 2" xfId="2502" xr:uid="{860F39C5-0F4B-442C-B4AB-5404364C75EF}"/>
    <cellStyle name="Calculation 27 3" xfId="1757" xr:uid="{00000000-0005-0000-0000-0000EC030000}"/>
    <cellStyle name="Calculation 27 3 2" xfId="2373" xr:uid="{34163A3A-8A9B-4F81-987F-84C0FA586ABD}"/>
    <cellStyle name="Calculation 27 4" xfId="2187" xr:uid="{451ED530-4DE6-48F4-958D-50656165C852}"/>
    <cellStyle name="Calculation 28" xfId="1180" xr:uid="{00000000-0005-0000-0000-0000ED030000}"/>
    <cellStyle name="Calculation 28 2" xfId="1896" xr:uid="{00000000-0005-0000-0000-0000EE030000}"/>
    <cellStyle name="Calculation 28 2 2" xfId="2512" xr:uid="{4F4E25C7-414F-4479-B2A1-E90625342748}"/>
    <cellStyle name="Calculation 28 3" xfId="1702" xr:uid="{00000000-0005-0000-0000-0000EF030000}"/>
    <cellStyle name="Calculation 28 3 2" xfId="2318" xr:uid="{58082B48-0FD6-47C8-A0B2-D62A2C987242}"/>
    <cellStyle name="Calculation 28 4" xfId="2193" xr:uid="{7EFB051E-56BB-4556-AD84-8FEE5A076088}"/>
    <cellStyle name="Calculation 29" xfId="1223" xr:uid="{00000000-0005-0000-0000-0000F0030000}"/>
    <cellStyle name="Calculation 29 2" xfId="1905" xr:uid="{00000000-0005-0000-0000-0000F1030000}"/>
    <cellStyle name="Calculation 29 2 2" xfId="2521" xr:uid="{DBE7769B-A3FC-4349-AAA4-5448A6DB930A}"/>
    <cellStyle name="Calculation 29 3" xfId="1976" xr:uid="{00000000-0005-0000-0000-0000F2030000}"/>
    <cellStyle name="Calculation 29 3 2" xfId="2592" xr:uid="{CA610980-C749-4925-BD65-9BCD057CD22A}"/>
    <cellStyle name="Calculation 29 4" xfId="2199" xr:uid="{11985C60-9943-413E-A0D4-273593243078}"/>
    <cellStyle name="Calculation 3" xfId="113" xr:uid="{00000000-0005-0000-0000-0000F3030000}"/>
    <cellStyle name="Calculation 3 2" xfId="1658" xr:uid="{00000000-0005-0000-0000-0000F4030000}"/>
    <cellStyle name="Calculation 3 2 2" xfId="2274" xr:uid="{B6920170-0D22-479A-B2CE-050454070B16}"/>
    <cellStyle name="Calculation 3 3" xfId="1936" xr:uid="{00000000-0005-0000-0000-0000F5030000}"/>
    <cellStyle name="Calculation 3 3 2" xfId="2552" xr:uid="{FBB5F719-4D39-4D11-814F-C8A458B403AC}"/>
    <cellStyle name="Calculation 3 4" xfId="2046" xr:uid="{8BEF8349-8C17-4853-B9F7-BC9709FCDC54}"/>
    <cellStyle name="Calculation 30" xfId="1266" xr:uid="{00000000-0005-0000-0000-0000F6030000}"/>
    <cellStyle name="Calculation 30 2" xfId="1915" xr:uid="{00000000-0005-0000-0000-0000F7030000}"/>
    <cellStyle name="Calculation 30 2 2" xfId="2531" xr:uid="{4E84F04E-4139-4BFA-B3E6-61CB34299DCD}"/>
    <cellStyle name="Calculation 30 3" xfId="1920" xr:uid="{00000000-0005-0000-0000-0000F8030000}"/>
    <cellStyle name="Calculation 30 3 2" xfId="2536" xr:uid="{FE5D189A-7A8E-4B15-9172-3B787375B7D1}"/>
    <cellStyle name="Calculation 30 4" xfId="2205" xr:uid="{07E06514-AECF-457E-9F0D-B107AEE26C0F}"/>
    <cellStyle name="Calculation 31" xfId="1309" xr:uid="{00000000-0005-0000-0000-0000F9030000}"/>
    <cellStyle name="Calculation 31 2" xfId="1922" xr:uid="{00000000-0005-0000-0000-0000FA030000}"/>
    <cellStyle name="Calculation 31 2 2" xfId="2538" xr:uid="{EC853AE2-8BEC-4074-B130-C947DDD8E4F7}"/>
    <cellStyle name="Calculation 31 3" xfId="1876" xr:uid="{00000000-0005-0000-0000-0000FB030000}"/>
    <cellStyle name="Calculation 31 3 2" xfId="2492" xr:uid="{42A9B48C-1CCB-49FF-82C2-64A6527D37B0}"/>
    <cellStyle name="Calculation 31 4" xfId="2211" xr:uid="{4D08437A-8B22-400F-968A-DC2E38048C04}"/>
    <cellStyle name="Calculation 32" xfId="1352" xr:uid="{00000000-0005-0000-0000-0000FC030000}"/>
    <cellStyle name="Calculation 32 2" xfId="1930" xr:uid="{00000000-0005-0000-0000-0000FD030000}"/>
    <cellStyle name="Calculation 32 2 2" xfId="2546" xr:uid="{A8DA1704-E31D-420B-823E-67F94E9DC197}"/>
    <cellStyle name="Calculation 32 3" xfId="1815" xr:uid="{00000000-0005-0000-0000-0000FE030000}"/>
    <cellStyle name="Calculation 32 3 2" xfId="2431" xr:uid="{A90B2922-5F63-4817-806F-8E4E83D92E37}"/>
    <cellStyle name="Calculation 32 4" xfId="2217" xr:uid="{442DAA9E-E245-4240-8C11-313E7D82D298}"/>
    <cellStyle name="Calculation 33" xfId="1395" xr:uid="{00000000-0005-0000-0000-0000FF030000}"/>
    <cellStyle name="Calculation 33 2" xfId="1941" xr:uid="{00000000-0005-0000-0000-000000040000}"/>
    <cellStyle name="Calculation 33 2 2" xfId="2557" xr:uid="{1D167B95-F48C-463A-9D79-AFA68CCA9F78}"/>
    <cellStyle name="Calculation 33 3" xfId="1765" xr:uid="{00000000-0005-0000-0000-000001040000}"/>
    <cellStyle name="Calculation 33 3 2" xfId="2381" xr:uid="{05D41462-B9AE-4534-B98C-2AD7466A020E}"/>
    <cellStyle name="Calculation 33 4" xfId="2223" xr:uid="{B2B2B92B-C25B-40E5-9D22-42E043D17CC1}"/>
    <cellStyle name="Calculation 34" xfId="1437" xr:uid="{00000000-0005-0000-0000-000002040000}"/>
    <cellStyle name="Calculation 34 2" xfId="1952" xr:uid="{00000000-0005-0000-0000-000003040000}"/>
    <cellStyle name="Calculation 34 2 2" xfId="2568" xr:uid="{91D584A2-7D72-41A7-8E44-D5317CE40972}"/>
    <cellStyle name="Calculation 34 3" xfId="1707" xr:uid="{00000000-0005-0000-0000-000004040000}"/>
    <cellStyle name="Calculation 34 3 2" xfId="2323" xr:uid="{2685414D-2FC8-475D-A43E-BF5594D5D4D6}"/>
    <cellStyle name="Calculation 34 4" xfId="2229" xr:uid="{804E7F50-0F74-4B07-BCFB-D2EA74C29666}"/>
    <cellStyle name="Calculation 35" xfId="1480" xr:uid="{00000000-0005-0000-0000-000005040000}"/>
    <cellStyle name="Calculation 35 2" xfId="1961" xr:uid="{00000000-0005-0000-0000-000006040000}"/>
    <cellStyle name="Calculation 35 2 2" xfId="2577" xr:uid="{A7E9A7B0-3D21-40C1-9EE8-36D164FC653B}"/>
    <cellStyle name="Calculation 35 3" xfId="1993" xr:uid="{00000000-0005-0000-0000-000007040000}"/>
    <cellStyle name="Calculation 35 3 2" xfId="2609" xr:uid="{BA172119-CDED-4071-8FED-8C04F749AB79}"/>
    <cellStyle name="Calculation 35 4" xfId="2235" xr:uid="{7D8B4055-CD16-4826-9B66-FB0426A235B4}"/>
    <cellStyle name="Calculation 36" xfId="1522" xr:uid="{00000000-0005-0000-0000-000008040000}"/>
    <cellStyle name="Calculation 36 2" xfId="1970" xr:uid="{00000000-0005-0000-0000-000009040000}"/>
    <cellStyle name="Calculation 36 2 2" xfId="2586" xr:uid="{46472F91-CE1C-4CEC-A582-48A6EDE0A1C0}"/>
    <cellStyle name="Calculation 36 3" xfId="1998" xr:uid="{00000000-0005-0000-0000-00000A040000}"/>
    <cellStyle name="Calculation 36 3 2" xfId="2614" xr:uid="{04A308BB-0D38-4260-AC49-F1DA8D06981C}"/>
    <cellStyle name="Calculation 36 4" xfId="2240" xr:uid="{004087EB-9597-488E-9BD9-4973517B0F0E}"/>
    <cellStyle name="Calculation 37" xfId="1563" xr:uid="{00000000-0005-0000-0000-00000B040000}"/>
    <cellStyle name="Calculation 37 2" xfId="1978" xr:uid="{00000000-0005-0000-0000-00000C040000}"/>
    <cellStyle name="Calculation 37 2 2" xfId="2594" xr:uid="{B81C294B-4F05-4DA2-86D2-E0B61B41C632}"/>
    <cellStyle name="Calculation 37 3" xfId="2003" xr:uid="{00000000-0005-0000-0000-00000D040000}"/>
    <cellStyle name="Calculation 37 3 2" xfId="2619" xr:uid="{E37211CD-8D0E-4647-957E-FA7E124F5D0E}"/>
    <cellStyle name="Calculation 37 4" xfId="2245" xr:uid="{AAF7D389-5882-455F-BB34-1DB4CDB1C532}"/>
    <cellStyle name="Calculation 38" xfId="1604" xr:uid="{00000000-0005-0000-0000-00000E040000}"/>
    <cellStyle name="Calculation 38 2" xfId="1987" xr:uid="{00000000-0005-0000-0000-00000F040000}"/>
    <cellStyle name="Calculation 38 2 2" xfId="2603" xr:uid="{8B9E464F-438C-41A9-BD46-27543227247D}"/>
    <cellStyle name="Calculation 38 3" xfId="2008" xr:uid="{00000000-0005-0000-0000-000010040000}"/>
    <cellStyle name="Calculation 38 3 2" xfId="2624" xr:uid="{E21B3B92-C38B-4EF2-9586-ACA53CE59DB1}"/>
    <cellStyle name="Calculation 38 4" xfId="2251" xr:uid="{87694D2F-DA83-4B14-AA69-31E6D2A6FE8E}"/>
    <cellStyle name="Calculation 4" xfId="154" xr:uid="{00000000-0005-0000-0000-000011040000}"/>
    <cellStyle name="Calculation 4 2" xfId="1667" xr:uid="{00000000-0005-0000-0000-000012040000}"/>
    <cellStyle name="Calculation 4 2 2" xfId="2283" xr:uid="{11E20254-44FE-44FB-94AA-7C8B0E1B1088}"/>
    <cellStyle name="Calculation 4 3" xfId="1945" xr:uid="{00000000-0005-0000-0000-000013040000}"/>
    <cellStyle name="Calculation 4 3 2" xfId="2561" xr:uid="{9D1D9DBA-3D9C-4FCF-A73F-3F85CCA5D095}"/>
    <cellStyle name="Calculation 4 4" xfId="2051" xr:uid="{601A3EC9-B1B5-47FE-8BF0-D2A8F874B2FF}"/>
    <cellStyle name="Calculation 5" xfId="195" xr:uid="{00000000-0005-0000-0000-000014040000}"/>
    <cellStyle name="Calculation 5 2" xfId="1676" xr:uid="{00000000-0005-0000-0000-000015040000}"/>
    <cellStyle name="Calculation 5 2 2" xfId="2292" xr:uid="{158C3C33-8789-4B79-B92E-9FF4136AB02F}"/>
    <cellStyle name="Calculation 5 3" xfId="1908" xr:uid="{00000000-0005-0000-0000-000016040000}"/>
    <cellStyle name="Calculation 5 3 2" xfId="2524" xr:uid="{FFA9CEBA-1EE7-416D-B711-9CB9A7EE100C}"/>
    <cellStyle name="Calculation 5 4" xfId="2056" xr:uid="{F79B3992-72B1-4BDD-9E4B-86AFC5503DD0}"/>
    <cellStyle name="Calculation 6" xfId="236" xr:uid="{00000000-0005-0000-0000-000017040000}"/>
    <cellStyle name="Calculation 6 2" xfId="1686" xr:uid="{00000000-0005-0000-0000-000018040000}"/>
    <cellStyle name="Calculation 6 2 2" xfId="2302" xr:uid="{6E1CFAE5-8AE5-4A59-BBF6-924177AC70CE}"/>
    <cellStyle name="Calculation 6 3" xfId="1888" xr:uid="{00000000-0005-0000-0000-000019040000}"/>
    <cellStyle name="Calculation 6 3 2" xfId="2504" xr:uid="{A4B63923-BF25-49FA-BADC-4CF6C17CC01A}"/>
    <cellStyle name="Calculation 6 4" xfId="2061" xr:uid="{B1F00F7D-E8CB-4BA4-A70F-AEC78196050D}"/>
    <cellStyle name="Calculation 7" xfId="279" xr:uid="{00000000-0005-0000-0000-00001A040000}"/>
    <cellStyle name="Calculation 7 2" xfId="1695" xr:uid="{00000000-0005-0000-0000-00001B040000}"/>
    <cellStyle name="Calculation 7 2 2" xfId="2311" xr:uid="{586FC45D-08B7-4B4E-A2F4-58962EBCDC16}"/>
    <cellStyle name="Calculation 7 3" xfId="1828" xr:uid="{00000000-0005-0000-0000-00001C040000}"/>
    <cellStyle name="Calculation 7 3 2" xfId="2444" xr:uid="{3D11B584-61C4-4730-B0AA-6E14528FE0B3}"/>
    <cellStyle name="Calculation 7 4" xfId="2067" xr:uid="{E869AAB2-BB22-4B0D-86AD-2D5FB7B706AA}"/>
    <cellStyle name="Calculation 8" xfId="322" xr:uid="{00000000-0005-0000-0000-00001D040000}"/>
    <cellStyle name="Calculation 8 2" xfId="1704" xr:uid="{00000000-0005-0000-0000-00001E040000}"/>
    <cellStyle name="Calculation 8 2 2" xfId="2320" xr:uid="{A1E315A3-CBAE-49E3-8F36-31E6203BB5F1}"/>
    <cellStyle name="Calculation 8 3" xfId="1779" xr:uid="{00000000-0005-0000-0000-00001F040000}"/>
    <cellStyle name="Calculation 8 3 2" xfId="2395" xr:uid="{9378A6AE-5416-47CA-95CB-4E24FF6536BB}"/>
    <cellStyle name="Calculation 8 4" xfId="2073" xr:uid="{A50D270D-9D92-4239-8648-F480ED993F6E}"/>
    <cellStyle name="Calculation 9" xfId="365" xr:uid="{00000000-0005-0000-0000-000020040000}"/>
    <cellStyle name="Calculation 9 2" xfId="1713" xr:uid="{00000000-0005-0000-0000-000021040000}"/>
    <cellStyle name="Calculation 9 2 2" xfId="2329" xr:uid="{961BC93E-90AD-4BF6-9A44-EAE3CF1172E8}"/>
    <cellStyle name="Calculation 9 3" xfId="1723" xr:uid="{00000000-0005-0000-0000-000022040000}"/>
    <cellStyle name="Calculation 9 3 2" xfId="2339" xr:uid="{6A59813C-577B-44AE-B298-7A17B0F038CC}"/>
    <cellStyle name="Calculation 9 4" xfId="2079" xr:uid="{47E8E72B-0605-46F2-A4A6-B0BDD8CB0B10}"/>
    <cellStyle name="Check Cell 10" xfId="409" xr:uid="{00000000-0005-0000-0000-000023040000}"/>
    <cellStyle name="Check Cell 11" xfId="451" xr:uid="{00000000-0005-0000-0000-000024040000}"/>
    <cellStyle name="Check Cell 12" xfId="493" xr:uid="{00000000-0005-0000-0000-000025040000}"/>
    <cellStyle name="Check Cell 13" xfId="536" xr:uid="{00000000-0005-0000-0000-000026040000}"/>
    <cellStyle name="Check Cell 14" xfId="579" xr:uid="{00000000-0005-0000-0000-000027040000}"/>
    <cellStyle name="Check Cell 15" xfId="622" xr:uid="{00000000-0005-0000-0000-000028040000}"/>
    <cellStyle name="Check Cell 16" xfId="665" xr:uid="{00000000-0005-0000-0000-000029040000}"/>
    <cellStyle name="Check Cell 17" xfId="708" xr:uid="{00000000-0005-0000-0000-00002A040000}"/>
    <cellStyle name="Check Cell 18" xfId="751" xr:uid="{00000000-0005-0000-0000-00002B040000}"/>
    <cellStyle name="Check Cell 19" xfId="794" xr:uid="{00000000-0005-0000-0000-00002C040000}"/>
    <cellStyle name="Check Cell 2" xfId="70" xr:uid="{00000000-0005-0000-0000-00002D040000}"/>
    <cellStyle name="Check Cell 20" xfId="837" xr:uid="{00000000-0005-0000-0000-00002E040000}"/>
    <cellStyle name="Check Cell 21" xfId="880" xr:uid="{00000000-0005-0000-0000-00002F040000}"/>
    <cellStyle name="Check Cell 22" xfId="923" xr:uid="{00000000-0005-0000-0000-000030040000}"/>
    <cellStyle name="Check Cell 23" xfId="966" xr:uid="{00000000-0005-0000-0000-000031040000}"/>
    <cellStyle name="Check Cell 24" xfId="1009" xr:uid="{00000000-0005-0000-0000-000032040000}"/>
    <cellStyle name="Check Cell 25" xfId="1052" xr:uid="{00000000-0005-0000-0000-000033040000}"/>
    <cellStyle name="Check Cell 26" xfId="1095" xr:uid="{00000000-0005-0000-0000-000034040000}"/>
    <cellStyle name="Check Cell 27" xfId="1138" xr:uid="{00000000-0005-0000-0000-000035040000}"/>
    <cellStyle name="Check Cell 28" xfId="1181" xr:uid="{00000000-0005-0000-0000-000036040000}"/>
    <cellStyle name="Check Cell 29" xfId="1224" xr:uid="{00000000-0005-0000-0000-000037040000}"/>
    <cellStyle name="Check Cell 3" xfId="114" xr:uid="{00000000-0005-0000-0000-000038040000}"/>
    <cellStyle name="Check Cell 30" xfId="1267" xr:uid="{00000000-0005-0000-0000-000039040000}"/>
    <cellStyle name="Check Cell 31" xfId="1310" xr:uid="{00000000-0005-0000-0000-00003A040000}"/>
    <cellStyle name="Check Cell 32" xfId="1353" xr:uid="{00000000-0005-0000-0000-00003B040000}"/>
    <cellStyle name="Check Cell 33" xfId="1396" xr:uid="{00000000-0005-0000-0000-00003C040000}"/>
    <cellStyle name="Check Cell 34" xfId="1438" xr:uid="{00000000-0005-0000-0000-00003D040000}"/>
    <cellStyle name="Check Cell 35" xfId="1481" xr:uid="{00000000-0005-0000-0000-00003E040000}"/>
    <cellStyle name="Check Cell 36" xfId="1523" xr:uid="{00000000-0005-0000-0000-00003F040000}"/>
    <cellStyle name="Check Cell 37" xfId="1564" xr:uid="{00000000-0005-0000-0000-000040040000}"/>
    <cellStyle name="Check Cell 38" xfId="1605" xr:uid="{00000000-0005-0000-0000-000041040000}"/>
    <cellStyle name="Check Cell 4" xfId="155" xr:uid="{00000000-0005-0000-0000-000042040000}"/>
    <cellStyle name="Check Cell 5" xfId="196" xr:uid="{00000000-0005-0000-0000-000043040000}"/>
    <cellStyle name="Check Cell 6" xfId="237" xr:uid="{00000000-0005-0000-0000-000044040000}"/>
    <cellStyle name="Check Cell 7" xfId="280" xr:uid="{00000000-0005-0000-0000-000045040000}"/>
    <cellStyle name="Check Cell 8" xfId="323" xr:uid="{00000000-0005-0000-0000-000046040000}"/>
    <cellStyle name="Check Cell 9" xfId="366" xr:uid="{00000000-0005-0000-0000-000047040000}"/>
    <cellStyle name="Comma" xfId="1" builtinId="3"/>
    <cellStyle name="Comma 10" xfId="410" xr:uid="{00000000-0005-0000-0000-000049040000}"/>
    <cellStyle name="Comma 10 10" xfId="2020" xr:uid="{00000000-0005-0000-0000-00004A040000}"/>
    <cellStyle name="Comma 10 10 2" xfId="2630" xr:uid="{8884D0EC-E4F4-45AE-988B-DE1B90AAE06D}"/>
    <cellStyle name="Comma 10 2" xfId="2031" xr:uid="{00000000-0005-0000-0000-00004B040000}"/>
    <cellStyle name="Comma 10 3" xfId="2023" xr:uid="{00000000-0005-0000-0000-00004C040000}"/>
    <cellStyle name="Comma 10 3 2" xfId="2631" xr:uid="{03B23BE8-6199-4D99-B916-CE71FBB07044}"/>
    <cellStyle name="Comma 10 4" xfId="2086" xr:uid="{97C12F8E-3CF1-419F-B646-565693008CF2}"/>
    <cellStyle name="Comma 11" xfId="452" xr:uid="{00000000-0005-0000-0000-00004D040000}"/>
    <cellStyle name="Comma 11 2" xfId="2092" xr:uid="{89AF7F56-7CB3-48EF-87C5-22625323DF7D}"/>
    <cellStyle name="Comma 12" xfId="494" xr:uid="{00000000-0005-0000-0000-00004E040000}"/>
    <cellStyle name="Comma 12 2" xfId="2098" xr:uid="{EB930AA0-DAD7-46F6-AECA-96B06B911BEC}"/>
    <cellStyle name="Comma 13" xfId="537" xr:uid="{00000000-0005-0000-0000-00004F040000}"/>
    <cellStyle name="Comma 13 2" xfId="2104" xr:uid="{59DF7EB2-BFD2-4F8D-92D6-C0A4A1D1AF46}"/>
    <cellStyle name="Comma 14" xfId="580" xr:uid="{00000000-0005-0000-0000-000050040000}"/>
    <cellStyle name="Comma 14 2" xfId="2110" xr:uid="{4F89D755-6E76-49B0-8D40-34934E5012D0}"/>
    <cellStyle name="Comma 15" xfId="623" xr:uid="{00000000-0005-0000-0000-000051040000}"/>
    <cellStyle name="Comma 15 2" xfId="2116" xr:uid="{CC8B42B0-C374-4CFB-9852-D9B78ED98AFC}"/>
    <cellStyle name="Comma 16" xfId="666" xr:uid="{00000000-0005-0000-0000-000052040000}"/>
    <cellStyle name="Comma 16 2" xfId="2122" xr:uid="{BB7E705D-89FE-4EFE-9F16-BDBEB9EC23F5}"/>
    <cellStyle name="Comma 17" xfId="19" xr:uid="{00000000-0005-0000-0000-000053040000}"/>
    <cellStyle name="Comma 17 2" xfId="709" xr:uid="{00000000-0005-0000-0000-000054040000}"/>
    <cellStyle name="Comma 17 2 2" xfId="2128" xr:uid="{3494D825-6A94-43C1-9330-472A48721EB8}"/>
    <cellStyle name="Comma 17 3" xfId="2040" xr:uid="{6E90BC7D-6442-428C-8334-2EDF644D4197}"/>
    <cellStyle name="Comma 18" xfId="752" xr:uid="{00000000-0005-0000-0000-000055040000}"/>
    <cellStyle name="Comma 18 2" xfId="2134" xr:uid="{482B1396-06C7-49AF-8CB4-BC0EA215E8F0}"/>
    <cellStyle name="Comma 19" xfId="795" xr:uid="{00000000-0005-0000-0000-000056040000}"/>
    <cellStyle name="Comma 19 2" xfId="2140" xr:uid="{0128DBC2-FF2B-47AB-8537-F2FFE98D9206}"/>
    <cellStyle name="Comma 2" xfId="3" xr:uid="{00000000-0005-0000-0000-000057040000}"/>
    <cellStyle name="Comma 2 2" xfId="10" xr:uid="{00000000-0005-0000-0000-000058040000}"/>
    <cellStyle name="Comma 2 2 2" xfId="2038" xr:uid="{65FF7622-CC42-47C3-AD9D-526ADA4B4A40}"/>
    <cellStyle name="Comma 2 2 3" xfId="2032" xr:uid="{00000000-0005-0000-0000-000059040000}"/>
    <cellStyle name="Comma 2 3" xfId="8" xr:uid="{00000000-0005-0000-0000-00005A040000}"/>
    <cellStyle name="Comma 2 4" xfId="1636" xr:uid="{00000000-0005-0000-0000-00005B040000}"/>
    <cellStyle name="Comma 2 4 2" xfId="2258" xr:uid="{07E3B1C5-D1C0-4C2B-B7FD-586D68FD4A4B}"/>
    <cellStyle name="Comma 2 5" xfId="2033" xr:uid="{00000000-0005-0000-0000-00005C040000}"/>
    <cellStyle name="Comma 2 5 2" xfId="2632" xr:uid="{D58536DA-5DBC-43B1-B0C4-9AAC242C843D}"/>
    <cellStyle name="Comma 2 6" xfId="2036" xr:uid="{6A34E71E-373E-4335-B7C7-81E5C16A3727}"/>
    <cellStyle name="Comma 20" xfId="838" xr:uid="{00000000-0005-0000-0000-00005D040000}"/>
    <cellStyle name="Comma 20 2" xfId="2146" xr:uid="{62E64D65-ED67-4028-8641-6CD13744C964}"/>
    <cellStyle name="Comma 21" xfId="881" xr:uid="{00000000-0005-0000-0000-00005E040000}"/>
    <cellStyle name="Comma 21 2" xfId="2152" xr:uid="{0DC61CBB-A673-4DE4-A1B4-FF54A1D5FE13}"/>
    <cellStyle name="Comma 22" xfId="924" xr:uid="{00000000-0005-0000-0000-00005F040000}"/>
    <cellStyle name="Comma 22 2" xfId="2158" xr:uid="{CFE07897-E7E4-4A06-B8B5-B840A6D7F295}"/>
    <cellStyle name="Comma 23" xfId="967" xr:uid="{00000000-0005-0000-0000-000060040000}"/>
    <cellStyle name="Comma 23 2" xfId="2164" xr:uid="{A2B16433-E0E4-4795-99AE-EAD4457F99A4}"/>
    <cellStyle name="Comma 24" xfId="1010" xr:uid="{00000000-0005-0000-0000-000061040000}"/>
    <cellStyle name="Comma 24 2" xfId="2170" xr:uid="{FF00E671-4C23-466C-B070-8D89C006BE3E}"/>
    <cellStyle name="Comma 25" xfId="1053" xr:uid="{00000000-0005-0000-0000-000062040000}"/>
    <cellStyle name="Comma 25 2" xfId="2176" xr:uid="{1A055F83-F6FF-4047-B0E4-F0560827CBE5}"/>
    <cellStyle name="Comma 26" xfId="1096" xr:uid="{00000000-0005-0000-0000-000063040000}"/>
    <cellStyle name="Comma 26 2" xfId="2182" xr:uid="{2FF03B1C-C7C0-49F9-BC59-FD6E52B3258D}"/>
    <cellStyle name="Comma 27" xfId="1139" xr:uid="{00000000-0005-0000-0000-000064040000}"/>
    <cellStyle name="Comma 27 2" xfId="2188" xr:uid="{4C2437B7-704C-48B5-9330-79C76FB0BF2D}"/>
    <cellStyle name="Comma 28" xfId="1182" xr:uid="{00000000-0005-0000-0000-000065040000}"/>
    <cellStyle name="Comma 28 2" xfId="2194" xr:uid="{B7F42D14-0C60-49FA-9C1B-58FF78ABC1C0}"/>
    <cellStyle name="Comma 29" xfId="1225" xr:uid="{00000000-0005-0000-0000-000066040000}"/>
    <cellStyle name="Comma 29 2" xfId="2200" xr:uid="{5242564D-C57C-4430-B55F-64637605B263}"/>
    <cellStyle name="Comma 3" xfId="1637" xr:uid="{00000000-0005-0000-0000-000067040000}"/>
    <cellStyle name="Comma 3 12" xfId="2026" xr:uid="{00000000-0005-0000-0000-000068040000}"/>
    <cellStyle name="Comma 3 12 2" xfId="2034" xr:uid="{00000000-0005-0000-0000-000069040000}"/>
    <cellStyle name="Comma 3 12 2 2" xfId="2633" xr:uid="{3F06D6B7-AF87-43C8-A00D-8F952FDEA907}"/>
    <cellStyle name="Comma 30" xfId="1268" xr:uid="{00000000-0005-0000-0000-00006A040000}"/>
    <cellStyle name="Comma 30 2" xfId="2206" xr:uid="{B68FA0E4-BCF2-46F3-9F6A-E4849AA6D4FE}"/>
    <cellStyle name="Comma 31" xfId="1311" xr:uid="{00000000-0005-0000-0000-00006B040000}"/>
    <cellStyle name="Comma 31 2" xfId="2212" xr:uid="{65DB36EE-37B5-4B57-8701-790FF656BEEF}"/>
    <cellStyle name="Comma 32" xfId="1354" xr:uid="{00000000-0005-0000-0000-00006C040000}"/>
    <cellStyle name="Comma 32 2" xfId="2218" xr:uid="{09D64281-CC45-4D7E-B75F-66F8ECF3067A}"/>
    <cellStyle name="Comma 33" xfId="1397" xr:uid="{00000000-0005-0000-0000-00006D040000}"/>
    <cellStyle name="Comma 33 2" xfId="2224" xr:uid="{8D70BE02-4ED4-4973-9624-BE32B8AB7F67}"/>
    <cellStyle name="Comma 34" xfId="1439" xr:uid="{00000000-0005-0000-0000-00006E040000}"/>
    <cellStyle name="Comma 34 2" xfId="2230" xr:uid="{E034021E-04D0-4D6E-A191-11694B3FB047}"/>
    <cellStyle name="Comma 35" xfId="2014" xr:uid="{00000000-0005-0000-0000-00006F040000}"/>
    <cellStyle name="Comma 35 2" xfId="2629" xr:uid="{4008378E-E476-4E27-9ABD-09E24F5D30BF}"/>
    <cellStyle name="Comma 36" xfId="2035" xr:uid="{64E2A6CD-E5AB-4321-A604-6C2CC7AAB072}"/>
    <cellStyle name="Comma 37" xfId="1565" xr:uid="{00000000-0005-0000-0000-000070040000}"/>
    <cellStyle name="Comma 37 2" xfId="2246" xr:uid="{56D7C925-1F39-42CC-B6D3-5854643F82FC}"/>
    <cellStyle name="Comma 38" xfId="1606" xr:uid="{00000000-0005-0000-0000-000071040000}"/>
    <cellStyle name="Comma 38 2" xfId="2252" xr:uid="{849A296F-048B-4A1E-8260-2D0740D7AC0A}"/>
    <cellStyle name="Comma 4" xfId="2028" xr:uid="{00000000-0005-0000-0000-000072040000}"/>
    <cellStyle name="Comma 4 2" xfId="11" xr:uid="{00000000-0005-0000-0000-000073040000}"/>
    <cellStyle name="Comma 41" xfId="16" xr:uid="{00000000-0005-0000-0000-000074040000}"/>
    <cellStyle name="Comma 41 2" xfId="2039" xr:uid="{B5F189B3-C9A2-4450-A464-FEEE8A227DED}"/>
    <cellStyle name="Comma 5" xfId="1631" xr:uid="{00000000-0005-0000-0000-000075040000}"/>
    <cellStyle name="Comma 5 2" xfId="1635" xr:uid="{00000000-0005-0000-0000-000076040000}"/>
    <cellStyle name="Comma 5 3" xfId="2257" xr:uid="{AB41DA6F-246E-4501-B1E6-E68AF2E5964E}"/>
    <cellStyle name="Comma 6" xfId="238" xr:uid="{00000000-0005-0000-0000-000077040000}"/>
    <cellStyle name="Comma 6 2" xfId="2062" xr:uid="{6F0C4C8D-7CAE-4131-82C7-662B61E2E013}"/>
    <cellStyle name="Comma 7" xfId="281" xr:uid="{00000000-0005-0000-0000-000078040000}"/>
    <cellStyle name="Comma 7 2" xfId="2068" xr:uid="{667B7C0A-5D17-4A28-8061-6E84C8D6FD7D}"/>
    <cellStyle name="Comma 8" xfId="7" xr:uid="{00000000-0005-0000-0000-000079040000}"/>
    <cellStyle name="Comma 8 2" xfId="324" xr:uid="{00000000-0005-0000-0000-00007A040000}"/>
    <cellStyle name="Comma 8 2 2" xfId="2074" xr:uid="{16504AA1-BDE4-4552-B0D7-AC75303ABD69}"/>
    <cellStyle name="Comma 8 3" xfId="2037" xr:uid="{21F8CE59-8529-4C90-A7E3-2F8759EB073A}"/>
    <cellStyle name="Comma 9" xfId="367" xr:uid="{00000000-0005-0000-0000-00007B040000}"/>
    <cellStyle name="Comma 9 2" xfId="2080" xr:uid="{60D27996-7D59-42F1-A814-31E7BE776DAB}"/>
    <cellStyle name="Comma_SCHDE0708 3" xfId="9" xr:uid="{00000000-0005-0000-0000-00007C040000}"/>
    <cellStyle name="Currency" xfId="14" builtinId="4"/>
    <cellStyle name="Excel Built-in Normal 1" xfId="1638" xr:uid="{00000000-0005-0000-0000-00007E040000}"/>
    <cellStyle name="Explanatory Text 10" xfId="411" xr:uid="{00000000-0005-0000-0000-00007F040000}"/>
    <cellStyle name="Explanatory Text 11" xfId="453" xr:uid="{00000000-0005-0000-0000-000080040000}"/>
    <cellStyle name="Explanatory Text 12" xfId="495" xr:uid="{00000000-0005-0000-0000-000081040000}"/>
    <cellStyle name="Explanatory Text 13" xfId="538" xr:uid="{00000000-0005-0000-0000-000082040000}"/>
    <cellStyle name="Explanatory Text 14" xfId="581" xr:uid="{00000000-0005-0000-0000-000083040000}"/>
    <cellStyle name="Explanatory Text 15" xfId="624" xr:uid="{00000000-0005-0000-0000-000084040000}"/>
    <cellStyle name="Explanatory Text 16" xfId="667" xr:uid="{00000000-0005-0000-0000-000085040000}"/>
    <cellStyle name="Explanatory Text 17" xfId="710" xr:uid="{00000000-0005-0000-0000-000086040000}"/>
    <cellStyle name="Explanatory Text 18" xfId="753" xr:uid="{00000000-0005-0000-0000-000087040000}"/>
    <cellStyle name="Explanatory Text 19" xfId="796" xr:uid="{00000000-0005-0000-0000-000088040000}"/>
    <cellStyle name="Explanatory Text 2" xfId="71" xr:uid="{00000000-0005-0000-0000-000089040000}"/>
    <cellStyle name="Explanatory Text 20" xfId="839" xr:uid="{00000000-0005-0000-0000-00008A040000}"/>
    <cellStyle name="Explanatory Text 21" xfId="882" xr:uid="{00000000-0005-0000-0000-00008B040000}"/>
    <cellStyle name="Explanatory Text 22" xfId="925" xr:uid="{00000000-0005-0000-0000-00008C040000}"/>
    <cellStyle name="Explanatory Text 23" xfId="968" xr:uid="{00000000-0005-0000-0000-00008D040000}"/>
    <cellStyle name="Explanatory Text 24" xfId="1011" xr:uid="{00000000-0005-0000-0000-00008E040000}"/>
    <cellStyle name="Explanatory Text 25" xfId="1054" xr:uid="{00000000-0005-0000-0000-00008F040000}"/>
    <cellStyle name="Explanatory Text 26" xfId="1097" xr:uid="{00000000-0005-0000-0000-000090040000}"/>
    <cellStyle name="Explanatory Text 27" xfId="1140" xr:uid="{00000000-0005-0000-0000-000091040000}"/>
    <cellStyle name="Explanatory Text 28" xfId="1183" xr:uid="{00000000-0005-0000-0000-000092040000}"/>
    <cellStyle name="Explanatory Text 29" xfId="1226" xr:uid="{00000000-0005-0000-0000-000093040000}"/>
    <cellStyle name="Explanatory Text 3" xfId="115" xr:uid="{00000000-0005-0000-0000-000094040000}"/>
    <cellStyle name="Explanatory Text 30" xfId="1269" xr:uid="{00000000-0005-0000-0000-000095040000}"/>
    <cellStyle name="Explanatory Text 31" xfId="1312" xr:uid="{00000000-0005-0000-0000-000096040000}"/>
    <cellStyle name="Explanatory Text 32" xfId="1355" xr:uid="{00000000-0005-0000-0000-000097040000}"/>
    <cellStyle name="Explanatory Text 33" xfId="1398" xr:uid="{00000000-0005-0000-0000-000098040000}"/>
    <cellStyle name="Explanatory Text 34" xfId="1440" xr:uid="{00000000-0005-0000-0000-000099040000}"/>
    <cellStyle name="Explanatory Text 35" xfId="1482" xr:uid="{00000000-0005-0000-0000-00009A040000}"/>
    <cellStyle name="Explanatory Text 36" xfId="1524" xr:uid="{00000000-0005-0000-0000-00009B040000}"/>
    <cellStyle name="Explanatory Text 37" xfId="1566" xr:uid="{00000000-0005-0000-0000-00009C040000}"/>
    <cellStyle name="Explanatory Text 38" xfId="1607" xr:uid="{00000000-0005-0000-0000-00009D040000}"/>
    <cellStyle name="Explanatory Text 4" xfId="156" xr:uid="{00000000-0005-0000-0000-00009E040000}"/>
    <cellStyle name="Explanatory Text 5" xfId="197" xr:uid="{00000000-0005-0000-0000-00009F040000}"/>
    <cellStyle name="Explanatory Text 6" xfId="239" xr:uid="{00000000-0005-0000-0000-0000A0040000}"/>
    <cellStyle name="Explanatory Text 7" xfId="282" xr:uid="{00000000-0005-0000-0000-0000A1040000}"/>
    <cellStyle name="Explanatory Text 8" xfId="325" xr:uid="{00000000-0005-0000-0000-0000A2040000}"/>
    <cellStyle name="Explanatory Text 9" xfId="368" xr:uid="{00000000-0005-0000-0000-0000A3040000}"/>
    <cellStyle name="Good 10" xfId="412" xr:uid="{00000000-0005-0000-0000-0000A4040000}"/>
    <cellStyle name="Good 11" xfId="454" xr:uid="{00000000-0005-0000-0000-0000A5040000}"/>
    <cellStyle name="Good 12" xfId="496" xr:uid="{00000000-0005-0000-0000-0000A6040000}"/>
    <cellStyle name="Good 13" xfId="539" xr:uid="{00000000-0005-0000-0000-0000A7040000}"/>
    <cellStyle name="Good 14" xfId="582" xr:uid="{00000000-0005-0000-0000-0000A8040000}"/>
    <cellStyle name="Good 15" xfId="625" xr:uid="{00000000-0005-0000-0000-0000A9040000}"/>
    <cellStyle name="Good 16" xfId="668" xr:uid="{00000000-0005-0000-0000-0000AA040000}"/>
    <cellStyle name="Good 17" xfId="711" xr:uid="{00000000-0005-0000-0000-0000AB040000}"/>
    <cellStyle name="Good 18" xfId="754" xr:uid="{00000000-0005-0000-0000-0000AC040000}"/>
    <cellStyle name="Good 19" xfId="797" xr:uid="{00000000-0005-0000-0000-0000AD040000}"/>
    <cellStyle name="Good 2" xfId="72" xr:uid="{00000000-0005-0000-0000-0000AE040000}"/>
    <cellStyle name="Good 20" xfId="840" xr:uid="{00000000-0005-0000-0000-0000AF040000}"/>
    <cellStyle name="Good 21" xfId="883" xr:uid="{00000000-0005-0000-0000-0000B0040000}"/>
    <cellStyle name="Good 22" xfId="926" xr:uid="{00000000-0005-0000-0000-0000B1040000}"/>
    <cellStyle name="Good 23" xfId="969" xr:uid="{00000000-0005-0000-0000-0000B2040000}"/>
    <cellStyle name="Good 24" xfId="1012" xr:uid="{00000000-0005-0000-0000-0000B3040000}"/>
    <cellStyle name="Good 25" xfId="1055" xr:uid="{00000000-0005-0000-0000-0000B4040000}"/>
    <cellStyle name="Good 26" xfId="1098" xr:uid="{00000000-0005-0000-0000-0000B5040000}"/>
    <cellStyle name="Good 27" xfId="1141" xr:uid="{00000000-0005-0000-0000-0000B6040000}"/>
    <cellStyle name="Good 28" xfId="1184" xr:uid="{00000000-0005-0000-0000-0000B7040000}"/>
    <cellStyle name="Good 29" xfId="1227" xr:uid="{00000000-0005-0000-0000-0000B8040000}"/>
    <cellStyle name="Good 3" xfId="116" xr:uid="{00000000-0005-0000-0000-0000B9040000}"/>
    <cellStyle name="Good 30" xfId="1270" xr:uid="{00000000-0005-0000-0000-0000BA040000}"/>
    <cellStyle name="Good 31" xfId="1313" xr:uid="{00000000-0005-0000-0000-0000BB040000}"/>
    <cellStyle name="Good 32" xfId="1356" xr:uid="{00000000-0005-0000-0000-0000BC040000}"/>
    <cellStyle name="Good 33" xfId="1399" xr:uid="{00000000-0005-0000-0000-0000BD040000}"/>
    <cellStyle name="Good 34" xfId="1441" xr:uid="{00000000-0005-0000-0000-0000BE040000}"/>
    <cellStyle name="Good 35" xfId="1483" xr:uid="{00000000-0005-0000-0000-0000BF040000}"/>
    <cellStyle name="Good 36" xfId="1525" xr:uid="{00000000-0005-0000-0000-0000C0040000}"/>
    <cellStyle name="Good 37" xfId="1567" xr:uid="{00000000-0005-0000-0000-0000C1040000}"/>
    <cellStyle name="Good 38" xfId="1608" xr:uid="{00000000-0005-0000-0000-0000C2040000}"/>
    <cellStyle name="Good 4" xfId="157" xr:uid="{00000000-0005-0000-0000-0000C3040000}"/>
    <cellStyle name="Good 5" xfId="198" xr:uid="{00000000-0005-0000-0000-0000C4040000}"/>
    <cellStyle name="Good 6" xfId="240" xr:uid="{00000000-0005-0000-0000-0000C5040000}"/>
    <cellStyle name="Good 7" xfId="283" xr:uid="{00000000-0005-0000-0000-0000C6040000}"/>
    <cellStyle name="Good 8" xfId="326" xr:uid="{00000000-0005-0000-0000-0000C7040000}"/>
    <cellStyle name="Good 9" xfId="369" xr:uid="{00000000-0005-0000-0000-0000C8040000}"/>
    <cellStyle name="Heading" xfId="1625" xr:uid="{00000000-0005-0000-0000-0000C9040000}"/>
    <cellStyle name="Heading 1 10" xfId="413" xr:uid="{00000000-0005-0000-0000-0000CA040000}"/>
    <cellStyle name="Heading 1 11" xfId="455" xr:uid="{00000000-0005-0000-0000-0000CB040000}"/>
    <cellStyle name="Heading 1 12" xfId="497" xr:uid="{00000000-0005-0000-0000-0000CC040000}"/>
    <cellStyle name="Heading 1 13" xfId="540" xr:uid="{00000000-0005-0000-0000-0000CD040000}"/>
    <cellStyle name="Heading 1 14" xfId="583" xr:uid="{00000000-0005-0000-0000-0000CE040000}"/>
    <cellStyle name="Heading 1 15" xfId="626" xr:uid="{00000000-0005-0000-0000-0000CF040000}"/>
    <cellStyle name="Heading 1 16" xfId="669" xr:uid="{00000000-0005-0000-0000-0000D0040000}"/>
    <cellStyle name="Heading 1 17" xfId="712" xr:uid="{00000000-0005-0000-0000-0000D1040000}"/>
    <cellStyle name="Heading 1 18" xfId="755" xr:uid="{00000000-0005-0000-0000-0000D2040000}"/>
    <cellStyle name="Heading 1 19" xfId="798" xr:uid="{00000000-0005-0000-0000-0000D3040000}"/>
    <cellStyle name="Heading 1 2" xfId="73" xr:uid="{00000000-0005-0000-0000-0000D4040000}"/>
    <cellStyle name="Heading 1 20" xfId="841" xr:uid="{00000000-0005-0000-0000-0000D5040000}"/>
    <cellStyle name="Heading 1 21" xfId="884" xr:uid="{00000000-0005-0000-0000-0000D6040000}"/>
    <cellStyle name="Heading 1 22" xfId="927" xr:uid="{00000000-0005-0000-0000-0000D7040000}"/>
    <cellStyle name="Heading 1 23" xfId="970" xr:uid="{00000000-0005-0000-0000-0000D8040000}"/>
    <cellStyle name="Heading 1 24" xfId="1013" xr:uid="{00000000-0005-0000-0000-0000D9040000}"/>
    <cellStyle name="Heading 1 25" xfId="1056" xr:uid="{00000000-0005-0000-0000-0000DA040000}"/>
    <cellStyle name="Heading 1 26" xfId="1099" xr:uid="{00000000-0005-0000-0000-0000DB040000}"/>
    <cellStyle name="Heading 1 27" xfId="1142" xr:uid="{00000000-0005-0000-0000-0000DC040000}"/>
    <cellStyle name="Heading 1 28" xfId="1185" xr:uid="{00000000-0005-0000-0000-0000DD040000}"/>
    <cellStyle name="Heading 1 29" xfId="1228" xr:uid="{00000000-0005-0000-0000-0000DE040000}"/>
    <cellStyle name="Heading 1 3" xfId="117" xr:uid="{00000000-0005-0000-0000-0000DF040000}"/>
    <cellStyle name="Heading 1 30" xfId="1271" xr:uid="{00000000-0005-0000-0000-0000E0040000}"/>
    <cellStyle name="Heading 1 31" xfId="1314" xr:uid="{00000000-0005-0000-0000-0000E1040000}"/>
    <cellStyle name="Heading 1 32" xfId="1357" xr:uid="{00000000-0005-0000-0000-0000E2040000}"/>
    <cellStyle name="Heading 1 33" xfId="1400" xr:uid="{00000000-0005-0000-0000-0000E3040000}"/>
    <cellStyle name="Heading 1 34" xfId="1442" xr:uid="{00000000-0005-0000-0000-0000E4040000}"/>
    <cellStyle name="Heading 1 35" xfId="1484" xr:uid="{00000000-0005-0000-0000-0000E5040000}"/>
    <cellStyle name="Heading 1 36" xfId="1526" xr:uid="{00000000-0005-0000-0000-0000E6040000}"/>
    <cellStyle name="Heading 1 37" xfId="1568" xr:uid="{00000000-0005-0000-0000-0000E7040000}"/>
    <cellStyle name="Heading 1 38" xfId="1609" xr:uid="{00000000-0005-0000-0000-0000E8040000}"/>
    <cellStyle name="Heading 1 4" xfId="158" xr:uid="{00000000-0005-0000-0000-0000E9040000}"/>
    <cellStyle name="Heading 1 5" xfId="199" xr:uid="{00000000-0005-0000-0000-0000EA040000}"/>
    <cellStyle name="Heading 1 6" xfId="241" xr:uid="{00000000-0005-0000-0000-0000EB040000}"/>
    <cellStyle name="Heading 1 7" xfId="284" xr:uid="{00000000-0005-0000-0000-0000EC040000}"/>
    <cellStyle name="Heading 1 8" xfId="327" xr:uid="{00000000-0005-0000-0000-0000ED040000}"/>
    <cellStyle name="Heading 1 9" xfId="370" xr:uid="{00000000-0005-0000-0000-0000EE040000}"/>
    <cellStyle name="Heading 2 10" xfId="414" xr:uid="{00000000-0005-0000-0000-0000EF040000}"/>
    <cellStyle name="Heading 2 11" xfId="456" xr:uid="{00000000-0005-0000-0000-0000F0040000}"/>
    <cellStyle name="Heading 2 12" xfId="498" xr:uid="{00000000-0005-0000-0000-0000F1040000}"/>
    <cellStyle name="Heading 2 13" xfId="541" xr:uid="{00000000-0005-0000-0000-0000F2040000}"/>
    <cellStyle name="Heading 2 14" xfId="584" xr:uid="{00000000-0005-0000-0000-0000F3040000}"/>
    <cellStyle name="Heading 2 15" xfId="627" xr:uid="{00000000-0005-0000-0000-0000F4040000}"/>
    <cellStyle name="Heading 2 16" xfId="670" xr:uid="{00000000-0005-0000-0000-0000F5040000}"/>
    <cellStyle name="Heading 2 17" xfId="713" xr:uid="{00000000-0005-0000-0000-0000F6040000}"/>
    <cellStyle name="Heading 2 18" xfId="756" xr:uid="{00000000-0005-0000-0000-0000F7040000}"/>
    <cellStyle name="Heading 2 19" xfId="799" xr:uid="{00000000-0005-0000-0000-0000F8040000}"/>
    <cellStyle name="Heading 2 2" xfId="74" xr:uid="{00000000-0005-0000-0000-0000F9040000}"/>
    <cellStyle name="Heading 2 20" xfId="842" xr:uid="{00000000-0005-0000-0000-0000FA040000}"/>
    <cellStyle name="Heading 2 21" xfId="885" xr:uid="{00000000-0005-0000-0000-0000FB040000}"/>
    <cellStyle name="Heading 2 22" xfId="928" xr:uid="{00000000-0005-0000-0000-0000FC040000}"/>
    <cellStyle name="Heading 2 23" xfId="971" xr:uid="{00000000-0005-0000-0000-0000FD040000}"/>
    <cellStyle name="Heading 2 24" xfId="1014" xr:uid="{00000000-0005-0000-0000-0000FE040000}"/>
    <cellStyle name="Heading 2 25" xfId="1057" xr:uid="{00000000-0005-0000-0000-0000FF040000}"/>
    <cellStyle name="Heading 2 26" xfId="1100" xr:uid="{00000000-0005-0000-0000-000000050000}"/>
    <cellStyle name="Heading 2 27" xfId="1143" xr:uid="{00000000-0005-0000-0000-000001050000}"/>
    <cellStyle name="Heading 2 28" xfId="1186" xr:uid="{00000000-0005-0000-0000-000002050000}"/>
    <cellStyle name="Heading 2 29" xfId="1229" xr:uid="{00000000-0005-0000-0000-000003050000}"/>
    <cellStyle name="Heading 2 3" xfId="118" xr:uid="{00000000-0005-0000-0000-000004050000}"/>
    <cellStyle name="Heading 2 30" xfId="1272" xr:uid="{00000000-0005-0000-0000-000005050000}"/>
    <cellStyle name="Heading 2 31" xfId="1315" xr:uid="{00000000-0005-0000-0000-000006050000}"/>
    <cellStyle name="Heading 2 32" xfId="1358" xr:uid="{00000000-0005-0000-0000-000007050000}"/>
    <cellStyle name="Heading 2 33" xfId="1401" xr:uid="{00000000-0005-0000-0000-000008050000}"/>
    <cellStyle name="Heading 2 34" xfId="1443" xr:uid="{00000000-0005-0000-0000-000009050000}"/>
    <cellStyle name="Heading 2 35" xfId="1485" xr:uid="{00000000-0005-0000-0000-00000A050000}"/>
    <cellStyle name="Heading 2 36" xfId="1527" xr:uid="{00000000-0005-0000-0000-00000B050000}"/>
    <cellStyle name="Heading 2 37" xfId="1569" xr:uid="{00000000-0005-0000-0000-00000C050000}"/>
    <cellStyle name="Heading 2 38" xfId="1610" xr:uid="{00000000-0005-0000-0000-00000D050000}"/>
    <cellStyle name="Heading 2 4" xfId="159" xr:uid="{00000000-0005-0000-0000-00000E050000}"/>
    <cellStyle name="Heading 2 5" xfId="200" xr:uid="{00000000-0005-0000-0000-00000F050000}"/>
    <cellStyle name="Heading 2 6" xfId="242" xr:uid="{00000000-0005-0000-0000-000010050000}"/>
    <cellStyle name="Heading 2 7" xfId="285" xr:uid="{00000000-0005-0000-0000-000011050000}"/>
    <cellStyle name="Heading 2 8" xfId="328" xr:uid="{00000000-0005-0000-0000-000012050000}"/>
    <cellStyle name="Heading 2 9" xfId="371" xr:uid="{00000000-0005-0000-0000-000013050000}"/>
    <cellStyle name="Heading 3 10" xfId="415" xr:uid="{00000000-0005-0000-0000-000014050000}"/>
    <cellStyle name="Heading 3 11" xfId="457" xr:uid="{00000000-0005-0000-0000-000015050000}"/>
    <cellStyle name="Heading 3 12" xfId="499" xr:uid="{00000000-0005-0000-0000-000016050000}"/>
    <cellStyle name="Heading 3 13" xfId="542" xr:uid="{00000000-0005-0000-0000-000017050000}"/>
    <cellStyle name="Heading 3 14" xfId="585" xr:uid="{00000000-0005-0000-0000-000018050000}"/>
    <cellStyle name="Heading 3 15" xfId="628" xr:uid="{00000000-0005-0000-0000-000019050000}"/>
    <cellStyle name="Heading 3 16" xfId="671" xr:uid="{00000000-0005-0000-0000-00001A050000}"/>
    <cellStyle name="Heading 3 17" xfId="714" xr:uid="{00000000-0005-0000-0000-00001B050000}"/>
    <cellStyle name="Heading 3 18" xfId="757" xr:uid="{00000000-0005-0000-0000-00001C050000}"/>
    <cellStyle name="Heading 3 19" xfId="800" xr:uid="{00000000-0005-0000-0000-00001D050000}"/>
    <cellStyle name="Heading 3 2" xfId="75" xr:uid="{00000000-0005-0000-0000-00001E050000}"/>
    <cellStyle name="Heading 3 20" xfId="843" xr:uid="{00000000-0005-0000-0000-00001F050000}"/>
    <cellStyle name="Heading 3 21" xfId="886" xr:uid="{00000000-0005-0000-0000-000020050000}"/>
    <cellStyle name="Heading 3 22" xfId="929" xr:uid="{00000000-0005-0000-0000-000021050000}"/>
    <cellStyle name="Heading 3 23" xfId="972" xr:uid="{00000000-0005-0000-0000-000022050000}"/>
    <cellStyle name="Heading 3 24" xfId="1015" xr:uid="{00000000-0005-0000-0000-000023050000}"/>
    <cellStyle name="Heading 3 25" xfId="1058" xr:uid="{00000000-0005-0000-0000-000024050000}"/>
    <cellStyle name="Heading 3 26" xfId="1101" xr:uid="{00000000-0005-0000-0000-000025050000}"/>
    <cellStyle name="Heading 3 27" xfId="1144" xr:uid="{00000000-0005-0000-0000-000026050000}"/>
    <cellStyle name="Heading 3 28" xfId="1187" xr:uid="{00000000-0005-0000-0000-000027050000}"/>
    <cellStyle name="Heading 3 29" xfId="1230" xr:uid="{00000000-0005-0000-0000-000028050000}"/>
    <cellStyle name="Heading 3 3" xfId="119" xr:uid="{00000000-0005-0000-0000-000029050000}"/>
    <cellStyle name="Heading 3 30" xfId="1273" xr:uid="{00000000-0005-0000-0000-00002A050000}"/>
    <cellStyle name="Heading 3 31" xfId="1316" xr:uid="{00000000-0005-0000-0000-00002B050000}"/>
    <cellStyle name="Heading 3 32" xfId="1359" xr:uid="{00000000-0005-0000-0000-00002C050000}"/>
    <cellStyle name="Heading 3 33" xfId="1402" xr:uid="{00000000-0005-0000-0000-00002D050000}"/>
    <cellStyle name="Heading 3 34" xfId="1444" xr:uid="{00000000-0005-0000-0000-00002E050000}"/>
    <cellStyle name="Heading 3 35" xfId="1486" xr:uid="{00000000-0005-0000-0000-00002F050000}"/>
    <cellStyle name="Heading 3 36" xfId="1528" xr:uid="{00000000-0005-0000-0000-000030050000}"/>
    <cellStyle name="Heading 3 37" xfId="1570" xr:uid="{00000000-0005-0000-0000-000031050000}"/>
    <cellStyle name="Heading 3 38" xfId="1611" xr:uid="{00000000-0005-0000-0000-000032050000}"/>
    <cellStyle name="Heading 3 4" xfId="160" xr:uid="{00000000-0005-0000-0000-000033050000}"/>
    <cellStyle name="Heading 3 5" xfId="201" xr:uid="{00000000-0005-0000-0000-000034050000}"/>
    <cellStyle name="Heading 3 6" xfId="243" xr:uid="{00000000-0005-0000-0000-000035050000}"/>
    <cellStyle name="Heading 3 7" xfId="286" xr:uid="{00000000-0005-0000-0000-000036050000}"/>
    <cellStyle name="Heading 3 8" xfId="329" xr:uid="{00000000-0005-0000-0000-000037050000}"/>
    <cellStyle name="Heading 3 9" xfId="372" xr:uid="{00000000-0005-0000-0000-000038050000}"/>
    <cellStyle name="Heading 4 10" xfId="416" xr:uid="{00000000-0005-0000-0000-000039050000}"/>
    <cellStyle name="Heading 4 11" xfId="458" xr:uid="{00000000-0005-0000-0000-00003A050000}"/>
    <cellStyle name="Heading 4 12" xfId="500" xr:uid="{00000000-0005-0000-0000-00003B050000}"/>
    <cellStyle name="Heading 4 13" xfId="543" xr:uid="{00000000-0005-0000-0000-00003C050000}"/>
    <cellStyle name="Heading 4 14" xfId="586" xr:uid="{00000000-0005-0000-0000-00003D050000}"/>
    <cellStyle name="Heading 4 15" xfId="629" xr:uid="{00000000-0005-0000-0000-00003E050000}"/>
    <cellStyle name="Heading 4 16" xfId="672" xr:uid="{00000000-0005-0000-0000-00003F050000}"/>
    <cellStyle name="Heading 4 17" xfId="715" xr:uid="{00000000-0005-0000-0000-000040050000}"/>
    <cellStyle name="Heading 4 18" xfId="758" xr:uid="{00000000-0005-0000-0000-000041050000}"/>
    <cellStyle name="Heading 4 19" xfId="801" xr:uid="{00000000-0005-0000-0000-000042050000}"/>
    <cellStyle name="Heading 4 2" xfId="76" xr:uid="{00000000-0005-0000-0000-000043050000}"/>
    <cellStyle name="Heading 4 20" xfId="844" xr:uid="{00000000-0005-0000-0000-000044050000}"/>
    <cellStyle name="Heading 4 21" xfId="887" xr:uid="{00000000-0005-0000-0000-000045050000}"/>
    <cellStyle name="Heading 4 22" xfId="930" xr:uid="{00000000-0005-0000-0000-000046050000}"/>
    <cellStyle name="Heading 4 23" xfId="973" xr:uid="{00000000-0005-0000-0000-000047050000}"/>
    <cellStyle name="Heading 4 24" xfId="1016" xr:uid="{00000000-0005-0000-0000-000048050000}"/>
    <cellStyle name="Heading 4 25" xfId="1059" xr:uid="{00000000-0005-0000-0000-000049050000}"/>
    <cellStyle name="Heading 4 26" xfId="1102" xr:uid="{00000000-0005-0000-0000-00004A050000}"/>
    <cellStyle name="Heading 4 27" xfId="1145" xr:uid="{00000000-0005-0000-0000-00004B050000}"/>
    <cellStyle name="Heading 4 28" xfId="1188" xr:uid="{00000000-0005-0000-0000-00004C050000}"/>
    <cellStyle name="Heading 4 29" xfId="1231" xr:uid="{00000000-0005-0000-0000-00004D050000}"/>
    <cellStyle name="Heading 4 3" xfId="120" xr:uid="{00000000-0005-0000-0000-00004E050000}"/>
    <cellStyle name="Heading 4 30" xfId="1274" xr:uid="{00000000-0005-0000-0000-00004F050000}"/>
    <cellStyle name="Heading 4 31" xfId="1317" xr:uid="{00000000-0005-0000-0000-000050050000}"/>
    <cellStyle name="Heading 4 32" xfId="1360" xr:uid="{00000000-0005-0000-0000-000051050000}"/>
    <cellStyle name="Heading 4 33" xfId="1403" xr:uid="{00000000-0005-0000-0000-000052050000}"/>
    <cellStyle name="Heading 4 34" xfId="1445" xr:uid="{00000000-0005-0000-0000-000053050000}"/>
    <cellStyle name="Heading 4 35" xfId="1487" xr:uid="{00000000-0005-0000-0000-000054050000}"/>
    <cellStyle name="Heading 4 36" xfId="1529" xr:uid="{00000000-0005-0000-0000-000055050000}"/>
    <cellStyle name="Heading 4 37" xfId="1571" xr:uid="{00000000-0005-0000-0000-000056050000}"/>
    <cellStyle name="Heading 4 38" xfId="1612" xr:uid="{00000000-0005-0000-0000-000057050000}"/>
    <cellStyle name="Heading 4 4" xfId="161" xr:uid="{00000000-0005-0000-0000-000058050000}"/>
    <cellStyle name="Heading 4 5" xfId="202" xr:uid="{00000000-0005-0000-0000-000059050000}"/>
    <cellStyle name="Heading 4 6" xfId="244" xr:uid="{00000000-0005-0000-0000-00005A050000}"/>
    <cellStyle name="Heading 4 7" xfId="287" xr:uid="{00000000-0005-0000-0000-00005B050000}"/>
    <cellStyle name="Heading 4 8" xfId="330" xr:uid="{00000000-0005-0000-0000-00005C050000}"/>
    <cellStyle name="Heading 4 9" xfId="373" xr:uid="{00000000-0005-0000-0000-00005D050000}"/>
    <cellStyle name="Heading1" xfId="1626" xr:uid="{00000000-0005-0000-0000-00005E050000}"/>
    <cellStyle name="Heading1 1" xfId="1639" xr:uid="{00000000-0005-0000-0000-00005F050000}"/>
    <cellStyle name="Hyperlink" xfId="2634" builtinId="8"/>
    <cellStyle name="Hyperlink 2" xfId="2018" xr:uid="{00000000-0005-0000-0000-000060050000}"/>
    <cellStyle name="Input 10" xfId="417" xr:uid="{00000000-0005-0000-0000-000061050000}"/>
    <cellStyle name="Input 10 2" xfId="1724" xr:uid="{00000000-0005-0000-0000-000062050000}"/>
    <cellStyle name="Input 10 2 2" xfId="2340" xr:uid="{2E817DCC-19C3-4980-B0AE-BA48A787662A}"/>
    <cellStyle name="Input 10 3" xfId="1923" xr:uid="{00000000-0005-0000-0000-000063050000}"/>
    <cellStyle name="Input 10 3 2" xfId="2539" xr:uid="{54BDAB4E-5792-46F1-87B3-E1E11E217431}"/>
    <cellStyle name="Input 10 4" xfId="2087" xr:uid="{30BE7AF5-B976-4B10-8F03-E40CA4FCBAFF}"/>
    <cellStyle name="Input 11" xfId="459" xr:uid="{00000000-0005-0000-0000-000064050000}"/>
    <cellStyle name="Input 11 2" xfId="1733" xr:uid="{00000000-0005-0000-0000-000065050000}"/>
    <cellStyle name="Input 11 2 2" xfId="2349" xr:uid="{6F82B217-ABDA-4164-B798-9EDB2AB58EEA}"/>
    <cellStyle name="Input 11 3" xfId="1870" xr:uid="{00000000-0005-0000-0000-000066050000}"/>
    <cellStyle name="Input 11 3 2" xfId="2486" xr:uid="{3C637D8A-90FB-46ED-9EDF-6B8A0FF8BD69}"/>
    <cellStyle name="Input 11 4" xfId="2093" xr:uid="{5C937EBC-24A4-4E63-A90D-6DF3628A26E5}"/>
    <cellStyle name="Input 12" xfId="501" xr:uid="{00000000-0005-0000-0000-000067050000}"/>
    <cellStyle name="Input 12 2" xfId="1742" xr:uid="{00000000-0005-0000-0000-000068050000}"/>
    <cellStyle name="Input 12 2 2" xfId="2358" xr:uid="{46550172-C77C-4E99-BF1E-5967E2114037}"/>
    <cellStyle name="Input 12 3" xfId="1818" xr:uid="{00000000-0005-0000-0000-000069050000}"/>
    <cellStyle name="Input 12 3 2" xfId="2434" xr:uid="{9BB47283-800E-44C4-9150-15E96BDEDFB4}"/>
    <cellStyle name="Input 12 4" xfId="2099" xr:uid="{2B0CD458-9521-4352-9615-66B6E93815ED}"/>
    <cellStyle name="Input 13" xfId="544" xr:uid="{00000000-0005-0000-0000-00006A050000}"/>
    <cellStyle name="Input 13 2" xfId="1752" xr:uid="{00000000-0005-0000-0000-00006B050000}"/>
    <cellStyle name="Input 13 2 2" xfId="2368" xr:uid="{E4A22FAF-0BBB-4B46-89B1-3A3BBF10979E}"/>
    <cellStyle name="Input 13 3" xfId="1767" xr:uid="{00000000-0005-0000-0000-00006C050000}"/>
    <cellStyle name="Input 13 3 2" xfId="2383" xr:uid="{4D75AF03-CBBC-47BD-B591-4DFB249314B6}"/>
    <cellStyle name="Input 13 4" xfId="2105" xr:uid="{54C4F528-BD34-4E3C-9250-2369824F9D7A}"/>
    <cellStyle name="Input 14" xfId="587" xr:uid="{00000000-0005-0000-0000-00006D050000}"/>
    <cellStyle name="Input 14 2" xfId="1761" xr:uid="{00000000-0005-0000-0000-00006E050000}"/>
    <cellStyle name="Input 14 2 2" xfId="2377" xr:uid="{4D51A14B-4233-404D-AF53-222A306E9F53}"/>
    <cellStyle name="Input 14 3" xfId="1712" xr:uid="{00000000-0005-0000-0000-00006F050000}"/>
    <cellStyle name="Input 14 3 2" xfId="2328" xr:uid="{5E323032-497D-421D-B069-ADEB2905AA0E}"/>
    <cellStyle name="Input 14 4" xfId="2111" xr:uid="{76C0F9AE-F336-49EE-9738-3D2FFA04FF7F}"/>
    <cellStyle name="Input 15" xfId="630" xr:uid="{00000000-0005-0000-0000-000070050000}"/>
    <cellStyle name="Input 15 2" xfId="1770" xr:uid="{00000000-0005-0000-0000-000071050000}"/>
    <cellStyle name="Input 15 2 2" xfId="2386" xr:uid="{B27C182F-C30A-4DF1-966D-64F7FCD0F67F}"/>
    <cellStyle name="Input 15 3" xfId="1986" xr:uid="{00000000-0005-0000-0000-000072050000}"/>
    <cellStyle name="Input 15 3 2" xfId="2602" xr:uid="{7A12EB48-9C06-45D0-A9D5-F574105262C8}"/>
    <cellStyle name="Input 15 4" xfId="2117" xr:uid="{F52CD100-A2E7-467D-9B42-69140445ABD9}"/>
    <cellStyle name="Input 16" xfId="673" xr:uid="{00000000-0005-0000-0000-000073050000}"/>
    <cellStyle name="Input 16 2" xfId="1780" xr:uid="{00000000-0005-0000-0000-000074050000}"/>
    <cellStyle name="Input 16 2 2" xfId="2396" xr:uid="{7796BAF2-7C92-4BB9-A9BF-BBD56A9D4B78}"/>
    <cellStyle name="Input 16 3" xfId="1929" xr:uid="{00000000-0005-0000-0000-000075050000}"/>
    <cellStyle name="Input 16 3 2" xfId="2545" xr:uid="{A70B0502-BA87-40C2-B87B-38E7EB71FA15}"/>
    <cellStyle name="Input 16 4" xfId="2123" xr:uid="{27D67645-EAEA-43A7-818A-CA8CF0DE2AC6}"/>
    <cellStyle name="Input 17" xfId="716" xr:uid="{00000000-0005-0000-0000-000076050000}"/>
    <cellStyle name="Input 17 2" xfId="1788" xr:uid="{00000000-0005-0000-0000-000077050000}"/>
    <cellStyle name="Input 17 2 2" xfId="2404" xr:uid="{DE44F3C4-5005-43FE-8F7E-7A49920053CF}"/>
    <cellStyle name="Input 17 3" xfId="1885" xr:uid="{00000000-0005-0000-0000-000078050000}"/>
    <cellStyle name="Input 17 3 2" xfId="2501" xr:uid="{78DD3ADE-B2DB-42A0-9B53-7B7CA99E258B}"/>
    <cellStyle name="Input 17 4" xfId="2129" xr:uid="{82A9DBD9-9B57-4398-BA94-8A2E124B32FF}"/>
    <cellStyle name="Input 18" xfId="759" xr:uid="{00000000-0005-0000-0000-000079050000}"/>
    <cellStyle name="Input 18 2" xfId="1799" xr:uid="{00000000-0005-0000-0000-00007A050000}"/>
    <cellStyle name="Input 18 2 2" xfId="2415" xr:uid="{8B5B6BB3-EBAB-462C-B727-7271075A46E3}"/>
    <cellStyle name="Input 18 3" xfId="1825" xr:uid="{00000000-0005-0000-0000-00007B050000}"/>
    <cellStyle name="Input 18 3 2" xfId="2441" xr:uid="{A864E95E-B32E-4BE0-A65F-DD6699169223}"/>
    <cellStyle name="Input 18 4" xfId="2135" xr:uid="{39625ADE-9DD4-4943-AB84-65FF7AE5E389}"/>
    <cellStyle name="Input 19" xfId="802" xr:uid="{00000000-0005-0000-0000-00007C050000}"/>
    <cellStyle name="Input 19 2" xfId="1809" xr:uid="{00000000-0005-0000-0000-00007D050000}"/>
    <cellStyle name="Input 19 2 2" xfId="2425" xr:uid="{D75EE965-316A-4289-97C5-9813B990FDFE}"/>
    <cellStyle name="Input 19 3" xfId="1776" xr:uid="{00000000-0005-0000-0000-00007E050000}"/>
    <cellStyle name="Input 19 3 2" xfId="2392" xr:uid="{6046E273-D3AA-408D-90F1-B9DF48AB150C}"/>
    <cellStyle name="Input 19 4" xfId="2141" xr:uid="{9A4FB49C-065D-4FE2-9587-508721BB3926}"/>
    <cellStyle name="Input 2" xfId="77" xr:uid="{00000000-0005-0000-0000-00007F050000}"/>
    <cellStyle name="Input 2 2" xfId="1651" xr:uid="{00000000-0005-0000-0000-000080050000}"/>
    <cellStyle name="Input 2 2 2" xfId="2267" xr:uid="{547492B7-990F-431B-9347-CA3A670DC0F9}"/>
    <cellStyle name="Input 2 3" xfId="1874" xr:uid="{00000000-0005-0000-0000-000081050000}"/>
    <cellStyle name="Input 2 3 2" xfId="2490" xr:uid="{8D6527BB-D682-46E5-B5FA-BB77D0A0C49B}"/>
    <cellStyle name="Input 2 4" xfId="2042" xr:uid="{2AAED854-E001-4006-86BC-DCF1ED28E4B2}"/>
    <cellStyle name="Input 20" xfId="845" xr:uid="{00000000-0005-0000-0000-000082050000}"/>
    <cellStyle name="Input 20 2" xfId="1820" xr:uid="{00000000-0005-0000-0000-000083050000}"/>
    <cellStyle name="Input 20 2 2" xfId="2436" xr:uid="{E7182D1A-B84A-4A8D-9CB3-96D6E8BBE3C1}"/>
    <cellStyle name="Input 20 3" xfId="1720" xr:uid="{00000000-0005-0000-0000-000084050000}"/>
    <cellStyle name="Input 20 3 2" xfId="2336" xr:uid="{452E8518-10EC-47DD-BEA5-680D4641492D}"/>
    <cellStyle name="Input 20 4" xfId="2147" xr:uid="{5F30F4CF-48CB-4182-9BAB-68BBDD417832}"/>
    <cellStyle name="Input 21" xfId="888" xr:uid="{00000000-0005-0000-0000-000085050000}"/>
    <cellStyle name="Input 21 2" xfId="1829" xr:uid="{00000000-0005-0000-0000-000086050000}"/>
    <cellStyle name="Input 21 2 2" xfId="2445" xr:uid="{B37F9042-9349-4EFF-B2FC-92C995E5365A}"/>
    <cellStyle name="Input 21 3" xfId="1665" xr:uid="{00000000-0005-0000-0000-000087050000}"/>
    <cellStyle name="Input 21 3 2" xfId="2281" xr:uid="{586C4C2B-D810-40C3-8220-CD998F813A4D}"/>
    <cellStyle name="Input 21 4" xfId="2153" xr:uid="{74332D78-EDC0-4A88-BC18-643B7348B9EF}"/>
    <cellStyle name="Input 22" xfId="931" xr:uid="{00000000-0005-0000-0000-000088050000}"/>
    <cellStyle name="Input 22 2" xfId="1840" xr:uid="{00000000-0005-0000-0000-000089050000}"/>
    <cellStyle name="Input 22 2 2" xfId="2456" xr:uid="{202E67F2-2459-484B-AD75-4958DCE91C34}"/>
    <cellStyle name="Input 22 3" xfId="1939" xr:uid="{00000000-0005-0000-0000-00008A050000}"/>
    <cellStyle name="Input 22 3 2" xfId="2555" xr:uid="{735FA763-D349-4F5E-847E-1DB60986C71E}"/>
    <cellStyle name="Input 22 4" xfId="2159" xr:uid="{64D5A66F-4C58-44E0-8B91-CA0EE1CDC19E}"/>
    <cellStyle name="Input 23" xfId="974" xr:uid="{00000000-0005-0000-0000-00008B050000}"/>
    <cellStyle name="Input 23 2" xfId="1851" xr:uid="{00000000-0005-0000-0000-00008C050000}"/>
    <cellStyle name="Input 23 2 2" xfId="2467" xr:uid="{4B9DC218-48B1-4D36-9044-CC4AEF7856F4}"/>
    <cellStyle name="Input 23 3" xfId="1894" xr:uid="{00000000-0005-0000-0000-00008D050000}"/>
    <cellStyle name="Input 23 3 2" xfId="2510" xr:uid="{D7326FE4-7786-41FC-83F2-F4E8CF40FEE8}"/>
    <cellStyle name="Input 23 4" xfId="2165" xr:uid="{EC17D7C0-3B4F-40CF-AE22-9495CE627436}"/>
    <cellStyle name="Input 24" xfId="1017" xr:uid="{00000000-0005-0000-0000-00008E050000}"/>
    <cellStyle name="Input 24 2" xfId="1861" xr:uid="{00000000-0005-0000-0000-00008F050000}"/>
    <cellStyle name="Input 24 2 2" xfId="2477" xr:uid="{0F9F9A0E-1D90-45A1-87B1-6F4E757C2E97}"/>
    <cellStyle name="Input 24 3" xfId="1837" xr:uid="{00000000-0005-0000-0000-000090050000}"/>
    <cellStyle name="Input 24 3 2" xfId="2453" xr:uid="{0069A1FF-0C3A-4DB9-B7C7-F1A521744C45}"/>
    <cellStyle name="Input 24 4" xfId="2171" xr:uid="{491E4254-3798-49DC-BACC-A68025AA2483}"/>
    <cellStyle name="Input 25" xfId="1060" xr:uid="{00000000-0005-0000-0000-000091050000}"/>
    <cellStyle name="Input 25 2" xfId="1871" xr:uid="{00000000-0005-0000-0000-000092050000}"/>
    <cellStyle name="Input 25 2 2" xfId="2487" xr:uid="{62D7B0A0-A657-483E-ABCE-3A72B8103170}"/>
    <cellStyle name="Input 25 3" xfId="1784" xr:uid="{00000000-0005-0000-0000-000093050000}"/>
    <cellStyle name="Input 25 3 2" xfId="2400" xr:uid="{2963E774-7734-4E82-999C-F1568B38AC76}"/>
    <cellStyle name="Input 25 4" xfId="2177" xr:uid="{CC03E909-843A-4137-B9D4-E6C3D435750A}"/>
    <cellStyle name="Input 26" xfId="1103" xr:uid="{00000000-0005-0000-0000-000094050000}"/>
    <cellStyle name="Input 26 2" xfId="1879" xr:uid="{00000000-0005-0000-0000-000095050000}"/>
    <cellStyle name="Input 26 2 2" xfId="2495" xr:uid="{FA6BD479-BF12-4AF5-81F3-AF6C443A523C}"/>
    <cellStyle name="Input 26 3" xfId="1728" xr:uid="{00000000-0005-0000-0000-000096050000}"/>
    <cellStyle name="Input 26 3 2" xfId="2344" xr:uid="{76AB9807-DA34-41A4-B319-B6D9157746F6}"/>
    <cellStyle name="Input 26 4" xfId="2183" xr:uid="{6BF6BD0D-C570-47C3-9B99-EF71F110F6DC}"/>
    <cellStyle name="Input 27" xfId="1146" xr:uid="{00000000-0005-0000-0000-000097050000}"/>
    <cellStyle name="Input 27 2" xfId="1889" xr:uid="{00000000-0005-0000-0000-000098050000}"/>
    <cellStyle name="Input 27 2 2" xfId="2505" xr:uid="{77419BFD-74E1-4B41-8556-751F0E4EF100}"/>
    <cellStyle name="Input 27 3" xfId="1673" xr:uid="{00000000-0005-0000-0000-000099050000}"/>
    <cellStyle name="Input 27 3 2" xfId="2289" xr:uid="{FBA1A3D0-E017-4421-833F-8DB637CB0419}"/>
    <cellStyle name="Input 27 4" xfId="2189" xr:uid="{E816EEB0-F2E3-4C02-9DFB-ED639293ACDA}"/>
    <cellStyle name="Input 28" xfId="1189" xr:uid="{00000000-0005-0000-0000-00009A050000}"/>
    <cellStyle name="Input 28 2" xfId="1898" xr:uid="{00000000-0005-0000-0000-00009B050000}"/>
    <cellStyle name="Input 28 2 2" xfId="2514" xr:uid="{0FD2B155-52FB-4D78-A6EF-AF947A27C79D}"/>
    <cellStyle name="Input 28 3" xfId="1949" xr:uid="{00000000-0005-0000-0000-00009C050000}"/>
    <cellStyle name="Input 28 3 2" xfId="2565" xr:uid="{2B06E809-CF6D-4034-A005-EF7958939598}"/>
    <cellStyle name="Input 28 4" xfId="2195" xr:uid="{BC104513-68C5-4F46-91E4-010E907E2613}"/>
    <cellStyle name="Input 29" xfId="1232" xr:uid="{00000000-0005-0000-0000-00009D050000}"/>
    <cellStyle name="Input 29 2" xfId="1907" xr:uid="{00000000-0005-0000-0000-00009E050000}"/>
    <cellStyle name="Input 29 2 2" xfId="2523" xr:uid="{22DD6F2B-DF6E-4D64-8B5F-6A0BA008AC8C}"/>
    <cellStyle name="Input 29 3" xfId="1902" xr:uid="{00000000-0005-0000-0000-00009F050000}"/>
    <cellStyle name="Input 29 3 2" xfId="2518" xr:uid="{20D6128B-94CE-4273-B9D1-6E56EB990066}"/>
    <cellStyle name="Input 29 4" xfId="2201" xr:uid="{A3E1BA65-D9BA-4D3B-9A1F-DF8678E65616}"/>
    <cellStyle name="Input 3" xfId="121" xr:uid="{00000000-0005-0000-0000-0000A0050000}"/>
    <cellStyle name="Input 3 2" xfId="1660" xr:uid="{00000000-0005-0000-0000-0000A1050000}"/>
    <cellStyle name="Input 3 2 2" xfId="2276" xr:uid="{EFCEF0FD-56F3-4880-8BB5-2673AA4521BF}"/>
    <cellStyle name="Input 3 3" xfId="1892" xr:uid="{00000000-0005-0000-0000-0000A2050000}"/>
    <cellStyle name="Input 3 3 2" xfId="2508" xr:uid="{73A8FECC-243A-48E7-8B83-CF25EFC564EE}"/>
    <cellStyle name="Input 3 4" xfId="2047" xr:uid="{0693E0B7-378C-4448-8BBE-6C86049154B5}"/>
    <cellStyle name="Input 30" xfId="1275" xr:uid="{00000000-0005-0000-0000-0000A3050000}"/>
    <cellStyle name="Input 30 2" xfId="1916" xr:uid="{00000000-0005-0000-0000-0000A4050000}"/>
    <cellStyle name="Input 30 2 2" xfId="2532" xr:uid="{1D3ABC0B-5925-462D-8FEE-770E3330A2FC}"/>
    <cellStyle name="Input 30 3" xfId="1846" xr:uid="{00000000-0005-0000-0000-0000A5050000}"/>
    <cellStyle name="Input 30 3 2" xfId="2462" xr:uid="{DE5E4E36-AAA6-43A6-B3DE-6884CA84A9C2}"/>
    <cellStyle name="Input 30 4" xfId="2207" xr:uid="{506C20AF-CDC3-47E3-8830-A228F56D4427}"/>
    <cellStyle name="Input 31" xfId="1318" xr:uid="{00000000-0005-0000-0000-0000A6050000}"/>
    <cellStyle name="Input 31 2" xfId="1924" xr:uid="{00000000-0005-0000-0000-0000A7050000}"/>
    <cellStyle name="Input 31 2 2" xfId="2540" xr:uid="{77F17254-4684-4E9A-80EC-FE6FD3471A90}"/>
    <cellStyle name="Input 31 3" xfId="1793" xr:uid="{00000000-0005-0000-0000-0000A8050000}"/>
    <cellStyle name="Input 31 3 2" xfId="2409" xr:uid="{1E259011-FFDD-409E-98C5-F3C2497AFCF6}"/>
    <cellStyle name="Input 31 4" xfId="2213" xr:uid="{94ACBA5B-A880-4EBF-8BBF-8094A0D66C1F}"/>
    <cellStyle name="Input 32" xfId="1361" xr:uid="{00000000-0005-0000-0000-0000A9050000}"/>
    <cellStyle name="Input 32 2" xfId="1932" xr:uid="{00000000-0005-0000-0000-0000AA050000}"/>
    <cellStyle name="Input 32 2 2" xfId="2548" xr:uid="{7434FC3B-01AA-4478-B7AA-522B25EA6DC9}"/>
    <cellStyle name="Input 32 3" xfId="1737" xr:uid="{00000000-0005-0000-0000-0000AB050000}"/>
    <cellStyle name="Input 32 3 2" xfId="2353" xr:uid="{8EC0538B-572D-49BA-ABF1-8C0E7EC441BE}"/>
    <cellStyle name="Input 32 4" xfId="2219" xr:uid="{2C1A2251-6A27-4F20-9F35-00E96563A7D2}"/>
    <cellStyle name="Input 33" xfId="1404" xr:uid="{00000000-0005-0000-0000-0000AC050000}"/>
    <cellStyle name="Input 33 2" xfId="1944" xr:uid="{00000000-0005-0000-0000-0000AD050000}"/>
    <cellStyle name="Input 33 2 2" xfId="2560" xr:uid="{6E86F002-D457-4614-8F5C-4D7BB6462761}"/>
    <cellStyle name="Input 33 3" xfId="1669" xr:uid="{00000000-0005-0000-0000-0000AE050000}"/>
    <cellStyle name="Input 33 3 2" xfId="2285" xr:uid="{463D6FBD-55A8-4438-82BE-CD5BD7F46FC7}"/>
    <cellStyle name="Input 33 4" xfId="2225" xr:uid="{7FACC3EA-0F6C-4B7B-92AE-A0396805D768}"/>
    <cellStyle name="Input 34" xfId="1446" xr:uid="{00000000-0005-0000-0000-0000AF050000}"/>
    <cellStyle name="Input 34 2" xfId="1954" xr:uid="{00000000-0005-0000-0000-0000B0050000}"/>
    <cellStyle name="Input 34 2 2" xfId="2570" xr:uid="{A98DDF09-B814-492A-B544-59E674627857}"/>
    <cellStyle name="Input 34 3" xfId="1646" xr:uid="{00000000-0005-0000-0000-0000B1050000}"/>
    <cellStyle name="Input 34 3 2" xfId="2262" xr:uid="{AE7FE57E-CC6C-413D-A795-C3D2E35E7867}"/>
    <cellStyle name="Input 34 4" xfId="2231" xr:uid="{9AB29436-5F92-46A2-A150-4654723C253C}"/>
    <cellStyle name="Input 35" xfId="1488" xr:uid="{00000000-0005-0000-0000-0000B2050000}"/>
    <cellStyle name="Input 35 2" xfId="1962" xr:uid="{00000000-0005-0000-0000-0000B3050000}"/>
    <cellStyle name="Input 35 2 2" xfId="2578" xr:uid="{99E63C31-3082-43BD-BB90-35AA731CB4BF}"/>
    <cellStyle name="Input 35 3" xfId="1994" xr:uid="{00000000-0005-0000-0000-0000B4050000}"/>
    <cellStyle name="Input 35 3 2" xfId="2610" xr:uid="{03E7D0F8-2481-46BD-AA69-87815F6DCF3C}"/>
    <cellStyle name="Input 35 4" xfId="2236" xr:uid="{2B4AB48E-31FA-432D-8AFE-870879FCC1E1}"/>
    <cellStyle name="Input 36" xfId="1530" xr:uid="{00000000-0005-0000-0000-0000B5050000}"/>
    <cellStyle name="Input 36 2" xfId="1971" xr:uid="{00000000-0005-0000-0000-0000B6050000}"/>
    <cellStyle name="Input 36 2 2" xfId="2587" xr:uid="{AB61ED0E-AEFE-43C0-AB9B-30F4CE5CF874}"/>
    <cellStyle name="Input 36 3" xfId="1999" xr:uid="{00000000-0005-0000-0000-0000B7050000}"/>
    <cellStyle name="Input 36 3 2" xfId="2615" xr:uid="{39DF1086-6969-4039-825C-D1C8ACE46C33}"/>
    <cellStyle name="Input 36 4" xfId="2241" xr:uid="{4C6134EF-4346-42C6-BFB4-540D6D94BCA9}"/>
    <cellStyle name="Input 37" xfId="1572" xr:uid="{00000000-0005-0000-0000-0000B8050000}"/>
    <cellStyle name="Input 37 2" xfId="1981" xr:uid="{00000000-0005-0000-0000-0000B9050000}"/>
    <cellStyle name="Input 37 2 2" xfId="2597" xr:uid="{AA09DD01-170D-41C0-9ACD-80BC54A0939A}"/>
    <cellStyle name="Input 37 3" xfId="2004" xr:uid="{00000000-0005-0000-0000-0000BA050000}"/>
    <cellStyle name="Input 37 3 2" xfId="2620" xr:uid="{B9CC0464-7B94-48E0-8811-B85F261132E7}"/>
    <cellStyle name="Input 37 4" xfId="2247" xr:uid="{EBE52294-6CAF-4D80-9531-CA97A3B37C2E}"/>
    <cellStyle name="Input 38" xfId="1613" xr:uid="{00000000-0005-0000-0000-0000BB050000}"/>
    <cellStyle name="Input 38 2" xfId="1989" xr:uid="{00000000-0005-0000-0000-0000BC050000}"/>
    <cellStyle name="Input 38 2 2" xfId="2605" xr:uid="{313002BE-15BD-48AD-B081-54FE06303EE5}"/>
    <cellStyle name="Input 38 3" xfId="2009" xr:uid="{00000000-0005-0000-0000-0000BD050000}"/>
    <cellStyle name="Input 38 3 2" xfId="2625" xr:uid="{18FB7298-BBD8-45F3-8A93-38ED1801C4CC}"/>
    <cellStyle name="Input 38 4" xfId="2253" xr:uid="{EBA7C839-BCAA-46EC-81F2-3792B0BDFA1D}"/>
    <cellStyle name="Input 4" xfId="162" xr:uid="{00000000-0005-0000-0000-0000BE050000}"/>
    <cellStyle name="Input 4 2" xfId="1668" xr:uid="{00000000-0005-0000-0000-0000BF050000}"/>
    <cellStyle name="Input 4 2 2" xfId="2284" xr:uid="{64584F8E-C1F8-4213-A274-5DB3FFC2F2E5}"/>
    <cellStyle name="Input 4 3" xfId="1880" xr:uid="{00000000-0005-0000-0000-0000C0050000}"/>
    <cellStyle name="Input 4 3 2" xfId="2496" xr:uid="{7F8F457E-9FA6-442F-8BDD-C0FB498BBB1F}"/>
    <cellStyle name="Input 4 4" xfId="2052" xr:uid="{E4A12631-636F-4617-9EDC-8ECF7ACDA35E}"/>
    <cellStyle name="Input 5" xfId="203" xr:uid="{00000000-0005-0000-0000-0000C1050000}"/>
    <cellStyle name="Input 5 2" xfId="1679" xr:uid="{00000000-0005-0000-0000-0000C2050000}"/>
    <cellStyle name="Input 5 2 2" xfId="2295" xr:uid="{C6CD8D5E-A907-462A-A5D3-0A47F3B35BA4}"/>
    <cellStyle name="Input 5 3" xfId="1830" xr:uid="{00000000-0005-0000-0000-0000C3050000}"/>
    <cellStyle name="Input 5 3 2" xfId="2446" xr:uid="{5F1DA52E-12F0-47C6-9117-F28A2AB7E207}"/>
    <cellStyle name="Input 5 4" xfId="2057" xr:uid="{27D2D544-C378-4A4A-8E8C-B1B9D095092B}"/>
    <cellStyle name="Input 6" xfId="245" xr:uid="{00000000-0005-0000-0000-0000C4050000}"/>
    <cellStyle name="Input 6 2" xfId="1687" xr:uid="{00000000-0005-0000-0000-0000C5050000}"/>
    <cellStyle name="Input 6 2 2" xfId="2303" xr:uid="{A764003A-58CD-492D-BEEB-E3548FC4D8AD}"/>
    <cellStyle name="Input 6 3" xfId="1808" xr:uid="{00000000-0005-0000-0000-0000C6050000}"/>
    <cellStyle name="Input 6 3 2" xfId="2424" xr:uid="{EE5B867C-65CE-437F-9AD7-FFDE0AA0B44D}"/>
    <cellStyle name="Input 6 4" xfId="2063" xr:uid="{44BB3696-5C6D-48FE-A699-B2B701DB7DD5}"/>
    <cellStyle name="Input 7" xfId="288" xr:uid="{00000000-0005-0000-0000-0000C7050000}"/>
    <cellStyle name="Input 7 2" xfId="1697" xr:uid="{00000000-0005-0000-0000-0000C8050000}"/>
    <cellStyle name="Input 7 2 2" xfId="2313" xr:uid="{D5608056-54F1-47F3-8DEC-6CC3A276D49D}"/>
    <cellStyle name="Input 7 3" xfId="1751" xr:uid="{00000000-0005-0000-0000-0000C9050000}"/>
    <cellStyle name="Input 7 3 2" xfId="2367" xr:uid="{EC0803A6-7C92-47FC-90AC-2F99BCD42EF9}"/>
    <cellStyle name="Input 7 4" xfId="2069" xr:uid="{ED35913A-0D9C-4CA4-A98C-25727D2E8E3E}"/>
    <cellStyle name="Input 8" xfId="331" xr:uid="{00000000-0005-0000-0000-0000CA050000}"/>
    <cellStyle name="Input 8 2" xfId="1706" xr:uid="{00000000-0005-0000-0000-0000CB050000}"/>
    <cellStyle name="Input 8 2 2" xfId="2322" xr:uid="{EA6774CD-2E34-4966-BDC0-3B4BC63FD739}"/>
    <cellStyle name="Input 8 3" xfId="1696" xr:uid="{00000000-0005-0000-0000-0000CC050000}"/>
    <cellStyle name="Input 8 3 2" xfId="2312" xr:uid="{1703D4C1-FD9C-498B-BDED-01646BBB5D3E}"/>
    <cellStyle name="Input 8 4" xfId="2075" xr:uid="{E175427F-072A-4170-864D-9A4F6417825D}"/>
    <cellStyle name="Input 9" xfId="374" xr:uid="{00000000-0005-0000-0000-0000CD050000}"/>
    <cellStyle name="Input 9 2" xfId="1715" xr:uid="{00000000-0005-0000-0000-0000CE050000}"/>
    <cellStyle name="Input 9 2 2" xfId="2331" xr:uid="{080DCD23-93F3-4810-A5B0-C7BBDEEA0162}"/>
    <cellStyle name="Input 9 3" xfId="1979" xr:uid="{00000000-0005-0000-0000-0000CF050000}"/>
    <cellStyle name="Input 9 3 2" xfId="2595" xr:uid="{48F94EBE-90E2-46C4-BE67-D6873EFBFF28}"/>
    <cellStyle name="Input 9 4" xfId="2081" xr:uid="{6B60B4B1-5102-498A-8561-A90235ADC13D}"/>
    <cellStyle name="Linked Cell 10" xfId="418" xr:uid="{00000000-0005-0000-0000-0000D0050000}"/>
    <cellStyle name="Linked Cell 11" xfId="460" xr:uid="{00000000-0005-0000-0000-0000D1050000}"/>
    <cellStyle name="Linked Cell 12" xfId="502" xr:uid="{00000000-0005-0000-0000-0000D2050000}"/>
    <cellStyle name="Linked Cell 13" xfId="545" xr:uid="{00000000-0005-0000-0000-0000D3050000}"/>
    <cellStyle name="Linked Cell 14" xfId="588" xr:uid="{00000000-0005-0000-0000-0000D4050000}"/>
    <cellStyle name="Linked Cell 15" xfId="631" xr:uid="{00000000-0005-0000-0000-0000D5050000}"/>
    <cellStyle name="Linked Cell 16" xfId="674" xr:uid="{00000000-0005-0000-0000-0000D6050000}"/>
    <cellStyle name="Linked Cell 17" xfId="717" xr:uid="{00000000-0005-0000-0000-0000D7050000}"/>
    <cellStyle name="Linked Cell 18" xfId="760" xr:uid="{00000000-0005-0000-0000-0000D8050000}"/>
    <cellStyle name="Linked Cell 19" xfId="803" xr:uid="{00000000-0005-0000-0000-0000D9050000}"/>
    <cellStyle name="Linked Cell 2" xfId="78" xr:uid="{00000000-0005-0000-0000-0000DA050000}"/>
    <cellStyle name="Linked Cell 20" xfId="846" xr:uid="{00000000-0005-0000-0000-0000DB050000}"/>
    <cellStyle name="Linked Cell 21" xfId="889" xr:uid="{00000000-0005-0000-0000-0000DC050000}"/>
    <cellStyle name="Linked Cell 22" xfId="932" xr:uid="{00000000-0005-0000-0000-0000DD050000}"/>
    <cellStyle name="Linked Cell 23" xfId="975" xr:uid="{00000000-0005-0000-0000-0000DE050000}"/>
    <cellStyle name="Linked Cell 24" xfId="1018" xr:uid="{00000000-0005-0000-0000-0000DF050000}"/>
    <cellStyle name="Linked Cell 25" xfId="1061" xr:uid="{00000000-0005-0000-0000-0000E0050000}"/>
    <cellStyle name="Linked Cell 26" xfId="1104" xr:uid="{00000000-0005-0000-0000-0000E1050000}"/>
    <cellStyle name="Linked Cell 27" xfId="1147" xr:uid="{00000000-0005-0000-0000-0000E2050000}"/>
    <cellStyle name="Linked Cell 28" xfId="1190" xr:uid="{00000000-0005-0000-0000-0000E3050000}"/>
    <cellStyle name="Linked Cell 29" xfId="1233" xr:uid="{00000000-0005-0000-0000-0000E4050000}"/>
    <cellStyle name="Linked Cell 3" xfId="122" xr:uid="{00000000-0005-0000-0000-0000E5050000}"/>
    <cellStyle name="Linked Cell 30" xfId="1276" xr:uid="{00000000-0005-0000-0000-0000E6050000}"/>
    <cellStyle name="Linked Cell 31" xfId="1319" xr:uid="{00000000-0005-0000-0000-0000E7050000}"/>
    <cellStyle name="Linked Cell 32" xfId="1362" xr:uid="{00000000-0005-0000-0000-0000E8050000}"/>
    <cellStyle name="Linked Cell 33" xfId="1405" xr:uid="{00000000-0005-0000-0000-0000E9050000}"/>
    <cellStyle name="Linked Cell 34" xfId="1447" xr:uid="{00000000-0005-0000-0000-0000EA050000}"/>
    <cellStyle name="Linked Cell 35" xfId="1489" xr:uid="{00000000-0005-0000-0000-0000EB050000}"/>
    <cellStyle name="Linked Cell 36" xfId="1531" xr:uid="{00000000-0005-0000-0000-0000EC050000}"/>
    <cellStyle name="Linked Cell 37" xfId="1573" xr:uid="{00000000-0005-0000-0000-0000ED050000}"/>
    <cellStyle name="Linked Cell 38" xfId="1614" xr:uid="{00000000-0005-0000-0000-0000EE050000}"/>
    <cellStyle name="Linked Cell 4" xfId="163" xr:uid="{00000000-0005-0000-0000-0000EF050000}"/>
    <cellStyle name="Linked Cell 5" xfId="204" xr:uid="{00000000-0005-0000-0000-0000F0050000}"/>
    <cellStyle name="Linked Cell 6" xfId="246" xr:uid="{00000000-0005-0000-0000-0000F1050000}"/>
    <cellStyle name="Linked Cell 7" xfId="289" xr:uid="{00000000-0005-0000-0000-0000F2050000}"/>
    <cellStyle name="Linked Cell 8" xfId="332" xr:uid="{00000000-0005-0000-0000-0000F3050000}"/>
    <cellStyle name="Linked Cell 9" xfId="375" xr:uid="{00000000-0005-0000-0000-0000F4050000}"/>
    <cellStyle name="Neutral 10" xfId="419" xr:uid="{00000000-0005-0000-0000-0000F5050000}"/>
    <cellStyle name="Neutral 11" xfId="461" xr:uid="{00000000-0005-0000-0000-0000F6050000}"/>
    <cellStyle name="Neutral 12" xfId="503" xr:uid="{00000000-0005-0000-0000-0000F7050000}"/>
    <cellStyle name="Neutral 13" xfId="546" xr:uid="{00000000-0005-0000-0000-0000F8050000}"/>
    <cellStyle name="Neutral 14" xfId="589" xr:uid="{00000000-0005-0000-0000-0000F9050000}"/>
    <cellStyle name="Neutral 15" xfId="632" xr:uid="{00000000-0005-0000-0000-0000FA050000}"/>
    <cellStyle name="Neutral 16" xfId="675" xr:uid="{00000000-0005-0000-0000-0000FB050000}"/>
    <cellStyle name="Neutral 17" xfId="718" xr:uid="{00000000-0005-0000-0000-0000FC050000}"/>
    <cellStyle name="Neutral 18" xfId="761" xr:uid="{00000000-0005-0000-0000-0000FD050000}"/>
    <cellStyle name="Neutral 19" xfId="804" xr:uid="{00000000-0005-0000-0000-0000FE050000}"/>
    <cellStyle name="Neutral 2" xfId="79" xr:uid="{00000000-0005-0000-0000-0000FF050000}"/>
    <cellStyle name="Neutral 20" xfId="847" xr:uid="{00000000-0005-0000-0000-000000060000}"/>
    <cellStyle name="Neutral 21" xfId="890" xr:uid="{00000000-0005-0000-0000-000001060000}"/>
    <cellStyle name="Neutral 22" xfId="933" xr:uid="{00000000-0005-0000-0000-000002060000}"/>
    <cellStyle name="Neutral 23" xfId="976" xr:uid="{00000000-0005-0000-0000-000003060000}"/>
    <cellStyle name="Neutral 24" xfId="1019" xr:uid="{00000000-0005-0000-0000-000004060000}"/>
    <cellStyle name="Neutral 25" xfId="1062" xr:uid="{00000000-0005-0000-0000-000005060000}"/>
    <cellStyle name="Neutral 26" xfId="1105" xr:uid="{00000000-0005-0000-0000-000006060000}"/>
    <cellStyle name="Neutral 27" xfId="1148" xr:uid="{00000000-0005-0000-0000-000007060000}"/>
    <cellStyle name="Neutral 28" xfId="1191" xr:uid="{00000000-0005-0000-0000-000008060000}"/>
    <cellStyle name="Neutral 29" xfId="1234" xr:uid="{00000000-0005-0000-0000-000009060000}"/>
    <cellStyle name="Neutral 3" xfId="123" xr:uid="{00000000-0005-0000-0000-00000A060000}"/>
    <cellStyle name="Neutral 30" xfId="1277" xr:uid="{00000000-0005-0000-0000-00000B060000}"/>
    <cellStyle name="Neutral 31" xfId="1320" xr:uid="{00000000-0005-0000-0000-00000C060000}"/>
    <cellStyle name="Neutral 32" xfId="1363" xr:uid="{00000000-0005-0000-0000-00000D060000}"/>
    <cellStyle name="Neutral 33" xfId="1406" xr:uid="{00000000-0005-0000-0000-00000E060000}"/>
    <cellStyle name="Neutral 34" xfId="1448" xr:uid="{00000000-0005-0000-0000-00000F060000}"/>
    <cellStyle name="Neutral 35" xfId="1490" xr:uid="{00000000-0005-0000-0000-000010060000}"/>
    <cellStyle name="Neutral 36" xfId="1532" xr:uid="{00000000-0005-0000-0000-000011060000}"/>
    <cellStyle name="Neutral 37" xfId="1574" xr:uid="{00000000-0005-0000-0000-000012060000}"/>
    <cellStyle name="Neutral 38" xfId="1615" xr:uid="{00000000-0005-0000-0000-000013060000}"/>
    <cellStyle name="Neutral 4" xfId="164" xr:uid="{00000000-0005-0000-0000-000014060000}"/>
    <cellStyle name="Neutral 5" xfId="205" xr:uid="{00000000-0005-0000-0000-000015060000}"/>
    <cellStyle name="Neutral 6" xfId="247" xr:uid="{00000000-0005-0000-0000-000016060000}"/>
    <cellStyle name="Neutral 7" xfId="290" xr:uid="{00000000-0005-0000-0000-000017060000}"/>
    <cellStyle name="Neutral 8" xfId="333" xr:uid="{00000000-0005-0000-0000-000018060000}"/>
    <cellStyle name="Neutral 9" xfId="376" xr:uid="{00000000-0005-0000-0000-000019060000}"/>
    <cellStyle name="Normal" xfId="0" builtinId="0"/>
    <cellStyle name="Normal - Style1 4" xfId="2027" xr:uid="{00000000-0005-0000-0000-00001B060000}"/>
    <cellStyle name="Normal 10" xfId="380" xr:uid="{00000000-0005-0000-0000-00001C060000}"/>
    <cellStyle name="Normal 10 2" xfId="2022" xr:uid="{00000000-0005-0000-0000-00001D060000}"/>
    <cellStyle name="Normal 11" xfId="4" xr:uid="{00000000-0005-0000-0000-00001E060000}"/>
    <cellStyle name="Normal 12" xfId="18" xr:uid="{00000000-0005-0000-0000-00001F060000}"/>
    <cellStyle name="Normal 125" xfId="15" xr:uid="{00000000-0005-0000-0000-000020060000}"/>
    <cellStyle name="Normal 13" xfId="507" xr:uid="{00000000-0005-0000-0000-000021060000}"/>
    <cellStyle name="Normal 14" xfId="550" xr:uid="{00000000-0005-0000-0000-000022060000}"/>
    <cellStyle name="Normal 15" xfId="593" xr:uid="{00000000-0005-0000-0000-000023060000}"/>
    <cellStyle name="Normal 16" xfId="636" xr:uid="{00000000-0005-0000-0000-000024060000}"/>
    <cellStyle name="Normal 17" xfId="679" xr:uid="{00000000-0005-0000-0000-000025060000}"/>
    <cellStyle name="Normal 18" xfId="722" xr:uid="{00000000-0005-0000-0000-000026060000}"/>
    <cellStyle name="Normal 19" xfId="765" xr:uid="{00000000-0005-0000-0000-000027060000}"/>
    <cellStyle name="Normal 2" xfId="2" xr:uid="{00000000-0005-0000-0000-000028060000}"/>
    <cellStyle name="Normal 2 10" xfId="2021" xr:uid="{00000000-0005-0000-0000-000029060000}"/>
    <cellStyle name="Normal 2 2" xfId="6" xr:uid="{00000000-0005-0000-0000-00002A060000}"/>
    <cellStyle name="Normal 2 2 2" xfId="1630" xr:uid="{00000000-0005-0000-0000-00002B060000}"/>
    <cellStyle name="Normal 2_Xl0000363 2" xfId="13" xr:uid="{00000000-0005-0000-0000-00002C060000}"/>
    <cellStyle name="Normal 20" xfId="808" xr:uid="{00000000-0005-0000-0000-00002D060000}"/>
    <cellStyle name="Normal 21" xfId="851" xr:uid="{00000000-0005-0000-0000-00002E060000}"/>
    <cellStyle name="Normal 22" xfId="894" xr:uid="{00000000-0005-0000-0000-00002F060000}"/>
    <cellStyle name="Normal 23" xfId="937" xr:uid="{00000000-0005-0000-0000-000030060000}"/>
    <cellStyle name="Normal 23 2" xfId="2013" xr:uid="{00000000-0005-0000-0000-000031060000}"/>
    <cellStyle name="Normal 24" xfId="980" xr:uid="{00000000-0005-0000-0000-000032060000}"/>
    <cellStyle name="Normal 25" xfId="1023" xr:uid="{00000000-0005-0000-0000-000033060000}"/>
    <cellStyle name="Normal 26" xfId="1066" xr:uid="{00000000-0005-0000-0000-000034060000}"/>
    <cellStyle name="Normal 27" xfId="1109" xr:uid="{00000000-0005-0000-0000-000035060000}"/>
    <cellStyle name="Normal 27 5" xfId="2019" xr:uid="{00000000-0005-0000-0000-000036060000}"/>
    <cellStyle name="Normal 28" xfId="1152" xr:uid="{00000000-0005-0000-0000-000037060000}"/>
    <cellStyle name="Normal 29" xfId="1195" xr:uid="{00000000-0005-0000-0000-000038060000}"/>
    <cellStyle name="Normal 3" xfId="1623" xr:uid="{00000000-0005-0000-0000-000039060000}"/>
    <cellStyle name="Normal 3 2" xfId="1629" xr:uid="{00000000-0005-0000-0000-00003A060000}"/>
    <cellStyle name="Normal 3 3" xfId="1632" xr:uid="{00000000-0005-0000-0000-00003B060000}"/>
    <cellStyle name="Normal 30" xfId="1238" xr:uid="{00000000-0005-0000-0000-00003C060000}"/>
    <cellStyle name="Normal 31" xfId="1281" xr:uid="{00000000-0005-0000-0000-00003D060000}"/>
    <cellStyle name="Normal 32" xfId="1324" xr:uid="{00000000-0005-0000-0000-00003E060000}"/>
    <cellStyle name="Normal 33" xfId="1367" xr:uid="{00000000-0005-0000-0000-00003F060000}"/>
    <cellStyle name="Normal 34" xfId="1409" xr:uid="{00000000-0005-0000-0000-000040060000}"/>
    <cellStyle name="Normal 35" xfId="1449" xr:uid="{00000000-0005-0000-0000-000041060000}"/>
    <cellStyle name="Normal 36" xfId="1494" xr:uid="{00000000-0005-0000-0000-000042060000}"/>
    <cellStyle name="Normal 37" xfId="1624" xr:uid="{00000000-0005-0000-0000-000043060000}"/>
    <cellStyle name="Normal 38" xfId="1640" xr:uid="{00000000-0005-0000-0000-000044060000}"/>
    <cellStyle name="Normal 4" xfId="1622" xr:uid="{00000000-0005-0000-0000-000045060000}"/>
    <cellStyle name="Normal 40" xfId="2030" xr:uid="{00000000-0005-0000-0000-000046060000}"/>
    <cellStyle name="Normal 5" xfId="5" xr:uid="{00000000-0005-0000-0000-000047060000}"/>
    <cellStyle name="Normal 50 2 2" xfId="2015" xr:uid="{00000000-0005-0000-0000-000048060000}"/>
    <cellStyle name="Normal 6" xfId="1621" xr:uid="{00000000-0005-0000-0000-000049060000}"/>
    <cellStyle name="Normal 6 2" xfId="1634" xr:uid="{00000000-0005-0000-0000-00004A060000}"/>
    <cellStyle name="Normal 6 3" xfId="2016" xr:uid="{00000000-0005-0000-0000-00004B060000}"/>
    <cellStyle name="Normal 7" xfId="251" xr:uid="{00000000-0005-0000-0000-00004C060000}"/>
    <cellStyle name="Normal 8" xfId="12" xr:uid="{00000000-0005-0000-0000-00004D060000}"/>
    <cellStyle name="Normal 8 2" xfId="294" xr:uid="{00000000-0005-0000-0000-00004E060000}"/>
    <cellStyle name="Normal 9" xfId="337" xr:uid="{00000000-0005-0000-0000-00004F060000}"/>
    <cellStyle name="Normal 9 2" xfId="2024" xr:uid="{00000000-0005-0000-0000-000050060000}"/>
    <cellStyle name="Normal 94" xfId="2025" xr:uid="{00000000-0005-0000-0000-000051060000}"/>
    <cellStyle name="Normal_NDPL BS 31.03.2003 AS ON 26.5.2003" xfId="17" xr:uid="{00000000-0005-0000-0000-000052060000}"/>
    <cellStyle name="Note 10" xfId="421" xr:uid="{00000000-0005-0000-0000-000053060000}"/>
    <cellStyle name="Note 10 2" xfId="1725" xr:uid="{00000000-0005-0000-0000-000054060000}"/>
    <cellStyle name="Note 10 2 2" xfId="2341" xr:uid="{F9940273-76AB-4588-A947-B598FE9F6626}"/>
    <cellStyle name="Note 10 3" xfId="1897" xr:uid="{00000000-0005-0000-0000-000055060000}"/>
    <cellStyle name="Note 10 3 2" xfId="2513" xr:uid="{9A90BE6D-AF37-4724-B268-A769E6AE2DC2}"/>
    <cellStyle name="Note 10 4" xfId="2088" xr:uid="{88E14AB1-E91D-4D71-AFA7-DAD4C15AA98D}"/>
    <cellStyle name="Note 11" xfId="463" xr:uid="{00000000-0005-0000-0000-000056060000}"/>
    <cellStyle name="Note 11 2" xfId="1734" xr:uid="{00000000-0005-0000-0000-000057060000}"/>
    <cellStyle name="Note 11 2 2" xfId="2350" xr:uid="{12728562-8437-44E1-9A5E-86BB62708EC2}"/>
    <cellStyle name="Note 11 3" xfId="1827" xr:uid="{00000000-0005-0000-0000-000058060000}"/>
    <cellStyle name="Note 11 3 2" xfId="2443" xr:uid="{0C70EC18-1D2A-4A9C-8DA8-7B5BCBEFDC82}"/>
    <cellStyle name="Note 11 4" xfId="2094" xr:uid="{2D0574BB-A08B-401B-B9F2-42C918DEE93B}"/>
    <cellStyle name="Note 12" xfId="505" xr:uid="{00000000-0005-0000-0000-000059060000}"/>
    <cellStyle name="Note 12 2" xfId="1743" xr:uid="{00000000-0005-0000-0000-00005A060000}"/>
    <cellStyle name="Note 12 2 2" xfId="2359" xr:uid="{F43CAF46-4117-438B-9CFE-A1C1135BC95D}"/>
    <cellStyle name="Note 12 3" xfId="1787" xr:uid="{00000000-0005-0000-0000-00005B060000}"/>
    <cellStyle name="Note 12 3 2" xfId="2403" xr:uid="{BCE2D9F0-49FC-45AF-9ECF-08372B4978B8}"/>
    <cellStyle name="Note 12 4" xfId="2100" xr:uid="{5C001E9E-6A15-4DCF-89A8-E50E70A305D8}"/>
    <cellStyle name="Note 13" xfId="548" xr:uid="{00000000-0005-0000-0000-00005C060000}"/>
    <cellStyle name="Note 13 2" xfId="1753" xr:uid="{00000000-0005-0000-0000-00005D060000}"/>
    <cellStyle name="Note 13 2 2" xfId="2369" xr:uid="{205B5E17-6F37-4A91-BB17-CBF1A2B30392}"/>
    <cellStyle name="Note 13 3" xfId="1730" xr:uid="{00000000-0005-0000-0000-00005E060000}"/>
    <cellStyle name="Note 13 3 2" xfId="2346" xr:uid="{3898B675-AEEB-4CA4-BF06-784C9E431831}"/>
    <cellStyle name="Note 13 4" xfId="2106" xr:uid="{E33C8EF9-D194-41B1-A2E7-983FF61F06BF}"/>
    <cellStyle name="Note 14" xfId="591" xr:uid="{00000000-0005-0000-0000-00005F060000}"/>
    <cellStyle name="Note 14 2" xfId="1762" xr:uid="{00000000-0005-0000-0000-000060060000}"/>
    <cellStyle name="Note 14 2 2" xfId="2378" xr:uid="{BB98423D-79F6-444E-A0A3-19171A53F8D3}"/>
    <cellStyle name="Note 14 3" xfId="1675" xr:uid="{00000000-0005-0000-0000-000061060000}"/>
    <cellStyle name="Note 14 3 2" xfId="2291" xr:uid="{558F6AFE-53FE-4870-A963-084945FF2A27}"/>
    <cellStyle name="Note 14 4" xfId="2112" xr:uid="{83ABF092-D91D-42E0-B4CB-88B6FAB60866}"/>
    <cellStyle name="Note 15" xfId="634" xr:uid="{00000000-0005-0000-0000-000062060000}"/>
    <cellStyle name="Note 15 2" xfId="1772" xr:uid="{00000000-0005-0000-0000-000063060000}"/>
    <cellStyle name="Note 15 2 2" xfId="2388" xr:uid="{54F084F4-EB8E-4DDF-9012-57C8ABD02D56}"/>
    <cellStyle name="Note 15 3" xfId="1951" xr:uid="{00000000-0005-0000-0000-000064060000}"/>
    <cellStyle name="Note 15 3 2" xfId="2567" xr:uid="{F1DD0D78-F381-4A19-B395-EA168947229D}"/>
    <cellStyle name="Note 15 4" xfId="2118" xr:uid="{47B14B5A-F53A-4AC3-8441-68B2538DF9D0}"/>
    <cellStyle name="Note 16" xfId="677" xr:uid="{00000000-0005-0000-0000-000065060000}"/>
    <cellStyle name="Note 16 2" xfId="1781" xr:uid="{00000000-0005-0000-0000-000066060000}"/>
    <cellStyle name="Note 16 2 2" xfId="2397" xr:uid="{C80E30A0-E99A-4A54-BA1F-A833DC34F4DE}"/>
    <cellStyle name="Note 16 3" xfId="1904" xr:uid="{00000000-0005-0000-0000-000067060000}"/>
    <cellStyle name="Note 16 3 2" xfId="2520" xr:uid="{E4535FDC-736B-437A-9148-59E93728B544}"/>
    <cellStyle name="Note 16 4" xfId="2124" xr:uid="{40492A3C-D603-41FD-A239-92FFDEDF98AD}"/>
    <cellStyle name="Note 17" xfId="720" xr:uid="{00000000-0005-0000-0000-000068060000}"/>
    <cellStyle name="Note 17 2" xfId="1790" xr:uid="{00000000-0005-0000-0000-000069060000}"/>
    <cellStyle name="Note 17 2 2" xfId="2406" xr:uid="{BFE13BC9-B8E6-4BF8-B396-70E533B7E7B1}"/>
    <cellStyle name="Note 17 3" xfId="1848" xr:uid="{00000000-0005-0000-0000-00006A060000}"/>
    <cellStyle name="Note 17 3 2" xfId="2464" xr:uid="{DE9BE6AA-4CB2-4DFA-8E1D-219F685E10DC}"/>
    <cellStyle name="Note 17 4" xfId="2130" xr:uid="{F0233A91-AB97-444E-AF7A-FD2C94EF0735}"/>
    <cellStyle name="Note 18" xfId="763" xr:uid="{00000000-0005-0000-0000-00006B060000}"/>
    <cellStyle name="Note 18 2" xfId="1801" xr:uid="{00000000-0005-0000-0000-00006C060000}"/>
    <cellStyle name="Note 18 2 2" xfId="2417" xr:uid="{78AEAE0E-C052-49E9-A91A-2A48122CF2AB}"/>
    <cellStyle name="Note 18 3" xfId="1795" xr:uid="{00000000-0005-0000-0000-00006D060000}"/>
    <cellStyle name="Note 18 3 2" xfId="2411" xr:uid="{18014595-28DD-4EAB-94DD-8C0D3853B76C}"/>
    <cellStyle name="Note 18 4" xfId="2136" xr:uid="{C89647B5-3C1B-4A44-87B3-A0947A649D1F}"/>
    <cellStyle name="Note 19" xfId="806" xr:uid="{00000000-0005-0000-0000-00006E060000}"/>
    <cellStyle name="Note 19 2" xfId="1811" xr:uid="{00000000-0005-0000-0000-00006F060000}"/>
    <cellStyle name="Note 19 2 2" xfId="2427" xr:uid="{99FAC9EF-3077-4672-8C52-8ACAB44A0A21}"/>
    <cellStyle name="Note 19 3" xfId="1739" xr:uid="{00000000-0005-0000-0000-000070060000}"/>
    <cellStyle name="Note 19 3 2" xfId="2355" xr:uid="{0C8DAD4A-DC4B-458A-9843-461C6847935E}"/>
    <cellStyle name="Note 19 4" xfId="2142" xr:uid="{E1B88BF9-FD4F-4284-BFB3-2F0A5F584BD4}"/>
    <cellStyle name="Note 2" xfId="80" xr:uid="{00000000-0005-0000-0000-000071060000}"/>
    <cellStyle name="Note 2 2" xfId="1652" xr:uid="{00000000-0005-0000-0000-000072060000}"/>
    <cellStyle name="Note 2 2 2" xfId="2268" xr:uid="{C3070980-0C7E-4FE4-AF4E-E98C7BC99DA5}"/>
    <cellStyle name="Note 2 3" xfId="1844" xr:uid="{00000000-0005-0000-0000-000073060000}"/>
    <cellStyle name="Note 2 3 2" xfId="2460" xr:uid="{E2D7774B-2D65-44D4-9933-C796FE7CD6E2}"/>
    <cellStyle name="Note 2 4" xfId="2043" xr:uid="{EB0F823E-CDF5-4A79-93D6-4F9F135C7FDD}"/>
    <cellStyle name="Note 20" xfId="849" xr:uid="{00000000-0005-0000-0000-000074060000}"/>
    <cellStyle name="Note 20 2" xfId="1821" xr:uid="{00000000-0005-0000-0000-000075060000}"/>
    <cellStyle name="Note 20 2 2" xfId="2437" xr:uid="{BF403730-5272-4D82-997D-DF420711E2E0}"/>
    <cellStyle name="Note 20 3" xfId="1684" xr:uid="{00000000-0005-0000-0000-000076060000}"/>
    <cellStyle name="Note 20 3 2" xfId="2300" xr:uid="{94AAE5CF-4C4D-492A-B074-61DCAF33FF86}"/>
    <cellStyle name="Note 20 4" xfId="2148" xr:uid="{3A8897C9-05DA-4E5E-98ED-91838BD9372C}"/>
    <cellStyle name="Note 21" xfId="892" xr:uid="{00000000-0005-0000-0000-000077060000}"/>
    <cellStyle name="Note 21 2" xfId="1832" xr:uid="{00000000-0005-0000-0000-000078060000}"/>
    <cellStyle name="Note 21 2 2" xfId="2448" xr:uid="{4475D154-A040-4E09-A7EA-5299F9BA4B10}"/>
    <cellStyle name="Note 21 3" xfId="1959" xr:uid="{00000000-0005-0000-0000-000079060000}"/>
    <cellStyle name="Note 21 3 2" xfId="2575" xr:uid="{C041B099-26D1-4E1F-A97D-F7F63BE8C58A}"/>
    <cellStyle name="Note 21 4" xfId="2154" xr:uid="{4D177A4B-D04F-4BBC-9B09-C4AB9C25F002}"/>
    <cellStyle name="Note 22" xfId="935" xr:uid="{00000000-0005-0000-0000-00007A060000}"/>
    <cellStyle name="Note 22 2" xfId="1842" xr:uid="{00000000-0005-0000-0000-00007B060000}"/>
    <cellStyle name="Note 22 2 2" xfId="2458" xr:uid="{095F013C-2084-45E5-8D06-3143E2A13993}"/>
    <cellStyle name="Note 22 3" xfId="1656" xr:uid="{00000000-0005-0000-0000-00007C060000}"/>
    <cellStyle name="Note 22 3 2" xfId="2272" xr:uid="{21F7D1BA-AE36-456D-94B9-A6DB852F31C3}"/>
    <cellStyle name="Note 22 4" xfId="2160" xr:uid="{59D4B548-B6E0-4FC5-B963-4E9134C8EC4C}"/>
    <cellStyle name="Note 23" xfId="978" xr:uid="{00000000-0005-0000-0000-00007D060000}"/>
    <cellStyle name="Note 23 2" xfId="1852" xr:uid="{00000000-0005-0000-0000-00007E060000}"/>
    <cellStyle name="Note 23 2 2" xfId="2468" xr:uid="{57817372-99ED-4984-A3AD-6557EB339E2C}"/>
    <cellStyle name="Note 23 3" xfId="1857" xr:uid="{00000000-0005-0000-0000-00007F060000}"/>
    <cellStyle name="Note 23 3 2" xfId="2473" xr:uid="{AFBCFB9A-829A-4BAD-B90A-4BD290141320}"/>
    <cellStyle name="Note 23 4" xfId="2166" xr:uid="{CF3D0991-1C8F-4982-A92F-BCD03EBEC526}"/>
    <cellStyle name="Note 24" xfId="1021" xr:uid="{00000000-0005-0000-0000-000080060000}"/>
    <cellStyle name="Note 24 2" xfId="1862" xr:uid="{00000000-0005-0000-0000-000081060000}"/>
    <cellStyle name="Note 24 2 2" xfId="2478" xr:uid="{5C3DA20A-8818-41E3-B7CD-3B280A92C85F}"/>
    <cellStyle name="Note 24 3" xfId="1805" xr:uid="{00000000-0005-0000-0000-000082060000}"/>
    <cellStyle name="Note 24 3 2" xfId="2421" xr:uid="{35D8AACD-7550-46A3-84E0-DDFE67DE9874}"/>
    <cellStyle name="Note 24 4" xfId="2172" xr:uid="{E12F217E-AD24-4FF1-B883-A43ABFA1CD52}"/>
    <cellStyle name="Note 25" xfId="1064" xr:uid="{00000000-0005-0000-0000-000083060000}"/>
    <cellStyle name="Note 25 2" xfId="1872" xr:uid="{00000000-0005-0000-0000-000084060000}"/>
    <cellStyle name="Note 25 2 2" xfId="2488" xr:uid="{64D775F8-8201-42AC-A9A3-30EB326ACAD3}"/>
    <cellStyle name="Note 25 3" xfId="1747" xr:uid="{00000000-0005-0000-0000-000085060000}"/>
    <cellStyle name="Note 25 3 2" xfId="2363" xr:uid="{E5B1543C-0DC1-4C2A-938A-7FD31CD62CD2}"/>
    <cellStyle name="Note 25 4" xfId="2178" xr:uid="{146B9ADF-404F-44AE-A19C-CC1743E058F5}"/>
    <cellStyle name="Note 26" xfId="1107" xr:uid="{00000000-0005-0000-0000-000086060000}"/>
    <cellStyle name="Note 26 2" xfId="1881" xr:uid="{00000000-0005-0000-0000-000087060000}"/>
    <cellStyle name="Note 26 2 2" xfId="2497" xr:uid="{128287A4-1EAE-4891-A2C8-B211DCF48F3E}"/>
    <cellStyle name="Note 26 3" xfId="1692" xr:uid="{00000000-0005-0000-0000-000088060000}"/>
    <cellStyle name="Note 26 3 2" xfId="2308" xr:uid="{01202344-665D-49F3-A41D-A4105794E769}"/>
    <cellStyle name="Note 26 4" xfId="2184" xr:uid="{BEFE8069-166B-48DB-A1BE-A291B64053CF}"/>
    <cellStyle name="Note 27" xfId="1150" xr:uid="{00000000-0005-0000-0000-000089060000}"/>
    <cellStyle name="Note 27 2" xfId="1890" xr:uid="{00000000-0005-0000-0000-00008A060000}"/>
    <cellStyle name="Note 27 2 2" xfId="2506" xr:uid="{76172175-8D1A-4E57-88C4-B5F37ACB3B00}"/>
    <cellStyle name="Note 27 3" xfId="1967" xr:uid="{00000000-0005-0000-0000-00008B060000}"/>
    <cellStyle name="Note 27 3 2" xfId="2583" xr:uid="{99233DE7-8D8F-497B-A546-63CF0E5B0305}"/>
    <cellStyle name="Note 27 4" xfId="2190" xr:uid="{31BE6D08-00EC-4F2D-98C2-037858BC5D6A}"/>
    <cellStyle name="Note 28" xfId="1193" xr:uid="{00000000-0005-0000-0000-00008C060000}"/>
    <cellStyle name="Note 28 2" xfId="1899" xr:uid="{00000000-0005-0000-0000-00008D060000}"/>
    <cellStyle name="Note 28 2 2" xfId="2515" xr:uid="{1552C568-42C6-47EC-B594-D9D984D2F0ED}"/>
    <cellStyle name="Note 28 3" xfId="1912" xr:uid="{00000000-0005-0000-0000-00008E060000}"/>
    <cellStyle name="Note 28 3 2" xfId="2528" xr:uid="{E7A7760F-76C9-4EE4-89E5-6F48E731CBF6}"/>
    <cellStyle name="Note 28 4" xfId="2196" xr:uid="{885B8D6D-4DEA-43DA-B6BE-9BCAC46A9BD2}"/>
    <cellStyle name="Note 29" xfId="1236" xr:uid="{00000000-0005-0000-0000-00008F060000}"/>
    <cellStyle name="Note 29 2" xfId="1909" xr:uid="{00000000-0005-0000-0000-000090060000}"/>
    <cellStyle name="Note 29 2 2" xfId="2525" xr:uid="{33C5601E-C3F9-4A54-B494-50AFFEDB1C85}"/>
    <cellStyle name="Note 29 3" xfId="1866" xr:uid="{00000000-0005-0000-0000-000091060000}"/>
    <cellStyle name="Note 29 3 2" xfId="2482" xr:uid="{7FC1C8A7-B989-4CB8-93AE-FBFCF5CE9F99}"/>
    <cellStyle name="Note 29 4" xfId="2202" xr:uid="{4EB32E17-0B25-44C6-BE54-B63072D05227}"/>
    <cellStyle name="Note 3" xfId="124" xr:uid="{00000000-0005-0000-0000-000092060000}"/>
    <cellStyle name="Note 3 2" xfId="1661" xr:uid="{00000000-0005-0000-0000-000093060000}"/>
    <cellStyle name="Note 3 2 2" xfId="2277" xr:uid="{EC7CD79B-B036-4342-891A-F7DBB8C69189}"/>
    <cellStyle name="Note 3 3" xfId="1864" xr:uid="{00000000-0005-0000-0000-000094060000}"/>
    <cellStyle name="Note 3 3 2" xfId="2480" xr:uid="{DB2A4C84-37F7-4013-889F-A8DA656F952A}"/>
    <cellStyle name="Note 3 4" xfId="2048" xr:uid="{897D422E-91D7-4544-9E82-83E4F60208ED}"/>
    <cellStyle name="Note 30" xfId="1279" xr:uid="{00000000-0005-0000-0000-000095060000}"/>
    <cellStyle name="Note 30 2" xfId="1917" xr:uid="{00000000-0005-0000-0000-000096060000}"/>
    <cellStyle name="Note 30 2 2" xfId="2533" xr:uid="{1E2CFFE6-18AE-4D70-B5BB-C4EA99938964}"/>
    <cellStyle name="Note 30 3" xfId="1647" xr:uid="{00000000-0005-0000-0000-000097060000}"/>
    <cellStyle name="Note 30 3 2" xfId="2263" xr:uid="{FFC5A8F0-FF50-456E-BE27-9B84727A1FCA}"/>
    <cellStyle name="Note 30 4" xfId="2208" xr:uid="{FFB095E4-686F-4630-8AE0-4F23FC790BB4}"/>
    <cellStyle name="Note 31" xfId="1322" xr:uid="{00000000-0005-0000-0000-000098060000}"/>
    <cellStyle name="Note 31 2" xfId="1925" xr:uid="{00000000-0005-0000-0000-000099060000}"/>
    <cellStyle name="Note 31 2 2" xfId="2541" xr:uid="{B23342E8-E4AF-46E8-AB24-419020239CE1}"/>
    <cellStyle name="Note 31 3" xfId="1756" xr:uid="{00000000-0005-0000-0000-00009A060000}"/>
    <cellStyle name="Note 31 3 2" xfId="2372" xr:uid="{8100491E-61D5-4D29-BD18-6E1573D02777}"/>
    <cellStyle name="Note 31 4" xfId="2214" xr:uid="{ED7BF524-F38E-49BF-8C60-B8AA380BEC63}"/>
    <cellStyle name="Note 32" xfId="1365" xr:uid="{00000000-0005-0000-0000-00009B060000}"/>
    <cellStyle name="Note 32 2" xfId="1934" xr:uid="{00000000-0005-0000-0000-00009C060000}"/>
    <cellStyle name="Note 32 2 2" xfId="2550" xr:uid="{E0F99C46-D7DE-47E6-BB5A-0ACC32F30E5C}"/>
    <cellStyle name="Note 32 3" xfId="1701" xr:uid="{00000000-0005-0000-0000-00009D060000}"/>
    <cellStyle name="Note 32 3 2" xfId="2317" xr:uid="{7F983133-8675-46A4-80C6-6D93A939236F}"/>
    <cellStyle name="Note 32 4" xfId="2220" xr:uid="{46A108D9-7563-4448-B788-D72B79D37EDF}"/>
    <cellStyle name="Note 33" xfId="1407" xr:uid="{00000000-0005-0000-0000-00009E060000}"/>
    <cellStyle name="Note 33 2" xfId="1946" xr:uid="{00000000-0005-0000-0000-00009F060000}"/>
    <cellStyle name="Note 33 2 2" xfId="2562" xr:uid="{FB4DD544-1E47-4276-931D-826F69C92A84}"/>
    <cellStyle name="Note 33 3" xfId="1972" xr:uid="{00000000-0005-0000-0000-0000A0060000}"/>
    <cellStyle name="Note 33 3 2" xfId="2588" xr:uid="{8B4870DD-3EC8-40ED-B4A7-C95F7966BED3}"/>
    <cellStyle name="Note 33 4" xfId="2226" xr:uid="{FD40BC3E-E6B9-466D-B872-F348097355C3}"/>
    <cellStyle name="Note 34" xfId="1450" xr:uid="{00000000-0005-0000-0000-0000A1060000}"/>
    <cellStyle name="Note 34 2" xfId="1955" xr:uid="{00000000-0005-0000-0000-0000A2060000}"/>
    <cellStyle name="Note 34 2 2" xfId="2571" xr:uid="{2C0F3A35-012C-4C4A-B092-C02C6EF7898D}"/>
    <cellStyle name="Note 34 3" xfId="1645" xr:uid="{00000000-0005-0000-0000-0000A3060000}"/>
    <cellStyle name="Note 34 3 2" xfId="2261" xr:uid="{D2D1E31C-94F5-4581-8515-688C262F2CB6}"/>
    <cellStyle name="Note 34 4" xfId="2232" xr:uid="{D79A5350-FDB0-4F4A-ADB4-11B3DE47A3A5}"/>
    <cellStyle name="Note 35" xfId="1492" xr:uid="{00000000-0005-0000-0000-0000A4060000}"/>
    <cellStyle name="Note 35 2" xfId="1964" xr:uid="{00000000-0005-0000-0000-0000A5060000}"/>
    <cellStyle name="Note 35 2 2" xfId="2580" xr:uid="{6ACC6963-825F-4620-8EC7-4084C78B805D}"/>
    <cellStyle name="Note 35 3" xfId="1995" xr:uid="{00000000-0005-0000-0000-0000A6060000}"/>
    <cellStyle name="Note 35 3 2" xfId="2611" xr:uid="{BDA046B6-B172-48D3-9895-90A90D2C72E2}"/>
    <cellStyle name="Note 35 4" xfId="2237" xr:uid="{6DD0CEFF-33F3-4633-B3A8-15896D84F5F1}"/>
    <cellStyle name="Note 36" xfId="1534" xr:uid="{00000000-0005-0000-0000-0000A7060000}"/>
    <cellStyle name="Note 36 2" xfId="1973" xr:uid="{00000000-0005-0000-0000-0000A8060000}"/>
    <cellStyle name="Note 36 2 2" xfId="2589" xr:uid="{1887EDA5-A5E6-4D08-BF21-C08570436023}"/>
    <cellStyle name="Note 36 3" xfId="2000" xr:uid="{00000000-0005-0000-0000-0000A9060000}"/>
    <cellStyle name="Note 36 3 2" xfId="2616" xr:uid="{0A998BC0-C9EF-4ACF-A36C-4A317D1A5E1D}"/>
    <cellStyle name="Note 36 4" xfId="2242" xr:uid="{C2D52893-8A78-40A2-AD83-36040E3E4FE6}"/>
    <cellStyle name="Note 37" xfId="1575" xr:uid="{00000000-0005-0000-0000-0000AA060000}"/>
    <cellStyle name="Note 37 2" xfId="1982" xr:uid="{00000000-0005-0000-0000-0000AB060000}"/>
    <cellStyle name="Note 37 2 2" xfId="2598" xr:uid="{C4158ADB-56EF-49E1-BD7A-0D07D93512FE}"/>
    <cellStyle name="Note 37 3" xfId="2005" xr:uid="{00000000-0005-0000-0000-0000AC060000}"/>
    <cellStyle name="Note 37 3 2" xfId="2621" xr:uid="{98482EF0-4BEF-4A56-A0EF-94D5A35C4815}"/>
    <cellStyle name="Note 37 4" xfId="2248" xr:uid="{4127BCA2-1EB6-46CD-A986-65178801D971}"/>
    <cellStyle name="Note 38" xfId="1616" xr:uid="{00000000-0005-0000-0000-0000AD060000}"/>
    <cellStyle name="Note 38 2" xfId="1990" xr:uid="{00000000-0005-0000-0000-0000AE060000}"/>
    <cellStyle name="Note 38 2 2" xfId="2606" xr:uid="{39DA8918-DAC8-4928-98F7-06C7F88286CB}"/>
    <cellStyle name="Note 38 3" xfId="2010" xr:uid="{00000000-0005-0000-0000-0000AF060000}"/>
    <cellStyle name="Note 38 3 2" xfId="2626" xr:uid="{CB52774E-1924-40CC-A700-FF5425682C61}"/>
    <cellStyle name="Note 38 4" xfId="2254" xr:uid="{55B16A68-0D92-482C-A27F-A7144EEF5954}"/>
    <cellStyle name="Note 4" xfId="166" xr:uid="{00000000-0005-0000-0000-0000B0060000}"/>
    <cellStyle name="Note 4 2" xfId="1670" xr:uid="{00000000-0005-0000-0000-0000B1060000}"/>
    <cellStyle name="Note 4 2 2" xfId="2286" xr:uid="{88FACA93-443D-4580-A1C9-5B805D287AC1}"/>
    <cellStyle name="Note 4 3" xfId="1841" xr:uid="{00000000-0005-0000-0000-0000B2060000}"/>
    <cellStyle name="Note 4 3 2" xfId="2457" xr:uid="{82187A01-9EC6-46AB-8A16-45C67BEC6AD3}"/>
    <cellStyle name="Note 4 4" xfId="2053" xr:uid="{AD776879-332A-4F95-A73B-D5D78790EB85}"/>
    <cellStyle name="Note 5" xfId="207" xr:uid="{00000000-0005-0000-0000-0000B3060000}"/>
    <cellStyle name="Note 5 2" xfId="1680" xr:uid="{00000000-0005-0000-0000-0000B4060000}"/>
    <cellStyle name="Note 5 2 2" xfId="2296" xr:uid="{E6C7147E-BA67-4268-AF69-274B3BD0C771}"/>
    <cellStyle name="Note 5 3" xfId="1800" xr:uid="{00000000-0005-0000-0000-0000B5060000}"/>
    <cellStyle name="Note 5 3 2" xfId="2416" xr:uid="{C2DCFAB6-063F-4E03-84C5-C5A8C5949C70}"/>
    <cellStyle name="Note 5 4" xfId="2058" xr:uid="{4DE2A6C2-BE25-471D-9549-B845CBA99523}"/>
    <cellStyle name="Note 6" xfId="249" xr:uid="{00000000-0005-0000-0000-0000B6060000}"/>
    <cellStyle name="Note 6 2" xfId="1688" xr:uid="{00000000-0005-0000-0000-0000B7060000}"/>
    <cellStyle name="Note 6 2 2" xfId="2304" xr:uid="{C1BF57EC-2FE9-4D3F-9DE3-71D77E79280F}"/>
    <cellStyle name="Note 6 3" xfId="1769" xr:uid="{00000000-0005-0000-0000-0000B8060000}"/>
    <cellStyle name="Note 6 3 2" xfId="2385" xr:uid="{1C66000A-ECE0-437E-925E-2C24F5E8D006}"/>
    <cellStyle name="Note 6 4" xfId="2064" xr:uid="{08673B48-AF03-4A60-A1A5-08C127320691}"/>
    <cellStyle name="Note 7" xfId="292" xr:uid="{00000000-0005-0000-0000-0000B9060000}"/>
    <cellStyle name="Note 7 2" xfId="1698" xr:uid="{00000000-0005-0000-0000-0000BA060000}"/>
    <cellStyle name="Note 7 2 2" xfId="2314" xr:uid="{D7780C48-7143-444F-9B2B-F1C45E7F49B6}"/>
    <cellStyle name="Note 7 3" xfId="1714" xr:uid="{00000000-0005-0000-0000-0000BB060000}"/>
    <cellStyle name="Note 7 3 2" xfId="2330" xr:uid="{31407CA9-7C69-4450-9474-857A1AD220F4}"/>
    <cellStyle name="Note 7 4" xfId="2070" xr:uid="{35A08AFE-D39E-4E55-B658-3EAD04B96713}"/>
    <cellStyle name="Note 8" xfId="335" xr:uid="{00000000-0005-0000-0000-0000BC060000}"/>
    <cellStyle name="Note 8 2" xfId="1708" xr:uid="{00000000-0005-0000-0000-0000BD060000}"/>
    <cellStyle name="Note 8 2 2" xfId="2324" xr:uid="{3B1486A3-546E-4CA6-93F1-5D1B4B038926}"/>
    <cellStyle name="Note 8 3" xfId="1988" xr:uid="{00000000-0005-0000-0000-0000BE060000}"/>
    <cellStyle name="Note 8 3 2" xfId="2604" xr:uid="{F0EBEA1C-0581-4837-AD81-6E4D2BA19D33}"/>
    <cellStyle name="Note 8 4" xfId="2076" xr:uid="{C1305D37-0B9E-4E1B-884C-FB749E861224}"/>
    <cellStyle name="Note 9" xfId="378" xr:uid="{00000000-0005-0000-0000-0000BF060000}"/>
    <cellStyle name="Note 9 2" xfId="1716" xr:uid="{00000000-0005-0000-0000-0000C0060000}"/>
    <cellStyle name="Note 9 2 2" xfId="2332" xr:uid="{C754C851-828B-492A-8273-CB4F7B4C6B35}"/>
    <cellStyle name="Note 9 3" xfId="1943" xr:uid="{00000000-0005-0000-0000-0000C1060000}"/>
    <cellStyle name="Note 9 3 2" xfId="2559" xr:uid="{CAA2239A-69C1-4FD5-A60F-FCB3F0007F61}"/>
    <cellStyle name="Note 9 4" xfId="2082" xr:uid="{A07C7BCD-9496-4183-BC3A-8B9B146BB54E}"/>
    <cellStyle name="Output 10" xfId="422" xr:uid="{00000000-0005-0000-0000-0000C2060000}"/>
    <cellStyle name="Output 10 2" xfId="1726" xr:uid="{00000000-0005-0000-0000-0000C3060000}"/>
    <cellStyle name="Output 10 2 2" xfId="2342" xr:uid="{9F18360B-A2CA-4FB5-971A-22FF6F4362F8}"/>
    <cellStyle name="Output 10 3" xfId="1887" xr:uid="{00000000-0005-0000-0000-0000C4060000}"/>
    <cellStyle name="Output 10 3 2" xfId="2503" xr:uid="{61C4359A-F2DC-4063-BB4D-BA4FC2859856}"/>
    <cellStyle name="Output 10 4" xfId="2089" xr:uid="{E829079F-663F-44B8-A416-150F9EFE87D4}"/>
    <cellStyle name="Output 11" xfId="464" xr:uid="{00000000-0005-0000-0000-0000C5060000}"/>
    <cellStyle name="Output 11 2" xfId="1735" xr:uid="{00000000-0005-0000-0000-0000C6060000}"/>
    <cellStyle name="Output 11 2 2" xfId="2351" xr:uid="{4F35FAFF-505B-46EC-A707-D5388E8D0CE8}"/>
    <cellStyle name="Output 11 3" xfId="1819" xr:uid="{00000000-0005-0000-0000-0000C7060000}"/>
    <cellStyle name="Output 11 3 2" xfId="2435" xr:uid="{8FA7147B-EA57-4A78-B372-3F36887A0807}"/>
    <cellStyle name="Output 11 4" xfId="2095" xr:uid="{43AFA09A-C5B6-4232-9467-5C2FA77FAE27}"/>
    <cellStyle name="Output 12" xfId="506" xr:uid="{00000000-0005-0000-0000-0000C8060000}"/>
    <cellStyle name="Output 12 2" xfId="1744" xr:uid="{00000000-0005-0000-0000-0000C9060000}"/>
    <cellStyle name="Output 12 2 2" xfId="2360" xr:uid="{32011927-2A22-4E51-BE16-8D839AB04AEC}"/>
    <cellStyle name="Output 12 3" xfId="1778" xr:uid="{00000000-0005-0000-0000-0000CA060000}"/>
    <cellStyle name="Output 12 3 2" xfId="2394" xr:uid="{A4FCF5E2-6078-4DA9-82F6-11D84164891C}"/>
    <cellStyle name="Output 12 4" xfId="2101" xr:uid="{E65AF8D4-AF85-4D60-8E66-2597D1BD4DA8}"/>
    <cellStyle name="Output 13" xfId="549" xr:uid="{00000000-0005-0000-0000-0000CB060000}"/>
    <cellStyle name="Output 13 2" xfId="1754" xr:uid="{00000000-0005-0000-0000-0000CC060000}"/>
    <cellStyle name="Output 13 2 2" xfId="2370" xr:uid="{180C39D2-528F-4946-A9BA-D1DE7E2BF45F}"/>
    <cellStyle name="Output 13 3" xfId="1721" xr:uid="{00000000-0005-0000-0000-0000CD060000}"/>
    <cellStyle name="Output 13 3 2" xfId="2337" xr:uid="{E7A47AC6-F273-46BD-A7B0-32B96CE620DD}"/>
    <cellStyle name="Output 13 4" xfId="2107" xr:uid="{B62B9BF6-73D6-4F4E-9190-068A21B1730C}"/>
    <cellStyle name="Output 14" xfId="592" xr:uid="{00000000-0005-0000-0000-0000CE060000}"/>
    <cellStyle name="Output 14 2" xfId="1763" xr:uid="{00000000-0005-0000-0000-0000CF060000}"/>
    <cellStyle name="Output 14 2 2" xfId="2379" xr:uid="{EB9B8D31-F095-4166-950B-1A79E474276E}"/>
    <cellStyle name="Output 14 3" xfId="1666" xr:uid="{00000000-0005-0000-0000-0000D0060000}"/>
    <cellStyle name="Output 14 3 2" xfId="2282" xr:uid="{70680F69-857F-4C81-993A-1DD900EE4CC9}"/>
    <cellStyle name="Output 14 4" xfId="2113" xr:uid="{3B0223B1-748A-4E46-B3FD-6D6D6B8ABE91}"/>
    <cellStyle name="Output 15" xfId="635" xr:uid="{00000000-0005-0000-0000-0000D1060000}"/>
    <cellStyle name="Output 15 2" xfId="1773" xr:uid="{00000000-0005-0000-0000-0000D2060000}"/>
    <cellStyle name="Output 15 2 2" xfId="2389" xr:uid="{BDECDA27-09C2-4ABB-840D-571E54E99761}"/>
    <cellStyle name="Output 15 3" xfId="1940" xr:uid="{00000000-0005-0000-0000-0000D3060000}"/>
    <cellStyle name="Output 15 3 2" xfId="2556" xr:uid="{BE3D83F4-82B4-4AD3-8CDC-7B4742F23B5B}"/>
    <cellStyle name="Output 15 4" xfId="2119" xr:uid="{FABCFD33-76DD-4FD5-9B2E-E5ACF6403E30}"/>
    <cellStyle name="Output 16" xfId="678" xr:uid="{00000000-0005-0000-0000-0000D4060000}"/>
    <cellStyle name="Output 16 2" xfId="1782" xr:uid="{00000000-0005-0000-0000-0000D5060000}"/>
    <cellStyle name="Output 16 2 2" xfId="2398" xr:uid="{54508904-1169-4423-BAC0-F3B5CFF9158D}"/>
    <cellStyle name="Output 16 3" xfId="1895" xr:uid="{00000000-0005-0000-0000-0000D6060000}"/>
    <cellStyle name="Output 16 3 2" xfId="2511" xr:uid="{8981A501-60CF-4AF5-B4F5-757D0837762C}"/>
    <cellStyle name="Output 16 4" xfId="2125" xr:uid="{31FD6B82-9FDF-4D96-874D-9F8F9618D0CB}"/>
    <cellStyle name="Output 17" xfId="721" xr:uid="{00000000-0005-0000-0000-0000D7060000}"/>
    <cellStyle name="Output 17 2" xfId="1791" xr:uid="{00000000-0005-0000-0000-0000D8060000}"/>
    <cellStyle name="Output 17 2 2" xfId="2407" xr:uid="{AFB9F697-3F59-4626-9640-D21D40540043}"/>
    <cellStyle name="Output 17 3" xfId="1838" xr:uid="{00000000-0005-0000-0000-0000D9060000}"/>
    <cellStyle name="Output 17 3 2" xfId="2454" xr:uid="{9755DA20-57F7-4D3C-971F-2B75FEE1D01C}"/>
    <cellStyle name="Output 17 4" xfId="2131" xr:uid="{1C93757C-39AC-417C-8DEB-B0417DE987B3}"/>
    <cellStyle name="Output 18" xfId="764" xr:uid="{00000000-0005-0000-0000-0000DA060000}"/>
    <cellStyle name="Output 18 2" xfId="1802" xr:uid="{00000000-0005-0000-0000-0000DB060000}"/>
    <cellStyle name="Output 18 2 2" xfId="2418" xr:uid="{9C45ACBE-B0E8-4B79-BAE2-E4247F413043}"/>
    <cellStyle name="Output 18 3" xfId="1785" xr:uid="{00000000-0005-0000-0000-0000DC060000}"/>
    <cellStyle name="Output 18 3 2" xfId="2401" xr:uid="{4865AC91-8345-4C0D-904F-D946A30E8ACB}"/>
    <cellStyle name="Output 18 4" xfId="2137" xr:uid="{1B7CCA86-87AC-4F04-9658-9CBD0A420A67}"/>
    <cellStyle name="Output 19" xfId="807" xr:uid="{00000000-0005-0000-0000-0000DD060000}"/>
    <cellStyle name="Output 19 2" xfId="1812" xr:uid="{00000000-0005-0000-0000-0000DE060000}"/>
    <cellStyle name="Output 19 2 2" xfId="2428" xr:uid="{234BBB7A-7C84-4987-80D2-8C49D60812FC}"/>
    <cellStyle name="Output 19 3" xfId="1729" xr:uid="{00000000-0005-0000-0000-0000DF060000}"/>
    <cellStyle name="Output 19 3 2" xfId="2345" xr:uid="{26E43B9A-5F74-47AB-8DAF-DB9F2BFFD1E5}"/>
    <cellStyle name="Output 19 4" xfId="2143" xr:uid="{4CBC4C1D-C927-42B5-9836-0AD8721DD6A8}"/>
    <cellStyle name="Output 2" xfId="81" xr:uid="{00000000-0005-0000-0000-0000E0060000}"/>
    <cellStyle name="Output 2 2" xfId="1653" xr:uid="{00000000-0005-0000-0000-0000E1060000}"/>
    <cellStyle name="Output 2 2 2" xfId="2269" xr:uid="{E6CD9A39-335B-4A21-94E2-6D9D1ECC5B5E}"/>
    <cellStyle name="Output 2 3" xfId="1835" xr:uid="{00000000-0005-0000-0000-0000E2060000}"/>
    <cellStyle name="Output 2 3 2" xfId="2451" xr:uid="{EFD7E077-4B2B-4016-9F38-A846AEB18FAA}"/>
    <cellStyle name="Output 2 4" xfId="2044" xr:uid="{069CBEB9-A39B-43B8-B1ED-051D9D17D636}"/>
    <cellStyle name="Output 20" xfId="850" xr:uid="{00000000-0005-0000-0000-0000E3060000}"/>
    <cellStyle name="Output 20 2" xfId="1822" xr:uid="{00000000-0005-0000-0000-0000E4060000}"/>
    <cellStyle name="Output 20 2 2" xfId="2438" xr:uid="{3C0F8A72-2545-4B08-AD62-451A614B3E82}"/>
    <cellStyle name="Output 20 3" xfId="1674" xr:uid="{00000000-0005-0000-0000-0000E5060000}"/>
    <cellStyle name="Output 20 3 2" xfId="2290" xr:uid="{F5F9B2FC-C483-4169-A557-868900FD2E98}"/>
    <cellStyle name="Output 20 4" xfId="2149" xr:uid="{3D4709B2-CE48-461F-ACE4-2B0961FCECE9}"/>
    <cellStyle name="Output 21" xfId="893" xr:uid="{00000000-0005-0000-0000-0000E6060000}"/>
    <cellStyle name="Output 21 2" xfId="1833" xr:uid="{00000000-0005-0000-0000-0000E7060000}"/>
    <cellStyle name="Output 21 2 2" xfId="2449" xr:uid="{9A20F7C2-D6E8-44F2-A554-650D086B97D6}"/>
    <cellStyle name="Output 21 3" xfId="1950" xr:uid="{00000000-0005-0000-0000-0000E8060000}"/>
    <cellStyle name="Output 21 3 2" xfId="2566" xr:uid="{D614E752-8C3B-4222-9CE7-8E3C18FDC9CC}"/>
    <cellStyle name="Output 21 4" xfId="2155" xr:uid="{72DD4AB8-4CBF-488A-999D-5CE74B5D4A63}"/>
    <cellStyle name="Output 22" xfId="936" xr:uid="{00000000-0005-0000-0000-0000E9060000}"/>
    <cellStyle name="Output 22 2" xfId="1843" xr:uid="{00000000-0005-0000-0000-0000EA060000}"/>
    <cellStyle name="Output 22 2 2" xfId="2459" xr:uid="{F436C9D9-2AAD-4EEC-87D2-D93B128136F0}"/>
    <cellStyle name="Output 22 3" xfId="1903" xr:uid="{00000000-0005-0000-0000-0000EB060000}"/>
    <cellStyle name="Output 22 3 2" xfId="2519" xr:uid="{7345E609-ABD9-4A5E-8B91-997071317A5F}"/>
    <cellStyle name="Output 22 4" xfId="2161" xr:uid="{38B865F0-084E-4DB3-802A-6363FB0B2083}"/>
    <cellStyle name="Output 23" xfId="979" xr:uid="{00000000-0005-0000-0000-0000EC060000}"/>
    <cellStyle name="Output 23 2" xfId="1853" xr:uid="{00000000-0005-0000-0000-0000ED060000}"/>
    <cellStyle name="Output 23 2 2" xfId="2469" xr:uid="{0A1F9A60-D236-4AF1-8888-87766BFB5950}"/>
    <cellStyle name="Output 23 3" xfId="1847" xr:uid="{00000000-0005-0000-0000-0000EE060000}"/>
    <cellStyle name="Output 23 3 2" xfId="2463" xr:uid="{FA5AAEA9-349D-4612-B253-5DAF004A3473}"/>
    <cellStyle name="Output 23 4" xfId="2167" xr:uid="{1A7A2C19-1ECE-477A-B34F-B2C66E2DC285}"/>
    <cellStyle name="Output 24" xfId="1022" xr:uid="{00000000-0005-0000-0000-0000EF060000}"/>
    <cellStyle name="Output 24 2" xfId="1863" xr:uid="{00000000-0005-0000-0000-0000F0060000}"/>
    <cellStyle name="Output 24 2 2" xfId="2479" xr:uid="{05024459-1A8C-4E4D-8CC7-1300C6817BB0}"/>
    <cellStyle name="Output 24 3" xfId="1794" xr:uid="{00000000-0005-0000-0000-0000F1060000}"/>
    <cellStyle name="Output 24 3 2" xfId="2410" xr:uid="{6DEC91D8-47A1-4279-8076-B74D0DE9027E}"/>
    <cellStyle name="Output 24 4" xfId="2173" xr:uid="{2E992745-65CB-4CF1-A1BF-257CBAFC5DC7}"/>
    <cellStyle name="Output 25" xfId="1065" xr:uid="{00000000-0005-0000-0000-0000F2060000}"/>
    <cellStyle name="Output 25 2" xfId="1873" xr:uid="{00000000-0005-0000-0000-0000F3060000}"/>
    <cellStyle name="Output 25 2 2" xfId="2489" xr:uid="{AF73D494-8C89-41B6-AAB3-922CAF9266E6}"/>
    <cellStyle name="Output 25 3" xfId="1738" xr:uid="{00000000-0005-0000-0000-0000F4060000}"/>
    <cellStyle name="Output 25 3 2" xfId="2354" xr:uid="{1368D542-2FC6-4976-B47E-3360CD12AB31}"/>
    <cellStyle name="Output 25 4" xfId="2179" xr:uid="{351A4FB9-D974-4EE3-9403-189FEBB585E8}"/>
    <cellStyle name="Output 26" xfId="1108" xr:uid="{00000000-0005-0000-0000-0000F5060000}"/>
    <cellStyle name="Output 26 2" xfId="1882" xr:uid="{00000000-0005-0000-0000-0000F6060000}"/>
    <cellStyle name="Output 26 2 2" xfId="2498" xr:uid="{789FCD3A-D608-408E-8CE7-657764AC0357}"/>
    <cellStyle name="Output 26 3" xfId="1683" xr:uid="{00000000-0005-0000-0000-0000F7060000}"/>
    <cellStyle name="Output 26 3 2" xfId="2299" xr:uid="{0EC1DA1E-F3A9-489C-8560-C13D3C88D56C}"/>
    <cellStyle name="Output 26 4" xfId="2185" xr:uid="{136466B2-C2D1-49DC-BEA7-43EA00019E71}"/>
    <cellStyle name="Output 27" xfId="1151" xr:uid="{00000000-0005-0000-0000-0000F8060000}"/>
    <cellStyle name="Output 27 2" xfId="1891" xr:uid="{00000000-0005-0000-0000-0000F9060000}"/>
    <cellStyle name="Output 27 2 2" xfId="2507" xr:uid="{7124F358-84A5-49C8-AE02-1A5ACBA150B5}"/>
    <cellStyle name="Output 27 3" xfId="1958" xr:uid="{00000000-0005-0000-0000-0000FA060000}"/>
    <cellStyle name="Output 27 3 2" xfId="2574" xr:uid="{F00E4A44-F151-4A8B-B04C-F21DFA29D2BE}"/>
    <cellStyle name="Output 27 4" xfId="2191" xr:uid="{1B1EDE88-E1B0-4E79-A18F-F2DD95A1A70D}"/>
    <cellStyle name="Output 28" xfId="1194" xr:uid="{00000000-0005-0000-0000-0000FB060000}"/>
    <cellStyle name="Output 28 2" xfId="1900" xr:uid="{00000000-0005-0000-0000-0000FC060000}"/>
    <cellStyle name="Output 28 2 2" xfId="2516" xr:uid="{F5072877-A463-422D-B53C-D799F33F2BC4}"/>
    <cellStyle name="Output 28 3" xfId="1655" xr:uid="{00000000-0005-0000-0000-0000FD060000}"/>
    <cellStyle name="Output 28 3 2" xfId="2271" xr:uid="{FF30429D-EE68-4276-8834-4666BADA2CA1}"/>
    <cellStyle name="Output 28 4" xfId="2197" xr:uid="{BD7112E9-2AD1-429E-91F4-47BAC8C37E35}"/>
    <cellStyle name="Output 29" xfId="1237" xr:uid="{00000000-0005-0000-0000-0000FE060000}"/>
    <cellStyle name="Output 29 2" xfId="1910" xr:uid="{00000000-0005-0000-0000-0000FF060000}"/>
    <cellStyle name="Output 29 2 2" xfId="2526" xr:uid="{E2BBEF05-8BD7-485D-AECC-58D14FFBCE44}"/>
    <cellStyle name="Output 29 3" xfId="1856" xr:uid="{00000000-0005-0000-0000-000000070000}"/>
    <cellStyle name="Output 29 3 2" xfId="2472" xr:uid="{86878B03-00AC-4BE2-A7A5-DFA86C1B67B9}"/>
    <cellStyle name="Output 29 4" xfId="2203" xr:uid="{21F695B1-247E-4DDD-A198-C8D89AFD307C}"/>
    <cellStyle name="Output 3" xfId="125" xr:uid="{00000000-0005-0000-0000-000001070000}"/>
    <cellStyle name="Output 3 2" xfId="1662" xr:uid="{00000000-0005-0000-0000-000002070000}"/>
    <cellStyle name="Output 3 2 2" xfId="2278" xr:uid="{8EEF854E-6BBB-4C5A-B815-AB32B54EFC7C}"/>
    <cellStyle name="Output 3 3" xfId="1854" xr:uid="{00000000-0005-0000-0000-000003070000}"/>
    <cellStyle name="Output 3 3 2" xfId="2470" xr:uid="{25BB7F54-C161-4748-A398-1DFD47D4B183}"/>
    <cellStyle name="Output 3 4" xfId="2049" xr:uid="{6F8D019F-4D1F-4C9A-A1CF-0783980E1A61}"/>
    <cellStyle name="Output 30" xfId="1280" xr:uid="{00000000-0005-0000-0000-000004070000}"/>
    <cellStyle name="Output 30 2" xfId="1918" xr:uid="{00000000-0005-0000-0000-000005070000}"/>
    <cellStyle name="Output 30 2 2" xfId="2534" xr:uid="{441280EC-C802-46AB-9D07-13A6483AC5B8}"/>
    <cellStyle name="Output 30 3" xfId="1804" xr:uid="{00000000-0005-0000-0000-000006070000}"/>
    <cellStyle name="Output 30 3 2" xfId="2420" xr:uid="{6A9BBA9D-26FE-4D1E-9724-F80BC70B3F53}"/>
    <cellStyle name="Output 30 4" xfId="2209" xr:uid="{713D0613-268A-46CE-9AF7-39C9AFF01E3D}"/>
    <cellStyle name="Output 31" xfId="1323" xr:uid="{00000000-0005-0000-0000-000007070000}"/>
    <cellStyle name="Output 31 2" xfId="1926" xr:uid="{00000000-0005-0000-0000-000008070000}"/>
    <cellStyle name="Output 31 2 2" xfId="2542" xr:uid="{312F378C-C8B6-41D5-BCC9-E7018E82A974}"/>
    <cellStyle name="Output 31 3" xfId="1746" xr:uid="{00000000-0005-0000-0000-000009070000}"/>
    <cellStyle name="Output 31 3 2" xfId="2362" xr:uid="{9737C041-1F18-4070-AE0A-B8A5F0081A0C}"/>
    <cellStyle name="Output 31 4" xfId="2215" xr:uid="{F31DDD7D-6F51-483A-AF79-8E9BAB2AF9F7}"/>
    <cellStyle name="Output 32" xfId="1366" xr:uid="{00000000-0005-0000-0000-00000A070000}"/>
    <cellStyle name="Output 32 2" xfId="1935" xr:uid="{00000000-0005-0000-0000-00000B070000}"/>
    <cellStyle name="Output 32 2 2" xfId="2551" xr:uid="{F42AE7E1-862C-4968-9AAC-DCD8548D77E4}"/>
    <cellStyle name="Output 32 3" xfId="1691" xr:uid="{00000000-0005-0000-0000-00000C070000}"/>
    <cellStyle name="Output 32 3 2" xfId="2307" xr:uid="{84961361-FBEB-4BAB-8639-50C3295785C1}"/>
    <cellStyle name="Output 32 4" xfId="2221" xr:uid="{BF4950CD-B999-4406-9C89-19492AB83386}"/>
    <cellStyle name="Output 33" xfId="1408" xr:uid="{00000000-0005-0000-0000-00000D070000}"/>
    <cellStyle name="Output 33 2" xfId="1947" xr:uid="{00000000-0005-0000-0000-00000E070000}"/>
    <cellStyle name="Output 33 2 2" xfId="2563" xr:uid="{992E9955-24E6-44B9-B044-13AC2D7B60F8}"/>
    <cellStyle name="Output 33 3" xfId="1963" xr:uid="{00000000-0005-0000-0000-00000F070000}"/>
    <cellStyle name="Output 33 3 2" xfId="2579" xr:uid="{05899A45-0828-4369-BE5C-0F424C60DCB0}"/>
    <cellStyle name="Output 33 4" xfId="2227" xr:uid="{6B438411-DAE7-4B40-86E1-3984ACADAAB3}"/>
    <cellStyle name="Output 34" xfId="1451" xr:uid="{00000000-0005-0000-0000-000010070000}"/>
    <cellStyle name="Output 34 2" xfId="1956" xr:uid="{00000000-0005-0000-0000-000011070000}"/>
    <cellStyle name="Output 34 2 2" xfId="2572" xr:uid="{B1DA2146-C0A8-431A-9238-4CD9CC718567}"/>
    <cellStyle name="Output 34 3" xfId="1644" xr:uid="{00000000-0005-0000-0000-000012070000}"/>
    <cellStyle name="Output 34 3 2" xfId="2260" xr:uid="{7FD6C11D-0EBF-419A-A819-C0DB8E1CB653}"/>
    <cellStyle name="Output 34 4" xfId="2233" xr:uid="{F74D1C3E-FD77-4E45-BD14-B8992DE31B5D}"/>
    <cellStyle name="Output 35" xfId="1493" xr:uid="{00000000-0005-0000-0000-000013070000}"/>
    <cellStyle name="Output 35 2" xfId="1965" xr:uid="{00000000-0005-0000-0000-000014070000}"/>
    <cellStyle name="Output 35 2 2" xfId="2581" xr:uid="{50914444-6BB5-4C1D-A5F1-DC0C71F95FF3}"/>
    <cellStyle name="Output 35 3" xfId="1996" xr:uid="{00000000-0005-0000-0000-000015070000}"/>
    <cellStyle name="Output 35 3 2" xfId="2612" xr:uid="{23162C3D-4C82-481C-9157-710B1A88CD6B}"/>
    <cellStyle name="Output 35 4" xfId="2238" xr:uid="{C9C13453-7BBF-4553-835B-D483B8FC444F}"/>
    <cellStyle name="Output 36" xfId="1535" xr:uid="{00000000-0005-0000-0000-000016070000}"/>
    <cellStyle name="Output 36 2" xfId="1974" xr:uid="{00000000-0005-0000-0000-000017070000}"/>
    <cellStyle name="Output 36 2 2" xfId="2590" xr:uid="{5454A615-43B5-4CC0-9695-C8AB1BB7741F}"/>
    <cellStyle name="Output 36 3" xfId="2001" xr:uid="{00000000-0005-0000-0000-000018070000}"/>
    <cellStyle name="Output 36 3 2" xfId="2617" xr:uid="{6AE80840-78E3-4D9D-A77F-3FE191A6EBC8}"/>
    <cellStyle name="Output 36 4" xfId="2243" xr:uid="{3F690450-9E2A-4A29-A57C-B1B06256F74D}"/>
    <cellStyle name="Output 37" xfId="1576" xr:uid="{00000000-0005-0000-0000-000019070000}"/>
    <cellStyle name="Output 37 2" xfId="1983" xr:uid="{00000000-0005-0000-0000-00001A070000}"/>
    <cellStyle name="Output 37 2 2" xfId="2599" xr:uid="{A5C60F09-8F81-4495-8B06-A6133DEC8527}"/>
    <cellStyle name="Output 37 3" xfId="2006" xr:uid="{00000000-0005-0000-0000-00001B070000}"/>
    <cellStyle name="Output 37 3 2" xfId="2622" xr:uid="{41565D38-330F-4FFD-B0D6-6059A94E9764}"/>
    <cellStyle name="Output 37 4" xfId="2249" xr:uid="{15E12C50-DC7F-4B0B-B087-56012E67B29A}"/>
    <cellStyle name="Output 38" xfId="1617" xr:uid="{00000000-0005-0000-0000-00001C070000}"/>
    <cellStyle name="Output 38 2" xfId="1991" xr:uid="{00000000-0005-0000-0000-00001D070000}"/>
    <cellStyle name="Output 38 2 2" xfId="2607" xr:uid="{544C3558-D99B-49E1-87CD-5F06018BA48A}"/>
    <cellStyle name="Output 38 3" xfId="2011" xr:uid="{00000000-0005-0000-0000-00001E070000}"/>
    <cellStyle name="Output 38 3 2" xfId="2627" xr:uid="{71FEFF19-FB93-4D50-850E-552A7EB53176}"/>
    <cellStyle name="Output 38 4" xfId="2255" xr:uid="{6C1EB81E-AFCB-492E-B559-611373C2DD25}"/>
    <cellStyle name="Output 4" xfId="167" xr:uid="{00000000-0005-0000-0000-00001F070000}"/>
    <cellStyle name="Output 4 2" xfId="1671" xr:uid="{00000000-0005-0000-0000-000020070000}"/>
    <cellStyle name="Output 4 2 2" xfId="2287" xr:uid="{982FC6CE-0F59-48FF-BD36-134C95BC44E8}"/>
    <cellStyle name="Output 4 3" xfId="1831" xr:uid="{00000000-0005-0000-0000-000021070000}"/>
    <cellStyle name="Output 4 3 2" xfId="2447" xr:uid="{FAF29504-2E06-406E-B9A2-0F5127CC8693}"/>
    <cellStyle name="Output 4 4" xfId="2054" xr:uid="{65F5D18D-BB3D-41C9-8059-894B6FEC2829}"/>
    <cellStyle name="Output 5" xfId="208" xr:uid="{00000000-0005-0000-0000-000022070000}"/>
    <cellStyle name="Output 5 2" xfId="1681" xr:uid="{00000000-0005-0000-0000-000023070000}"/>
    <cellStyle name="Output 5 2 2" xfId="2297" xr:uid="{CE41F6E1-9AB3-4D10-85AC-111A2AF50F07}"/>
    <cellStyle name="Output 5 3" xfId="1789" xr:uid="{00000000-0005-0000-0000-000024070000}"/>
    <cellStyle name="Output 5 3 2" xfId="2405" xr:uid="{AD311D86-9FF9-4EAB-BB7F-34786F71A6B5}"/>
    <cellStyle name="Output 5 4" xfId="2059" xr:uid="{21A9A7C7-3E4B-446D-B38A-3EAD2C937DE8}"/>
    <cellStyle name="Output 6" xfId="250" xr:uid="{00000000-0005-0000-0000-000025070000}"/>
    <cellStyle name="Output 6 2" xfId="1689" xr:uid="{00000000-0005-0000-0000-000026070000}"/>
    <cellStyle name="Output 6 2 2" xfId="2305" xr:uid="{139F3196-6408-4B5F-854E-868DE525786C}"/>
    <cellStyle name="Output 6 3" xfId="1760" xr:uid="{00000000-0005-0000-0000-000027070000}"/>
    <cellStyle name="Output 6 3 2" xfId="2376" xr:uid="{F9D43822-AAC9-4272-A1EE-6622CA75AC79}"/>
    <cellStyle name="Output 6 4" xfId="2065" xr:uid="{381C85D0-B77F-4B56-B1D4-996F387D40FF}"/>
    <cellStyle name="Output 7" xfId="293" xr:uid="{00000000-0005-0000-0000-000028070000}"/>
    <cellStyle name="Output 7 2" xfId="1699" xr:uid="{00000000-0005-0000-0000-000029070000}"/>
    <cellStyle name="Output 7 2 2" xfId="2315" xr:uid="{B989C23B-96F0-470B-8B61-C5613F8B3B5A}"/>
    <cellStyle name="Output 7 3" xfId="1705" xr:uid="{00000000-0005-0000-0000-00002A070000}"/>
    <cellStyle name="Output 7 3 2" xfId="2321" xr:uid="{A6C424D0-51B9-4DB0-9227-22E5A481856F}"/>
    <cellStyle name="Output 7 4" xfId="2071" xr:uid="{F25D219D-4787-4EF5-A023-D1D5F0CB2607}"/>
    <cellStyle name="Output 8" xfId="336" xr:uid="{00000000-0005-0000-0000-00002B070000}"/>
    <cellStyle name="Output 8 2" xfId="1709" xr:uid="{00000000-0005-0000-0000-00002C070000}"/>
    <cellStyle name="Output 8 2 2" xfId="2325" xr:uid="{E277298A-597E-4897-B37D-B7A49231A23F}"/>
    <cellStyle name="Output 8 3" xfId="1980" xr:uid="{00000000-0005-0000-0000-00002D070000}"/>
    <cellStyle name="Output 8 3 2" xfId="2596" xr:uid="{180778A9-2C7F-4826-8F36-CDB786C5AA98}"/>
    <cellStyle name="Output 8 4" xfId="2077" xr:uid="{AC335E22-C725-491E-AAB4-31C722D05DCF}"/>
    <cellStyle name="Output 9" xfId="379" xr:uid="{00000000-0005-0000-0000-00002E070000}"/>
    <cellStyle name="Output 9 2" xfId="1717" xr:uid="{00000000-0005-0000-0000-00002F070000}"/>
    <cellStyle name="Output 9 2 2" xfId="2333" xr:uid="{C6B7A36D-3E2F-4A21-9F58-35512B2B4E85}"/>
    <cellStyle name="Output 9 3" xfId="1931" xr:uid="{00000000-0005-0000-0000-000030070000}"/>
    <cellStyle name="Output 9 3 2" xfId="2547" xr:uid="{F0A6C1E1-6E1A-4233-9974-02A534E6026F}"/>
    <cellStyle name="Output 9 4" xfId="2083" xr:uid="{D51751D6-A66D-4B12-AAB4-A78BE2C7C2E7}"/>
    <cellStyle name="Per cent" xfId="20" builtinId="5"/>
    <cellStyle name="Percent 2" xfId="1633" xr:uid="{00000000-0005-0000-0000-000032070000}"/>
    <cellStyle name="Percent 3" xfId="2017" xr:uid="{00000000-0005-0000-0000-000033070000}"/>
    <cellStyle name="Percent 4" xfId="2029" xr:uid="{00000000-0005-0000-0000-000034070000}"/>
    <cellStyle name="Result" xfId="1627" xr:uid="{00000000-0005-0000-0000-000035070000}"/>
    <cellStyle name="Result 1" xfId="1641" xr:uid="{00000000-0005-0000-0000-000036070000}"/>
    <cellStyle name="Result2" xfId="1628" xr:uid="{00000000-0005-0000-0000-000037070000}"/>
    <cellStyle name="Result2 1" xfId="1642" xr:uid="{00000000-0005-0000-0000-000038070000}"/>
    <cellStyle name="Style 1" xfId="82" xr:uid="{00000000-0005-0000-0000-000039070000}"/>
    <cellStyle name="Title 10" xfId="423" xr:uid="{00000000-0005-0000-0000-00003A070000}"/>
    <cellStyle name="Title 11" xfId="465" xr:uid="{00000000-0005-0000-0000-00003B070000}"/>
    <cellStyle name="Title 12" xfId="508" xr:uid="{00000000-0005-0000-0000-00003C070000}"/>
    <cellStyle name="Title 13" xfId="551" xr:uid="{00000000-0005-0000-0000-00003D070000}"/>
    <cellStyle name="Title 14" xfId="594" xr:uid="{00000000-0005-0000-0000-00003E070000}"/>
    <cellStyle name="Title 15" xfId="637" xr:uid="{00000000-0005-0000-0000-00003F070000}"/>
    <cellStyle name="Title 16" xfId="680" xr:uid="{00000000-0005-0000-0000-000040070000}"/>
    <cellStyle name="Title 17" xfId="723" xr:uid="{00000000-0005-0000-0000-000041070000}"/>
    <cellStyle name="Title 18" xfId="766" xr:uid="{00000000-0005-0000-0000-000042070000}"/>
    <cellStyle name="Title 19" xfId="809" xr:uid="{00000000-0005-0000-0000-000043070000}"/>
    <cellStyle name="Title 2" xfId="83" xr:uid="{00000000-0005-0000-0000-000044070000}"/>
    <cellStyle name="Title 20" xfId="852" xr:uid="{00000000-0005-0000-0000-000045070000}"/>
    <cellStyle name="Title 21" xfId="895" xr:uid="{00000000-0005-0000-0000-000046070000}"/>
    <cellStyle name="Title 22" xfId="938" xr:uid="{00000000-0005-0000-0000-000047070000}"/>
    <cellStyle name="Title 23" xfId="981" xr:uid="{00000000-0005-0000-0000-000048070000}"/>
    <cellStyle name="Title 24" xfId="1024" xr:uid="{00000000-0005-0000-0000-000049070000}"/>
    <cellStyle name="Title 25" xfId="1067" xr:uid="{00000000-0005-0000-0000-00004A070000}"/>
    <cellStyle name="Title 26" xfId="1110" xr:uid="{00000000-0005-0000-0000-00004B070000}"/>
    <cellStyle name="Title 27" xfId="1153" xr:uid="{00000000-0005-0000-0000-00004C070000}"/>
    <cellStyle name="Title 28" xfId="1196" xr:uid="{00000000-0005-0000-0000-00004D070000}"/>
    <cellStyle name="Title 29" xfId="1239" xr:uid="{00000000-0005-0000-0000-00004E070000}"/>
    <cellStyle name="Title 3" xfId="126" xr:uid="{00000000-0005-0000-0000-00004F070000}"/>
    <cellStyle name="Title 30" xfId="1282" xr:uid="{00000000-0005-0000-0000-000050070000}"/>
    <cellStyle name="Title 31" xfId="1325" xr:uid="{00000000-0005-0000-0000-000051070000}"/>
    <cellStyle name="Title 32" xfId="1368" xr:uid="{00000000-0005-0000-0000-000052070000}"/>
    <cellStyle name="Title 33" xfId="1410" xr:uid="{00000000-0005-0000-0000-000053070000}"/>
    <cellStyle name="Title 34" xfId="1452" xr:uid="{00000000-0005-0000-0000-000054070000}"/>
    <cellStyle name="Title 35" xfId="1495" xr:uid="{00000000-0005-0000-0000-000055070000}"/>
    <cellStyle name="Title 36" xfId="1536" xr:uid="{00000000-0005-0000-0000-000056070000}"/>
    <cellStyle name="Title 37" xfId="1577" xr:uid="{00000000-0005-0000-0000-000057070000}"/>
    <cellStyle name="Title 38" xfId="1618" xr:uid="{00000000-0005-0000-0000-000058070000}"/>
    <cellStyle name="Title 4" xfId="168" xr:uid="{00000000-0005-0000-0000-000059070000}"/>
    <cellStyle name="Title 5" xfId="209" xr:uid="{00000000-0005-0000-0000-00005A070000}"/>
    <cellStyle name="Title 6" xfId="252" xr:uid="{00000000-0005-0000-0000-00005B070000}"/>
    <cellStyle name="Title 7" xfId="295" xr:uid="{00000000-0005-0000-0000-00005C070000}"/>
    <cellStyle name="Title 8" xfId="338" xr:uid="{00000000-0005-0000-0000-00005D070000}"/>
    <cellStyle name="Title 9" xfId="381" xr:uid="{00000000-0005-0000-0000-00005E070000}"/>
    <cellStyle name="Total 10" xfId="424" xr:uid="{00000000-0005-0000-0000-00005F070000}"/>
    <cellStyle name="Total 10 2" xfId="1727" xr:uid="{00000000-0005-0000-0000-000060070000}"/>
    <cellStyle name="Total 10 2 2" xfId="2343" xr:uid="{E1F9EE8A-4303-4709-9DDF-AF558EAEEAF6}"/>
    <cellStyle name="Total 10 3" xfId="1860" xr:uid="{00000000-0005-0000-0000-000061070000}"/>
    <cellStyle name="Total 10 3 2" xfId="2476" xr:uid="{75B59387-B0F1-40CC-A56E-A373271C6790}"/>
    <cellStyle name="Total 10 4" xfId="2090" xr:uid="{59B66A5E-FD73-45F8-9CB7-D4E02D76E9A7}"/>
    <cellStyle name="Total 11" xfId="466" xr:uid="{00000000-0005-0000-0000-000062070000}"/>
    <cellStyle name="Total 11 2" xfId="1736" xr:uid="{00000000-0005-0000-0000-000063070000}"/>
    <cellStyle name="Total 11 2 2" xfId="2352" xr:uid="{1FDCDCD4-0772-47FE-84C8-CCBAAA030208}"/>
    <cellStyle name="Total 11 3" xfId="1798" xr:uid="{00000000-0005-0000-0000-000064070000}"/>
    <cellStyle name="Total 11 3 2" xfId="2414" xr:uid="{582C4EFA-45F2-4695-8954-E58EF0628D5F}"/>
    <cellStyle name="Total 11 4" xfId="2096" xr:uid="{8A3C48AB-FE6C-4663-8DAE-3D860BF4BAA6}"/>
    <cellStyle name="Total 12" xfId="509" xr:uid="{00000000-0005-0000-0000-000065070000}"/>
    <cellStyle name="Total 12 2" xfId="1745" xr:uid="{00000000-0005-0000-0000-000066070000}"/>
    <cellStyle name="Total 12 2 2" xfId="2361" xr:uid="{4412735D-4343-4370-ABAE-61CD36F16F8C}"/>
    <cellStyle name="Total 12 3" xfId="1750" xr:uid="{00000000-0005-0000-0000-000067070000}"/>
    <cellStyle name="Total 12 3 2" xfId="2366" xr:uid="{FD3902B4-B2BA-4688-BA9A-99B1DBC1CF3F}"/>
    <cellStyle name="Total 12 4" xfId="2102" xr:uid="{9E4F1EF6-A844-481B-A46F-722F105E993B}"/>
    <cellStyle name="Total 13" xfId="552" xr:uid="{00000000-0005-0000-0000-000068070000}"/>
    <cellStyle name="Total 13 2" xfId="1755" xr:uid="{00000000-0005-0000-0000-000069070000}"/>
    <cellStyle name="Total 13 2 2" xfId="2371" xr:uid="{5738E40A-1378-4B22-B2DB-E047F4C0EB4C}"/>
    <cellStyle name="Total 13 3" xfId="1694" xr:uid="{00000000-0005-0000-0000-00006A070000}"/>
    <cellStyle name="Total 13 3 2" xfId="2310" xr:uid="{AA0B7832-B4FF-478C-8B3E-484176D91BB7}"/>
    <cellStyle name="Total 13 4" xfId="2108" xr:uid="{42ADC9E3-29D0-420A-91EA-DC68DE17F37E}"/>
    <cellStyle name="Total 14" xfId="595" xr:uid="{00000000-0005-0000-0000-00006B070000}"/>
    <cellStyle name="Total 14 2" xfId="1764" xr:uid="{00000000-0005-0000-0000-00006C070000}"/>
    <cellStyle name="Total 14 2 2" xfId="2380" xr:uid="{A38DAFB6-7289-4B1B-8D52-42CEBB4B64A2}"/>
    <cellStyle name="Total 14 3" xfId="1969" xr:uid="{00000000-0005-0000-0000-00006D070000}"/>
    <cellStyle name="Total 14 3 2" xfId="2585" xr:uid="{CCA00958-9396-4313-AEEF-4850AB3FCCE8}"/>
    <cellStyle name="Total 14 4" xfId="2114" xr:uid="{328A4317-64DF-45C2-960D-0361D168AE02}"/>
    <cellStyle name="Total 15" xfId="638" xr:uid="{00000000-0005-0000-0000-00006E070000}"/>
    <cellStyle name="Total 15 2" xfId="1774" xr:uid="{00000000-0005-0000-0000-00006F070000}"/>
    <cellStyle name="Total 15 2 2" xfId="2390" xr:uid="{5EFB148F-6ED7-423C-95F9-F12678AA2A88}"/>
    <cellStyle name="Total 15 3" xfId="1914" xr:uid="{00000000-0005-0000-0000-000070070000}"/>
    <cellStyle name="Total 15 3 2" xfId="2530" xr:uid="{96495F2A-479F-45B3-A192-00DADEC11AE7}"/>
    <cellStyle name="Total 15 4" xfId="2120" xr:uid="{27E24566-5E21-4D20-82BC-29D9D72A0458}"/>
    <cellStyle name="Total 16" xfId="681" xr:uid="{00000000-0005-0000-0000-000071070000}"/>
    <cellStyle name="Total 16 2" xfId="1783" xr:uid="{00000000-0005-0000-0000-000072070000}"/>
    <cellStyle name="Total 16 2 2" xfId="2399" xr:uid="{328FB1B5-AA9A-41B7-8191-37FACAD2861A}"/>
    <cellStyle name="Total 16 3" xfId="1868" xr:uid="{00000000-0005-0000-0000-000073070000}"/>
    <cellStyle name="Total 16 3 2" xfId="2484" xr:uid="{59D4C295-31F6-41F3-85BD-C48E4570758B}"/>
    <cellStyle name="Total 16 4" xfId="2126" xr:uid="{51B22C2D-55D1-4061-9DD9-D5508CADB9DF}"/>
    <cellStyle name="Total 17" xfId="724" xr:uid="{00000000-0005-0000-0000-000074070000}"/>
    <cellStyle name="Total 17 2" xfId="1792" xr:uid="{00000000-0005-0000-0000-000075070000}"/>
    <cellStyle name="Total 17 2 2" xfId="2408" xr:uid="{0B00AB8B-F704-4EBA-A15B-A4E58B7CAC3E}"/>
    <cellStyle name="Total 17 3" xfId="1649" xr:uid="{00000000-0005-0000-0000-000076070000}"/>
    <cellStyle name="Total 17 3 2" xfId="2265" xr:uid="{77ECCD54-4651-40E3-AE16-240EF41C62A1}"/>
    <cellStyle name="Total 17 4" xfId="2132" xr:uid="{C0CE31A3-3890-42EC-9BD0-1AB4ABE790E8}"/>
    <cellStyle name="Total 18" xfId="767" xr:uid="{00000000-0005-0000-0000-000077070000}"/>
    <cellStyle name="Total 18 2" xfId="1803" xr:uid="{00000000-0005-0000-0000-000078070000}"/>
    <cellStyle name="Total 18 2 2" xfId="2419" xr:uid="{94493083-3465-4672-AD4B-A8391BA0FA8D}"/>
    <cellStyle name="Total 18 3" xfId="1758" xr:uid="{00000000-0005-0000-0000-000079070000}"/>
    <cellStyle name="Total 18 3 2" xfId="2374" xr:uid="{2CF213F6-D512-4204-AF74-0D8B76BF020A}"/>
    <cellStyle name="Total 18 4" xfId="2138" xr:uid="{9A5C5111-46E4-4520-AE00-484F1D563402}"/>
    <cellStyle name="Total 19" xfId="810" xr:uid="{00000000-0005-0000-0000-00007A070000}"/>
    <cellStyle name="Total 19 2" xfId="1814" xr:uid="{00000000-0005-0000-0000-00007B070000}"/>
    <cellStyle name="Total 19 2 2" xfId="2430" xr:uid="{B3576FAC-288C-4558-82D9-14E523013526}"/>
    <cellStyle name="Total 19 3" xfId="1703" xr:uid="{00000000-0005-0000-0000-00007C070000}"/>
    <cellStyle name="Total 19 3 2" xfId="2319" xr:uid="{E4508B5B-012D-421E-914A-FD8CEED4E826}"/>
    <cellStyle name="Total 19 4" xfId="2144" xr:uid="{E5C67686-4F8E-40D4-823F-526161758850}"/>
    <cellStyle name="Total 2" xfId="84" xr:uid="{00000000-0005-0000-0000-00007D070000}"/>
    <cellStyle name="Total 2 2" xfId="1654" xr:uid="{00000000-0005-0000-0000-00007E070000}"/>
    <cellStyle name="Total 2 2 2" xfId="2270" xr:uid="{97FC1067-B96E-4698-87F2-4BB90E612830}"/>
    <cellStyle name="Total 2 3" xfId="1813" xr:uid="{00000000-0005-0000-0000-00007F070000}"/>
    <cellStyle name="Total 2 3 2" xfId="2429" xr:uid="{592349BF-9452-4C81-96AD-D772E9D4DE8D}"/>
    <cellStyle name="Total 2 4" xfId="2045" xr:uid="{81AF2E0E-1AFD-4B68-9B63-077B8AEE3CEE}"/>
    <cellStyle name="Total 20" xfId="853" xr:uid="{00000000-0005-0000-0000-000080070000}"/>
    <cellStyle name="Total 20 2" xfId="1823" xr:uid="{00000000-0005-0000-0000-000081070000}"/>
    <cellStyle name="Total 20 2 2" xfId="2439" xr:uid="{943CBFC8-E955-4E1F-8C5A-D56919984B04}"/>
    <cellStyle name="Total 20 3" xfId="1977" xr:uid="{00000000-0005-0000-0000-000082070000}"/>
    <cellStyle name="Total 20 3 2" xfId="2593" xr:uid="{D87B5D3F-CB7E-455A-870A-3407DE414D92}"/>
    <cellStyle name="Total 20 4" xfId="2150" xr:uid="{D0E93DCA-1E14-46EE-A905-7E9BF9DC0D2B}"/>
    <cellStyle name="Total 21" xfId="896" xr:uid="{00000000-0005-0000-0000-000083070000}"/>
    <cellStyle name="Total 21 2" xfId="1836" xr:uid="{00000000-0005-0000-0000-000084070000}"/>
    <cellStyle name="Total 21 2 2" xfId="2452" xr:uid="{BD57AE23-13FE-4565-82F0-710701A2363D}"/>
    <cellStyle name="Total 21 3" xfId="1921" xr:uid="{00000000-0005-0000-0000-000085070000}"/>
    <cellStyle name="Total 21 3 2" xfId="2537" xr:uid="{8A017A6E-750D-4CA6-9AA3-4FEC8DA1A88B}"/>
    <cellStyle name="Total 21 4" xfId="2156" xr:uid="{8F63CD6B-3C6F-4B56-AD07-DA24E1004ED2}"/>
    <cellStyle name="Total 22" xfId="939" xr:uid="{00000000-0005-0000-0000-000086070000}"/>
    <cellStyle name="Total 22 2" xfId="1845" xr:uid="{00000000-0005-0000-0000-000087070000}"/>
    <cellStyle name="Total 22 2 2" xfId="2461" xr:uid="{E9755BD0-6C46-411A-AC6C-3FB91EDF6AAC}"/>
    <cellStyle name="Total 22 3" xfId="1877" xr:uid="{00000000-0005-0000-0000-000088070000}"/>
    <cellStyle name="Total 22 3 2" xfId="2493" xr:uid="{CEDDEE31-BAEF-401C-8B03-926EFB1AE79A}"/>
    <cellStyle name="Total 22 4" xfId="2162" xr:uid="{5041C9B7-97CB-4101-9B83-C652881D821F}"/>
    <cellStyle name="Total 23" xfId="982" xr:uid="{00000000-0005-0000-0000-000089070000}"/>
    <cellStyle name="Total 23 2" xfId="1855" xr:uid="{00000000-0005-0000-0000-00008A070000}"/>
    <cellStyle name="Total 23 2 2" xfId="2471" xr:uid="{E33CBD19-D24D-4CF6-A09A-151E1422F423}"/>
    <cellStyle name="Total 23 3" xfId="1816" xr:uid="{00000000-0005-0000-0000-00008B070000}"/>
    <cellStyle name="Total 23 3 2" xfId="2432" xr:uid="{60D2FD3E-B54F-42DC-93B5-BCFDF3EFF1AB}"/>
    <cellStyle name="Total 23 4" xfId="2168" xr:uid="{A26DF37F-2091-413F-A1E1-BB69A76788E0}"/>
    <cellStyle name="Total 24" xfId="1025" xr:uid="{00000000-0005-0000-0000-00008C070000}"/>
    <cellStyle name="Total 24 2" xfId="1865" xr:uid="{00000000-0005-0000-0000-00008D070000}"/>
    <cellStyle name="Total 24 2 2" xfId="2481" xr:uid="{70016148-DDD5-4332-B79F-0A36D82C9326}"/>
    <cellStyle name="Total 24 3" xfId="1766" xr:uid="{00000000-0005-0000-0000-00008E070000}"/>
    <cellStyle name="Total 24 3 2" xfId="2382" xr:uid="{CAFDFD3F-79CE-4CFC-9EE6-614E6B01B591}"/>
    <cellStyle name="Total 24 4" xfId="2174" xr:uid="{9C636653-D6B1-41C9-B5FA-9B33F2B1BB68}"/>
    <cellStyle name="Total 25" xfId="1068" xr:uid="{00000000-0005-0000-0000-00008F070000}"/>
    <cellStyle name="Total 25 2" xfId="1875" xr:uid="{00000000-0005-0000-0000-000090070000}"/>
    <cellStyle name="Total 25 2 2" xfId="2491" xr:uid="{4AA50F8B-17F9-41F0-B898-C94D1DBFD2B8}"/>
    <cellStyle name="Total 25 3" xfId="1711" xr:uid="{00000000-0005-0000-0000-000091070000}"/>
    <cellStyle name="Total 25 3 2" xfId="2327" xr:uid="{BEEBA9C0-A8E3-42EF-A0E0-B6E67FE0633C}"/>
    <cellStyle name="Total 25 4" xfId="2180" xr:uid="{44ACF692-508B-403A-BB53-BA931703266D}"/>
    <cellStyle name="Total 26" xfId="1111" xr:uid="{00000000-0005-0000-0000-000092070000}"/>
    <cellStyle name="Total 26 2" xfId="1883" xr:uid="{00000000-0005-0000-0000-000093070000}"/>
    <cellStyle name="Total 26 2 2" xfId="2499" xr:uid="{C16842AF-D626-4411-B267-EBD0847E6F82}"/>
    <cellStyle name="Total 26 3" xfId="1985" xr:uid="{00000000-0005-0000-0000-000094070000}"/>
    <cellStyle name="Total 26 3 2" xfId="2601" xr:uid="{5C122E7C-0EC0-4862-B228-5A1AF1C26FD4}"/>
    <cellStyle name="Total 26 4" xfId="2186" xr:uid="{8489D4DF-45B3-4BBE-8858-992006FE0261}"/>
    <cellStyle name="Total 27" xfId="1154" xr:uid="{00000000-0005-0000-0000-000095070000}"/>
    <cellStyle name="Total 27 2" xfId="1893" xr:uid="{00000000-0005-0000-0000-000096070000}"/>
    <cellStyle name="Total 27 2 2" xfId="2509" xr:uid="{A57E7439-541F-4B23-89C7-5B60EAE393D5}"/>
    <cellStyle name="Total 27 3" xfId="1928" xr:uid="{00000000-0005-0000-0000-000097070000}"/>
    <cellStyle name="Total 27 3 2" xfId="2544" xr:uid="{E8515F40-2356-4FFF-8F1E-38900B679739}"/>
    <cellStyle name="Total 27 4" xfId="2192" xr:uid="{8A621265-226E-4603-99DB-339EDEBC0356}"/>
    <cellStyle name="Total 28" xfId="1197" xr:uid="{00000000-0005-0000-0000-000098070000}"/>
    <cellStyle name="Total 28 2" xfId="1901" xr:uid="{00000000-0005-0000-0000-000099070000}"/>
    <cellStyle name="Total 28 2 2" xfId="2517" xr:uid="{DA4FE79F-E9E1-45D5-85D2-F05724DD6F19}"/>
    <cellStyle name="Total 28 3" xfId="1884" xr:uid="{00000000-0005-0000-0000-00009A070000}"/>
    <cellStyle name="Total 28 3 2" xfId="2500" xr:uid="{54A45EA5-51CE-4451-BA16-97F729EA61A9}"/>
    <cellStyle name="Total 28 4" xfId="2198" xr:uid="{2088C848-0040-4D4A-ACC6-B82F0455F59C}"/>
    <cellStyle name="Total 29" xfId="1240" xr:uid="{00000000-0005-0000-0000-00009B070000}"/>
    <cellStyle name="Total 29 2" xfId="1911" xr:uid="{00000000-0005-0000-0000-00009C070000}"/>
    <cellStyle name="Total 29 2 2" xfId="2527" xr:uid="{545E8052-1A31-4FFF-810A-983F2D456EA5}"/>
    <cellStyle name="Total 29 3" xfId="1824" xr:uid="{00000000-0005-0000-0000-00009D070000}"/>
    <cellStyle name="Total 29 3 2" xfId="2440" xr:uid="{131713E1-97A1-422B-B17C-2BD6B12081CC}"/>
    <cellStyle name="Total 29 4" xfId="2204" xr:uid="{12571250-E4D4-4872-91B5-9F12B41DF332}"/>
    <cellStyle name="Total 3" xfId="127" xr:uid="{00000000-0005-0000-0000-00009E070000}"/>
    <cellStyle name="Total 3 2" xfId="1663" xr:uid="{00000000-0005-0000-0000-00009F070000}"/>
    <cellStyle name="Total 3 2 2" xfId="2279" xr:uid="{362038DA-5A8F-45FD-88D2-5EF74A45E75C}"/>
    <cellStyle name="Total 3 3" xfId="1834" xr:uid="{00000000-0005-0000-0000-0000A0070000}"/>
    <cellStyle name="Total 3 3 2" xfId="2450" xr:uid="{D542343C-D487-4144-A3BD-74B96D67C97D}"/>
    <cellStyle name="Total 3 4" xfId="2050" xr:uid="{93A7D8E0-A23C-4A0D-96BD-A922C691FD1A}"/>
    <cellStyle name="Total 30" xfId="1283" xr:uid="{00000000-0005-0000-0000-0000A1070000}"/>
    <cellStyle name="Total 30 2" xfId="1919" xr:uid="{00000000-0005-0000-0000-0000A2070000}"/>
    <cellStyle name="Total 30 2 2" xfId="2535" xr:uid="{8739DB10-1183-4BB1-9A3B-03F8441A5AB4}"/>
    <cellStyle name="Total 30 3" xfId="1775" xr:uid="{00000000-0005-0000-0000-0000A3070000}"/>
    <cellStyle name="Total 30 3 2" xfId="2391" xr:uid="{CE64C4F5-9BCC-45CE-B146-B2F8B3BBC523}"/>
    <cellStyle name="Total 30 4" xfId="2210" xr:uid="{F74B13CD-DD65-4CF0-81A1-7AF712E3CDAF}"/>
    <cellStyle name="Total 31" xfId="1326" xr:uid="{00000000-0005-0000-0000-0000A4070000}"/>
    <cellStyle name="Total 31 2" xfId="1927" xr:uid="{00000000-0005-0000-0000-0000A5070000}"/>
    <cellStyle name="Total 31 2 2" xfId="2543" xr:uid="{2349804E-5622-4E20-B3D0-C645295C739D}"/>
    <cellStyle name="Total 31 3" xfId="1719" xr:uid="{00000000-0005-0000-0000-0000A6070000}"/>
    <cellStyle name="Total 31 3 2" xfId="2335" xr:uid="{E53148FA-8CAA-429E-B0FA-571CF97FA157}"/>
    <cellStyle name="Total 31 4" xfId="2216" xr:uid="{449BB321-DC21-4709-808E-BFA460A09884}"/>
    <cellStyle name="Total 32" xfId="1369" xr:uid="{00000000-0005-0000-0000-0000A7070000}"/>
    <cellStyle name="Total 32 2" xfId="1938" xr:uid="{00000000-0005-0000-0000-0000A8070000}"/>
    <cellStyle name="Total 32 2 2" xfId="2554" xr:uid="{A575A6BA-2366-48A5-A69A-0F35CE941871}"/>
    <cellStyle name="Total 32 3" xfId="1664" xr:uid="{00000000-0005-0000-0000-0000A9070000}"/>
    <cellStyle name="Total 32 3 2" xfId="2280" xr:uid="{DBF66DA1-CB2F-42D2-997E-E61ECC72686E}"/>
    <cellStyle name="Total 32 4" xfId="2222" xr:uid="{EC2640EC-F322-45EA-8558-199C695D9F67}"/>
    <cellStyle name="Total 33" xfId="1411" xr:uid="{00000000-0005-0000-0000-0000AA070000}"/>
    <cellStyle name="Total 33 2" xfId="1948" xr:uid="{00000000-0005-0000-0000-0000AB070000}"/>
    <cellStyle name="Total 33 2 2" xfId="2564" xr:uid="{F470049E-2533-48B5-A24C-8D4AB3AEF17A}"/>
    <cellStyle name="Total 33 3" xfId="1933" xr:uid="{00000000-0005-0000-0000-0000AC070000}"/>
    <cellStyle name="Total 33 3 2" xfId="2549" xr:uid="{FAE91100-5D67-4D16-840A-1868EE5B9B14}"/>
    <cellStyle name="Total 33 4" xfId="2228" xr:uid="{5AD48252-AB52-400F-8299-AC257A919689}"/>
    <cellStyle name="Total 34" xfId="1453" xr:uid="{00000000-0005-0000-0000-0000AD070000}"/>
    <cellStyle name="Total 34 2" xfId="1957" xr:uid="{00000000-0005-0000-0000-0000AE070000}"/>
    <cellStyle name="Total 34 2 2" xfId="2573" xr:uid="{D8534C61-4BD5-4585-8FB4-8540D9BE5152}"/>
    <cellStyle name="Total 34 3" xfId="1643" xr:uid="{00000000-0005-0000-0000-0000AF070000}"/>
    <cellStyle name="Total 34 3 2" xfId="2259" xr:uid="{FE2925EC-72C3-455B-95CC-DFC04D0618FD}"/>
    <cellStyle name="Total 34 4" xfId="2234" xr:uid="{F203D63E-C372-4228-8DD8-89C883A534C1}"/>
    <cellStyle name="Total 35" xfId="1496" xr:uid="{00000000-0005-0000-0000-0000B0070000}"/>
    <cellStyle name="Total 35 2" xfId="1966" xr:uid="{00000000-0005-0000-0000-0000B1070000}"/>
    <cellStyle name="Total 35 2 2" xfId="2582" xr:uid="{7CF38151-0E26-4B89-A7BA-BF38183D6562}"/>
    <cellStyle name="Total 35 3" xfId="1997" xr:uid="{00000000-0005-0000-0000-0000B2070000}"/>
    <cellStyle name="Total 35 3 2" xfId="2613" xr:uid="{0A201939-3673-4112-A961-8021A9DE7338}"/>
    <cellStyle name="Total 35 4" xfId="2239" xr:uid="{E493243C-8761-466D-8D19-5739D94BFCB0}"/>
    <cellStyle name="Total 36" xfId="1537" xr:uid="{00000000-0005-0000-0000-0000B3070000}"/>
    <cellStyle name="Total 36 2" xfId="1975" xr:uid="{00000000-0005-0000-0000-0000B4070000}"/>
    <cellStyle name="Total 36 2 2" xfId="2591" xr:uid="{ED4DC421-2BBB-4123-983F-2C570483BEDC}"/>
    <cellStyle name="Total 36 3" xfId="2002" xr:uid="{00000000-0005-0000-0000-0000B5070000}"/>
    <cellStyle name="Total 36 3 2" xfId="2618" xr:uid="{42AB6C4A-03BA-4FC0-A2FF-12083EB4EE14}"/>
    <cellStyle name="Total 36 4" xfId="2244" xr:uid="{FC606155-30A0-41AC-A1CF-2B96E047ADA0}"/>
    <cellStyle name="Total 37" xfId="1578" xr:uid="{00000000-0005-0000-0000-0000B6070000}"/>
    <cellStyle name="Total 37 2" xfId="1984" xr:uid="{00000000-0005-0000-0000-0000B7070000}"/>
    <cellStyle name="Total 37 2 2" xfId="2600" xr:uid="{C64E17BE-9AB5-4E2C-B013-C3BB6491A57F}"/>
    <cellStyle name="Total 37 3" xfId="2007" xr:uid="{00000000-0005-0000-0000-0000B8070000}"/>
    <cellStyle name="Total 37 3 2" xfId="2623" xr:uid="{1C9470BD-A7B0-4D0E-8CAB-7CAAD9B10E59}"/>
    <cellStyle name="Total 37 4" xfId="2250" xr:uid="{F369F665-EE27-4E4D-A085-B6D22E7F9AF1}"/>
    <cellStyle name="Total 38" xfId="1619" xr:uid="{00000000-0005-0000-0000-0000B9070000}"/>
    <cellStyle name="Total 38 2" xfId="1992" xr:uid="{00000000-0005-0000-0000-0000BA070000}"/>
    <cellStyle name="Total 38 2 2" xfId="2608" xr:uid="{A65EAA6C-028E-4DCC-94C9-375BC3B9609E}"/>
    <cellStyle name="Total 38 3" xfId="2012" xr:uid="{00000000-0005-0000-0000-0000BB070000}"/>
    <cellStyle name="Total 38 3 2" xfId="2628" xr:uid="{8A9E5B0F-B6E3-4851-B5A9-B3069044CA54}"/>
    <cellStyle name="Total 38 4" xfId="2256" xr:uid="{73C1FCA8-D0C9-4D06-9353-4F6117403DBA}"/>
    <cellStyle name="Total 4" xfId="169" xr:uid="{00000000-0005-0000-0000-0000BC070000}"/>
    <cellStyle name="Total 4 2" xfId="1672" xr:uid="{00000000-0005-0000-0000-0000BD070000}"/>
    <cellStyle name="Total 4 2 2" xfId="2288" xr:uid="{C280B892-9F7B-43B0-BD50-F7A8B8552DF4}"/>
    <cellStyle name="Total 4 3" xfId="1810" xr:uid="{00000000-0005-0000-0000-0000BE070000}"/>
    <cellStyle name="Total 4 3 2" xfId="2426" xr:uid="{7CE70519-C9B4-453F-B147-C6000E10C014}"/>
    <cellStyle name="Total 4 4" xfId="2055" xr:uid="{FAC85E02-ADCF-4619-842D-6AC9F916F3CB}"/>
    <cellStyle name="Total 5" xfId="210" xr:uid="{00000000-0005-0000-0000-0000BF070000}"/>
    <cellStyle name="Total 5 2" xfId="1682" xr:uid="{00000000-0005-0000-0000-0000C0070000}"/>
    <cellStyle name="Total 5 2 2" xfId="2298" xr:uid="{0BA3BA03-E6C9-409B-9202-F478E7991616}"/>
    <cellStyle name="Total 5 3" xfId="1771" xr:uid="{00000000-0005-0000-0000-0000C1070000}"/>
    <cellStyle name="Total 5 3 2" xfId="2387" xr:uid="{C907C63D-A25F-4C91-A7F7-0BC7761053CB}"/>
    <cellStyle name="Total 5 4" xfId="2060" xr:uid="{C801F67A-D913-449C-80E2-F5E0733AD89A}"/>
    <cellStyle name="Total 6" xfId="253" xr:uid="{00000000-0005-0000-0000-0000C2070000}"/>
    <cellStyle name="Total 6 2" xfId="1690" xr:uid="{00000000-0005-0000-0000-0000C3070000}"/>
    <cellStyle name="Total 6 2 2" xfId="2306" xr:uid="{8EABB9D8-2250-494F-8F74-7A730C524B56}"/>
    <cellStyle name="Total 6 3" xfId="1732" xr:uid="{00000000-0005-0000-0000-0000C4070000}"/>
    <cellStyle name="Total 6 3 2" xfId="2348" xr:uid="{B7010C5D-05A5-4F90-8C92-24E4BD308171}"/>
    <cellStyle name="Total 6 4" xfId="2066" xr:uid="{B8695F4E-7FAD-459F-B25C-E7135EE46B5B}"/>
    <cellStyle name="Total 7" xfId="296" xr:uid="{00000000-0005-0000-0000-0000C5070000}"/>
    <cellStyle name="Total 7 2" xfId="1700" xr:uid="{00000000-0005-0000-0000-0000C6070000}"/>
    <cellStyle name="Total 7 2 2" xfId="2316" xr:uid="{D55DAB1A-1624-4C9E-B539-5E5D9147104F}"/>
    <cellStyle name="Total 7 3" xfId="1678" xr:uid="{00000000-0005-0000-0000-0000C7070000}"/>
    <cellStyle name="Total 7 3 2" xfId="2294" xr:uid="{D28DACF2-254A-4385-A0B8-73335C4B25CC}"/>
    <cellStyle name="Total 7 4" xfId="2072" xr:uid="{695CAC95-C403-48A9-833C-0B33C7DEB502}"/>
    <cellStyle name="Total 8" xfId="339" xr:uid="{00000000-0005-0000-0000-0000C8070000}"/>
    <cellStyle name="Total 8 2" xfId="1710" xr:uid="{00000000-0005-0000-0000-0000C9070000}"/>
    <cellStyle name="Total 8 2 2" xfId="2326" xr:uid="{0E016617-CB8C-4003-8836-AE0F7E10A242}"/>
    <cellStyle name="Total 8 3" xfId="1953" xr:uid="{00000000-0005-0000-0000-0000CA070000}"/>
    <cellStyle name="Total 8 3 2" xfId="2569" xr:uid="{88B8373C-FFEB-4E66-B139-45EBCD0E3A82}"/>
    <cellStyle name="Total 8 4" xfId="2078" xr:uid="{EC36CE82-8D71-4445-B7CD-536D8FACD2A1}"/>
    <cellStyle name="Total 9" xfId="382" xr:uid="{00000000-0005-0000-0000-0000CB070000}"/>
    <cellStyle name="Total 9 2" xfId="1718" xr:uid="{00000000-0005-0000-0000-0000CC070000}"/>
    <cellStyle name="Total 9 2 2" xfId="2334" xr:uid="{7C8FF027-DB25-47B1-91A7-035B5BA93ED3}"/>
    <cellStyle name="Total 9 3" xfId="1659" xr:uid="{00000000-0005-0000-0000-0000CD070000}"/>
    <cellStyle name="Total 9 3 2" xfId="2275" xr:uid="{12177FDA-5819-4CEF-A2CE-4C09F718268E}"/>
    <cellStyle name="Total 9 4" xfId="2084" xr:uid="{9B4F735E-E042-47EA-BD87-AE2C9D3A3E3D}"/>
    <cellStyle name="Warning Text 10" xfId="425" xr:uid="{00000000-0005-0000-0000-0000CE070000}"/>
    <cellStyle name="Warning Text 11" xfId="467" xr:uid="{00000000-0005-0000-0000-0000CF070000}"/>
    <cellStyle name="Warning Text 12" xfId="510" xr:uid="{00000000-0005-0000-0000-0000D0070000}"/>
    <cellStyle name="Warning Text 13" xfId="553" xr:uid="{00000000-0005-0000-0000-0000D1070000}"/>
    <cellStyle name="Warning Text 14" xfId="596" xr:uid="{00000000-0005-0000-0000-0000D2070000}"/>
    <cellStyle name="Warning Text 15" xfId="639" xr:uid="{00000000-0005-0000-0000-0000D3070000}"/>
    <cellStyle name="Warning Text 16" xfId="682" xr:uid="{00000000-0005-0000-0000-0000D4070000}"/>
    <cellStyle name="Warning Text 17" xfId="725" xr:uid="{00000000-0005-0000-0000-0000D5070000}"/>
    <cellStyle name="Warning Text 18" xfId="768" xr:uid="{00000000-0005-0000-0000-0000D6070000}"/>
    <cellStyle name="Warning Text 19" xfId="811" xr:uid="{00000000-0005-0000-0000-0000D7070000}"/>
    <cellStyle name="Warning Text 2" xfId="85" xr:uid="{00000000-0005-0000-0000-0000D8070000}"/>
    <cellStyle name="Warning Text 20" xfId="854" xr:uid="{00000000-0005-0000-0000-0000D9070000}"/>
    <cellStyle name="Warning Text 21" xfId="897" xr:uid="{00000000-0005-0000-0000-0000DA070000}"/>
    <cellStyle name="Warning Text 22" xfId="940" xr:uid="{00000000-0005-0000-0000-0000DB070000}"/>
    <cellStyle name="Warning Text 23" xfId="983" xr:uid="{00000000-0005-0000-0000-0000DC070000}"/>
    <cellStyle name="Warning Text 24" xfId="1026" xr:uid="{00000000-0005-0000-0000-0000DD070000}"/>
    <cellStyle name="Warning Text 25" xfId="1069" xr:uid="{00000000-0005-0000-0000-0000DE070000}"/>
    <cellStyle name="Warning Text 26" xfId="1112" xr:uid="{00000000-0005-0000-0000-0000DF070000}"/>
    <cellStyle name="Warning Text 27" xfId="1155" xr:uid="{00000000-0005-0000-0000-0000E0070000}"/>
    <cellStyle name="Warning Text 28" xfId="1198" xr:uid="{00000000-0005-0000-0000-0000E1070000}"/>
    <cellStyle name="Warning Text 29" xfId="1241" xr:uid="{00000000-0005-0000-0000-0000E2070000}"/>
    <cellStyle name="Warning Text 3" xfId="128" xr:uid="{00000000-0005-0000-0000-0000E3070000}"/>
    <cellStyle name="Warning Text 30" xfId="1284" xr:uid="{00000000-0005-0000-0000-0000E4070000}"/>
    <cellStyle name="Warning Text 31" xfId="1327" xr:uid="{00000000-0005-0000-0000-0000E5070000}"/>
    <cellStyle name="Warning Text 32" xfId="1370" xr:uid="{00000000-0005-0000-0000-0000E6070000}"/>
    <cellStyle name="Warning Text 33" xfId="1412" xr:uid="{00000000-0005-0000-0000-0000E7070000}"/>
    <cellStyle name="Warning Text 34" xfId="1454" xr:uid="{00000000-0005-0000-0000-0000E8070000}"/>
    <cellStyle name="Warning Text 35" xfId="1497" xr:uid="{00000000-0005-0000-0000-0000E9070000}"/>
    <cellStyle name="Warning Text 36" xfId="1538" xr:uid="{00000000-0005-0000-0000-0000EA070000}"/>
    <cellStyle name="Warning Text 37" xfId="1579" xr:uid="{00000000-0005-0000-0000-0000EB070000}"/>
    <cellStyle name="Warning Text 38" xfId="1620" xr:uid="{00000000-0005-0000-0000-0000EC070000}"/>
    <cellStyle name="Warning Text 4" xfId="170" xr:uid="{00000000-0005-0000-0000-0000ED070000}"/>
    <cellStyle name="Warning Text 5" xfId="211" xr:uid="{00000000-0005-0000-0000-0000EE070000}"/>
    <cellStyle name="Warning Text 6" xfId="254" xr:uid="{00000000-0005-0000-0000-0000EF070000}"/>
    <cellStyle name="Warning Text 7" xfId="297" xr:uid="{00000000-0005-0000-0000-0000F0070000}"/>
    <cellStyle name="Warning Text 8" xfId="340" xr:uid="{00000000-0005-0000-0000-0000F1070000}"/>
    <cellStyle name="Warning Text 9" xfId="383" xr:uid="{00000000-0005-0000-0000-0000F207000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0"/>
      </font>
      <fill>
        <patternFill>
          <bgColor indexed="13"/>
        </patternFill>
      </fill>
    </dxf>
    <dxf>
      <font>
        <b/>
        <i val="0"/>
        <condense val="0"/>
        <extend val="0"/>
        <color indexed="9"/>
      </font>
    </dxf>
    <dxf>
      <font>
        <condense val="0"/>
        <extend val="0"/>
        <color indexed="10"/>
      </font>
      <fill>
        <patternFill>
          <bgColor indexed="1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8.xml"/><Relationship Id="rId47" Type="http://schemas.openxmlformats.org/officeDocument/2006/relationships/externalLink" Target="externalLinks/externalLink13.xml"/><Relationship Id="rId63" Type="http://schemas.openxmlformats.org/officeDocument/2006/relationships/externalLink" Target="externalLinks/externalLink29.xml"/><Relationship Id="rId68" Type="http://schemas.openxmlformats.org/officeDocument/2006/relationships/externalLink" Target="externalLinks/externalLink34.xml"/><Relationship Id="rId84" Type="http://schemas.openxmlformats.org/officeDocument/2006/relationships/externalLink" Target="externalLinks/externalLink50.xml"/><Relationship Id="rId89" Type="http://schemas.openxmlformats.org/officeDocument/2006/relationships/externalLink" Target="externalLinks/externalLink55.xml"/><Relationship Id="rId16" Type="http://schemas.openxmlformats.org/officeDocument/2006/relationships/worksheet" Target="worksheets/sheet16.xml"/><Relationship Id="rId107" Type="http://schemas.openxmlformats.org/officeDocument/2006/relationships/theme" Target="theme/theme1.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externalLink" Target="externalLinks/externalLink3.xml"/><Relationship Id="rId53" Type="http://schemas.openxmlformats.org/officeDocument/2006/relationships/externalLink" Target="externalLinks/externalLink19.xml"/><Relationship Id="rId58" Type="http://schemas.openxmlformats.org/officeDocument/2006/relationships/externalLink" Target="externalLinks/externalLink24.xml"/><Relationship Id="rId74" Type="http://schemas.openxmlformats.org/officeDocument/2006/relationships/externalLink" Target="externalLinks/externalLink40.xml"/><Relationship Id="rId79" Type="http://schemas.openxmlformats.org/officeDocument/2006/relationships/externalLink" Target="externalLinks/externalLink45.xml"/><Relationship Id="rId102" Type="http://schemas.openxmlformats.org/officeDocument/2006/relationships/externalLink" Target="externalLinks/externalLink68.xml"/><Relationship Id="rId5" Type="http://schemas.openxmlformats.org/officeDocument/2006/relationships/worksheet" Target="worksheets/sheet5.xml"/><Relationship Id="rId90" Type="http://schemas.openxmlformats.org/officeDocument/2006/relationships/externalLink" Target="externalLinks/externalLink56.xml"/><Relationship Id="rId95" Type="http://schemas.openxmlformats.org/officeDocument/2006/relationships/externalLink" Target="externalLinks/externalLink6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9.xml"/><Relationship Id="rId48" Type="http://schemas.openxmlformats.org/officeDocument/2006/relationships/externalLink" Target="externalLinks/externalLink14.xml"/><Relationship Id="rId64" Type="http://schemas.openxmlformats.org/officeDocument/2006/relationships/externalLink" Target="externalLinks/externalLink30.xml"/><Relationship Id="rId69" Type="http://schemas.openxmlformats.org/officeDocument/2006/relationships/externalLink" Target="externalLinks/externalLink35.xml"/><Relationship Id="rId80" Type="http://schemas.openxmlformats.org/officeDocument/2006/relationships/externalLink" Target="externalLinks/externalLink46.xml"/><Relationship Id="rId85" Type="http://schemas.openxmlformats.org/officeDocument/2006/relationships/externalLink" Target="externalLinks/externalLink5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externalLink" Target="externalLinks/externalLink4.xml"/><Relationship Id="rId59" Type="http://schemas.openxmlformats.org/officeDocument/2006/relationships/externalLink" Target="externalLinks/externalLink25.xml"/><Relationship Id="rId103" Type="http://schemas.openxmlformats.org/officeDocument/2006/relationships/externalLink" Target="externalLinks/externalLink69.xml"/><Relationship Id="rId108" Type="http://schemas.openxmlformats.org/officeDocument/2006/relationships/styles" Target="styles.xml"/><Relationship Id="rId54" Type="http://schemas.openxmlformats.org/officeDocument/2006/relationships/externalLink" Target="externalLinks/externalLink20.xml"/><Relationship Id="rId70" Type="http://schemas.openxmlformats.org/officeDocument/2006/relationships/externalLink" Target="externalLinks/externalLink36.xml"/><Relationship Id="rId75" Type="http://schemas.openxmlformats.org/officeDocument/2006/relationships/externalLink" Target="externalLinks/externalLink41.xml"/><Relationship Id="rId91" Type="http://schemas.openxmlformats.org/officeDocument/2006/relationships/externalLink" Target="externalLinks/externalLink57.xml"/><Relationship Id="rId96" Type="http://schemas.openxmlformats.org/officeDocument/2006/relationships/externalLink" Target="externalLinks/externalLink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49" Type="http://schemas.openxmlformats.org/officeDocument/2006/relationships/externalLink" Target="externalLinks/externalLink15.xml"/><Relationship Id="rId57" Type="http://schemas.openxmlformats.org/officeDocument/2006/relationships/externalLink" Target="externalLinks/externalLink23.xml"/><Relationship Id="rId106" Type="http://schemas.openxmlformats.org/officeDocument/2006/relationships/externalLink" Target="externalLinks/externalLink7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10.xml"/><Relationship Id="rId52" Type="http://schemas.openxmlformats.org/officeDocument/2006/relationships/externalLink" Target="externalLinks/externalLink18.xml"/><Relationship Id="rId60" Type="http://schemas.openxmlformats.org/officeDocument/2006/relationships/externalLink" Target="externalLinks/externalLink26.xml"/><Relationship Id="rId65" Type="http://schemas.openxmlformats.org/officeDocument/2006/relationships/externalLink" Target="externalLinks/externalLink31.xml"/><Relationship Id="rId73" Type="http://schemas.openxmlformats.org/officeDocument/2006/relationships/externalLink" Target="externalLinks/externalLink39.xml"/><Relationship Id="rId78" Type="http://schemas.openxmlformats.org/officeDocument/2006/relationships/externalLink" Target="externalLinks/externalLink44.xml"/><Relationship Id="rId81" Type="http://schemas.openxmlformats.org/officeDocument/2006/relationships/externalLink" Target="externalLinks/externalLink47.xml"/><Relationship Id="rId86" Type="http://schemas.openxmlformats.org/officeDocument/2006/relationships/externalLink" Target="externalLinks/externalLink52.xml"/><Relationship Id="rId94" Type="http://schemas.openxmlformats.org/officeDocument/2006/relationships/externalLink" Target="externalLinks/externalLink60.xml"/><Relationship Id="rId99" Type="http://schemas.openxmlformats.org/officeDocument/2006/relationships/externalLink" Target="externalLinks/externalLink65.xml"/><Relationship Id="rId101" Type="http://schemas.openxmlformats.org/officeDocument/2006/relationships/externalLink" Target="externalLinks/externalLink6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5.xml"/><Relationship Id="rId109" Type="http://schemas.openxmlformats.org/officeDocument/2006/relationships/sharedStrings" Target="sharedStrings.xml"/><Relationship Id="rId34" Type="http://schemas.openxmlformats.org/officeDocument/2006/relationships/worksheet" Target="worksheets/sheet34.xml"/><Relationship Id="rId50" Type="http://schemas.openxmlformats.org/officeDocument/2006/relationships/externalLink" Target="externalLinks/externalLink16.xml"/><Relationship Id="rId55" Type="http://schemas.openxmlformats.org/officeDocument/2006/relationships/externalLink" Target="externalLinks/externalLink21.xml"/><Relationship Id="rId76" Type="http://schemas.openxmlformats.org/officeDocument/2006/relationships/externalLink" Target="externalLinks/externalLink42.xml"/><Relationship Id="rId97" Type="http://schemas.openxmlformats.org/officeDocument/2006/relationships/externalLink" Target="externalLinks/externalLink63.xml"/><Relationship Id="rId104" Type="http://schemas.openxmlformats.org/officeDocument/2006/relationships/externalLink" Target="externalLinks/externalLink70.xml"/><Relationship Id="rId7" Type="http://schemas.openxmlformats.org/officeDocument/2006/relationships/worksheet" Target="worksheets/sheet7.xml"/><Relationship Id="rId71" Type="http://schemas.openxmlformats.org/officeDocument/2006/relationships/externalLink" Target="externalLinks/externalLink37.xml"/><Relationship Id="rId92" Type="http://schemas.openxmlformats.org/officeDocument/2006/relationships/externalLink" Target="externalLinks/externalLink58.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externalLink" Target="externalLinks/externalLink6.xml"/><Relationship Id="rId45" Type="http://schemas.openxmlformats.org/officeDocument/2006/relationships/externalLink" Target="externalLinks/externalLink11.xml"/><Relationship Id="rId66" Type="http://schemas.openxmlformats.org/officeDocument/2006/relationships/externalLink" Target="externalLinks/externalLink32.xml"/><Relationship Id="rId87" Type="http://schemas.openxmlformats.org/officeDocument/2006/relationships/externalLink" Target="externalLinks/externalLink53.xml"/><Relationship Id="rId110" Type="http://schemas.openxmlformats.org/officeDocument/2006/relationships/calcChain" Target="calcChain.xml"/><Relationship Id="rId61" Type="http://schemas.openxmlformats.org/officeDocument/2006/relationships/externalLink" Target="externalLinks/externalLink27.xml"/><Relationship Id="rId82" Type="http://schemas.openxmlformats.org/officeDocument/2006/relationships/externalLink" Target="externalLinks/externalLink48.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externalLink" Target="externalLinks/externalLink1.xml"/><Relationship Id="rId56" Type="http://schemas.openxmlformats.org/officeDocument/2006/relationships/externalLink" Target="externalLinks/externalLink22.xml"/><Relationship Id="rId77" Type="http://schemas.openxmlformats.org/officeDocument/2006/relationships/externalLink" Target="externalLinks/externalLink43.xml"/><Relationship Id="rId100" Type="http://schemas.openxmlformats.org/officeDocument/2006/relationships/externalLink" Target="externalLinks/externalLink66.xml"/><Relationship Id="rId105" Type="http://schemas.openxmlformats.org/officeDocument/2006/relationships/externalLink" Target="externalLinks/externalLink71.xml"/><Relationship Id="rId8" Type="http://schemas.openxmlformats.org/officeDocument/2006/relationships/worksheet" Target="worksheets/sheet8.xml"/><Relationship Id="rId51" Type="http://schemas.openxmlformats.org/officeDocument/2006/relationships/externalLink" Target="externalLinks/externalLink17.xml"/><Relationship Id="rId72" Type="http://schemas.openxmlformats.org/officeDocument/2006/relationships/externalLink" Target="externalLinks/externalLink38.xml"/><Relationship Id="rId93" Type="http://schemas.openxmlformats.org/officeDocument/2006/relationships/externalLink" Target="externalLinks/externalLink59.xml"/><Relationship Id="rId98" Type="http://schemas.openxmlformats.org/officeDocument/2006/relationships/externalLink" Target="externalLinks/externalLink64.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externalLink" Target="externalLinks/externalLink12.xml"/><Relationship Id="rId67" Type="http://schemas.openxmlformats.org/officeDocument/2006/relationships/externalLink" Target="externalLinks/externalLink33.xml"/><Relationship Id="rId20" Type="http://schemas.openxmlformats.org/officeDocument/2006/relationships/worksheet" Target="worksheets/sheet20.xml"/><Relationship Id="rId41" Type="http://schemas.openxmlformats.org/officeDocument/2006/relationships/externalLink" Target="externalLinks/externalLink7.xml"/><Relationship Id="rId62" Type="http://schemas.openxmlformats.org/officeDocument/2006/relationships/externalLink" Target="externalLinks/externalLink28.xml"/><Relationship Id="rId83" Type="http://schemas.openxmlformats.org/officeDocument/2006/relationships/externalLink" Target="externalLinks/externalLink49.xml"/><Relationship Id="rId88" Type="http://schemas.openxmlformats.org/officeDocument/2006/relationships/externalLink" Target="externalLinks/externalLink5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Kavita_pc/c/My%20Documents/june2001/PANDLT06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Ngcw/e/MY%20DOCUMENT/Jessa%20Ram%20Khushi%20Ram/JRKR%20%20CMA.%20DATA%2024-11-2003.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STAFF/OWENS/AUDIT/MARCH98/PLANNING/PBCL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evs08fls02/Finance/Revenue/AR%20Aging/Q2%202007/03.31.07Bad_Debt_Repor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A%204%20wtb%2020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9three/d/Documents%20and%20Settings/Praveen/Desktop/FINANCIALS%20-%20APR02-MAR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d/Documents%20and%20Settings/Praveen/Desktop/FINANCIALS%20-%20APR02-MAR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Documents%20and%20Settings/Praveen/Desktop/FINANCIALS%20-%20APR02-MAR0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pm/Audit%202014-15/Mar-15/Financials-%201.0%20(Mar-15)%20791.1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NUJ~1.GUP/AppData/Local/Temp/7zO6A2D.tmp/Financials-%201.0%20(Mar-15)%20791.1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Acct_shailesh/Application%20Data/Microsoft/Excel/Common%20BS/Documents%20and%20Settings/Praveen/Desktop/FINANCIALS%20-%20APR02-MAR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My%20Documents/GINI.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172.16.31.211/hyperion/EY%20Clients/UOB%20IL%20&amp;%20FS%20India%20Opportunities%20Fund%20Limited/2007/FS%20EY/UOB%20IL%20&amp;%20FS%20India%20Opportunities%20Fund%20Limited%20200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esktop/BLVL/2015-16/31-Mar-16/workpapers/Financials%20and%20Issue/BLVL%20Financials%20March%20-16.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anoj/IN_MAILS/KGT/YR98-99/BHANDUP.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vs01fs02/home/Finance/R-Data/Invoices/Current%20Working%20Folder/MIS/Invoice/2006-07/December%2006/Invoice%20File%20for%20Dec%200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Lulu/c/Empresas%20Grupo%20Lux/Dioptra,%20S.A.%20de%20C.V/2000/PAPELES%20PARA%20AJUSTE%20Y%20DECLARACION%20ANUAL/Ajuste%20(Balanc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WINDOWS/Desktop/GFL-B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172.16.30.247/yashpal%20(d)/services/Final/HX/HX%201year%20Rev%20Projection_ver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ppData/Local/Microsoft/Windows/Temporary%20Internet%20Files/Content.Outlook/LOMUMZLU/June%2010/P%20&amp;%20L%20Flash%20June%202010/P%20%20L%20Flash%20-%20Consolidated.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Lulu/c/Mis%20documentos/Empresas%20Grupo%20Lux/Inmobiliaria%20Mex%20Ind,%20S.A.%20de%20C.V/2000/REEXPRESIO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Documents%20and%20Settings/Mark%20Witman/Local%20Settings/Temporary%20Internet%20Files/OLK6/0110%20IS%20by%20BU%2011050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Index/my%20documents/Documents%20and%20Settings/Admin/My%20Documents/Shrikaanth/KMA%20Auto%20Components%20Pvt%20Ltd/Balance%20Shee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My%20Documents/Book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Depreciation%20For%20Odoo/Final%20Depreciation_NEW.xlsb"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Sarthak/c/3cd%20new/PP_Master%20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Documents%20and%20Settings/sanjay.dave/Local%20Settings/Temporary%20Internet%20Files/OLK53/AS-9%20Monthwise%20Schedul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Sandeep1/e/Sandeep/Nov'02/BS%20APR%20-%20NOV%2002/BS_Apr'02-%20Nov'0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proview/My%20Documents/Audit%20Files/Aashish/Lit-tech/Final%20for%20Prints%20Outs/Stat/Draft%20report/drft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s://192.168.2.18/WINDOWS/TEMP/WINDOWS/TEMP/q1%202004%20forecast%20ii.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Documents%20and%20Settings/purnendu.parui/Local%20Settings/Temp/Project%20Budget-Teesta%20LDPIV-R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Lulu/c/Papeles%20de%20Trabajo%20Empresas%20de%20Grupo/DESPACHO%20JOSE%20ALFREDO%20ROJAS,%20SC/1999/Estados%20Financieros/Analisis/I.S.P.T.%20Y%20CONTROL%20NOMIN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NANCIALS-1314/WORKING%20FILES-1314/DRS_ALL%20LOCATION/GL_3300_3301_SUNDRY%20DRS_MARCH'14(SF).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sunil%20backup/c%20drive/eudora/attach/CY02_Forecast_10250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BUDGET-KHEP%20latest.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nirav.zaveri/AppData/Local/Microsoft/Windows/Temporary%20Internet%20Files/Content.Outlook/SDYXRI1S/Mar-16/FA-%202015-16%20(Mar-1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DOCUME~1/yapae811/LOCALS~1/Temp/notesC4A9C8/Materaility%20template-GK/Combined%20ToD%20Template%20-%20June%20200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Nishit%201/Aster/Draft%20Financial%20Model%2020Jul06%20meeting%20in%20Hyd%20v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sjearajasingam/My%20Documents/Audit/Kreglinger/Consolidation%2007/Audit%20DMcB/PBV-1207%20Consolidation.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SERVER/Ganesan/EXCEL/march2001bs/mar0001rffina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KregLinger/Monthend%202007/KWE/TrialBalanc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Accounts-sus/sudarshan/MIS/04-05/09-MIS%20Preparation%20Dec'0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foreign%20portion%20wtb.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evs08fls02/Finance/Temp/Temporary%20Internet%20Files/OLK425/sujit%20sharma/Audit%20working%20file-2003-2004/Audit/TB%20Upload.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G:/Documents%20and%20Settings/shashank.chandak/Local%20Settings/Temporary%20Internet%20Files/OLK14C/Copy%20of%20debt%20equity%20position-30-09-10%20(2)%20(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Users/Anuj.Chaudhary/AppData/Local/Microsoft/Windows/Temporary%20Internet%20Files/Content.Outlook/G0HZWUXL/final%20%20HCC_D14_millions%20Consoildated%20Financial%20Statement%20QIP%20(2).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DOCUME~1/sanjay/LOCALS~1/Temp/Xl0000036.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Users/lnikita/Desktop/HHPL_Audit_Mar16/Financials/Latest/FA%20printable_March%202016_V2%2021%2005%2016.xlsm"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Mult2kserv/accpac/fund/Alia/Boyer%20Allan%20INDIA/Management%20accounts/30%20June%202004/BAIFI%20-%20Fin%20Stmts%2030.06.04%20-%20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Contracts/Uri2%20HEP/EIS/BUDGET%202002-2003/Purulia/revision1/KGT/YR98-99/DPR_9697/PLAN1697.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Server/Traffic/Estimates/Corporate/SIELCRAL03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29three/Microsoft/Excel/Common%20BS/DATA/Clients%20Data/Routesms%20Solutions%20Limited/Routesms%20F.Y%202010-2011/finalised%20routesms2010-2011/format%20of%20cashflowL.xls"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R:/KGT/YR98-99/DPR_9697/PLAN169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ritika.agarwal/AppData/Local/Microsoft/Windows/Temporary%20Internet%20Files/Content.Outlook/2FC4NNGH/MHIL%20opening%20balance%20sheet.xlsm"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Audit/VCO/2006/VCO%2006/Optic_DiscVCO/Accounts/Group/&#8226;Shared%20Items/PAYROLL%202005/Trish's%20MacLSL_AAS30_31%20Dec%2001%20%2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Documents%20and%20Settings/kavitar/Local%20Settings/Temporary%20Internet%20Files/Content.Outlook/RWDACOP5/L-OTHER-INCOME-0910%20lac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Annual%20Accounts%20Closing/IIIA/04-05/ENDING%2030.06.04/Encl%20%20ending-June-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FINAL-%20Project%20Budget-V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Documents%20and%20Settings/sanjay.BLVL.000/Local%20Settings/Temporary%20Internet%20Files/OLK61/TRIAL%20BALANCE/TB_TURBHE121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WINDOWS/Profiles/STEVENR/My%20Documents/Finance/0302/0302%20EDU%20TB%20Reporting%2003180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Users/pmoesbergen/AppData/Local/Microsoft/Windows/Temporary%20Internet%20Files/OLK5D6C/RBA%20-%20FX%20rate.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Accounts-sus/sudarshan/MIS/05-06/04%20Jul'05/Working-Jul'0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Documents%20and%20Settings/mhnh/My%20Documents/2001/Asia%20Pacific/Plan/5Y_v2.1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My%20Documents/ANKURCHm.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Documents%20and%20Settings/cr.jagasia.MAIL/Local%20Settings/Temporary%20Internet%20Files/OLKBE/sbi_bb_30040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Nishit%201/ITC/Models/Models/DCF%20Mode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pm/BUD%2015-16/Budget-%20PCD-T%20(2015-16)-1.xlsx"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SROSE/MISC/9907_pkg/9907%20PF%20Presentation.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Acct_shailesh/Application%20Data/Microsoft/Excel/Common%20BS/2002-03%20AUDIT%20SCHE/FINANCIALS%20-%20APR02-MAR03INCL%20&amp;%20EXC.xl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PathMissing" Target="CSCCincSKR"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Work/RNM%20assignment/9.%20Avigo%20Captal/A.Y.%202011-12/Documents%20and%20Settings/Gan%20kok%20seng/&#12487;&#12473;&#12463;&#12488;&#12483;&#12503;/ASH%20BP/&#21454;&#30410;&#31649;&#29702;/&#20181;&#21521;&#22320;&#21029;&#21454;&#30410;/MC&#20181;&#21521;&#22320;&#21029;&#21454;&#30410;%20March-1-2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MBAI-PUNE (p)"/>
      <sheetName val="MUMBAI-PUNE (2)"/>
      <sheetName val="PROGRESS (3)"/>
      <sheetName val="plmarch99 (f)"/>
      <sheetName val="plmarch99"/>
      <sheetName val="PLMAR(F)"/>
      <sheetName val="AP&amp;LMAR98"/>
      <sheetName val="SHARE OF HO EXP."/>
      <sheetName val="INT ON HO FUND"/>
      <sheetName val="PLsep98 (2)"/>
      <sheetName val="JUNE98 (QTR)"/>
      <sheetName val="pldecqtr(p)"/>
      <sheetName val="pldecqtr(a)"/>
      <sheetName val="PLSUMMARY FM"/>
      <sheetName val="PLMAR99"/>
      <sheetName val="PROGRESS (2)"/>
      <sheetName val="COMP-FM (2)"/>
      <sheetName val="Sheet2"/>
      <sheetName val="TOADJF"/>
      <sheetName val="TOTAL"/>
      <sheetName val="Sheet3"/>
      <sheetName val="Sheet5"/>
      <sheetName val="DAM"/>
      <sheetName val="BRIDGES"/>
      <sheetName val="IND.STR"/>
      <sheetName val="Sheet6"/>
      <sheetName val="UND-GROUND"/>
      <sheetName val="ENNORE"/>
      <sheetName val="BARRAGE"/>
      <sheetName val="HSG.COMP."/>
      <sheetName val="TALA"/>
      <sheetName val="ENVIORNMENT"/>
      <sheetName val="Sheet7"/>
      <sheetName val="MUMBAI-PUNE"/>
      <sheetName val="PREL EFFECT"/>
      <sheetName val="TURNOVER"/>
      <sheetName val="EQUIP.CHARG."/>
      <sheetName val="Sheet1"/>
      <sheetName val="CLAINS STAT."/>
      <sheetName val="CLO-BRN"/>
      <sheetName val="MALAWI"/>
      <sheetName val="FLASH-REPORT"/>
      <sheetName val="HO-EXPENSES"/>
      <sheetName val="analysis"/>
      <sheetName val="Sheet4"/>
      <sheetName val="PLSUMMARY"/>
      <sheetName val="PROGRESS"/>
      <sheetName val="P&amp;L MALAW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AYMENT"/>
      <sheetName val="DSCR"/>
      <sheetName val="PROJECT REPORT"/>
      <sheetName val="CMA DATA"/>
      <sheetName val="#REF"/>
    </sheetNames>
    <sheetDataSet>
      <sheetData sheetId="0" refreshError="1"/>
      <sheetData sheetId="1" refreshError="1"/>
      <sheetData sheetId="2" refreshError="1"/>
      <sheetData sheetId="3"/>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BCLIST"/>
      <sheetName val="1"/>
      <sheetName val="3"/>
      <sheetName val="4"/>
      <sheetName val="5"/>
      <sheetName val="6"/>
      <sheetName val="8"/>
      <sheetName val="9"/>
      <sheetName val="10"/>
      <sheetName val="11"/>
      <sheetName val="12"/>
      <sheetName val="13"/>
      <sheetName val="14"/>
      <sheetName val="15"/>
      <sheetName val="17"/>
      <sheetName val="18"/>
      <sheetName val="20"/>
      <sheetName val="21"/>
      <sheetName val="22"/>
      <sheetName val="23"/>
      <sheetName val="24"/>
      <sheetName val="25"/>
      <sheetName val="26"/>
      <sheetName val="27"/>
      <sheetName val="28"/>
      <sheetName val="29"/>
      <sheetName val="30"/>
      <sheetName val="31"/>
      <sheetName val="List"/>
      <sheetName val="Top sheet"/>
      <sheetName val="Checks"/>
      <sheetName val="Bal Sheet"/>
      <sheetName val="Profit Loss"/>
      <sheetName val="CF"/>
      <sheetName val="3 4"/>
      <sheetName val="5 6"/>
      <sheetName val="7"/>
      <sheetName val="9 Old"/>
      <sheetName val="10 11 12"/>
      <sheetName val="13 14"/>
      <sheetName val="15 16"/>
      <sheetName val="18 19 20"/>
      <sheetName val="21 22"/>
      <sheetName val="24 25 26 27"/>
      <sheetName val="28 to 35"/>
      <sheetName val="BS"/>
      <sheetName val="PL"/>
      <sheetName val="Jan to Mar 2010"/>
      <sheetName val="Jan-Dec 2011"/>
      <sheetName val="April to Dec 2010"/>
      <sheetName val="TB"/>
      <sheetName val="AJE - IGAAP"/>
      <sheetName val="ST LT"/>
      <sheetName val="Sheet1"/>
      <sheetName val="TB M13"/>
      <sheetName val="TM M12"/>
      <sheetName val="Sheet3"/>
      <sheetName val="FROM2"/>
      <sheetName val="Interest on Loan from Director"/>
      <sheetName val="0102-obdata"/>
      <sheetName val="Pivot"/>
      <sheetName val="TOTAL"/>
      <sheetName val="Ob3-0102"/>
      <sheetName val="Expenses_2003 &amp; 2004"/>
      <sheetName val="Sales 2003 upto Oct"/>
      <sheetName val="OUTLOOK-2004-0."/>
      <sheetName val="FI320"/>
      <sheetName val="FI205"/>
      <sheetName val="Instructions"/>
      <sheetName val="HE Parameters"/>
      <sheetName val="Upload"/>
      <sheetName val="Validations"/>
      <sheetName val="FI183"/>
      <sheetName val="FI300"/>
      <sheetName val="FI100"/>
      <sheetName val="FI105"/>
      <sheetName val="FI110"/>
      <sheetName val="FI111"/>
      <sheetName val="FI135"/>
      <sheetName val="FI150"/>
      <sheetName val="FI160"/>
      <sheetName val="FI163"/>
      <sheetName val="FI166"/>
      <sheetName val="FI170"/>
      <sheetName val="FI173"/>
      <sheetName val="FI180"/>
      <sheetName val="FI190"/>
      <sheetName val="FI220"/>
      <sheetName val="FI240"/>
      <sheetName val="FI310"/>
      <sheetName val="FI350"/>
      <sheetName val="FI360"/>
      <sheetName val="FI400"/>
      <sheetName val="FI470"/>
      <sheetName val="FI480"/>
      <sheetName val="fi300 support New"/>
      <sheetName val="Analysis"/>
      <sheetName val="Grouping-New"/>
      <sheetName val="OPS"/>
      <sheetName val="Cost entries"/>
      <sheetName val="Dev-Copa"/>
      <sheetName val="olk-actuals"/>
      <sheetName val="FI300 working"/>
      <sheetName val="Core Meet"/>
      <sheetName val="SUMMARY"/>
      <sheetName val="CL STOCK"/>
      <sheetName val="VPC-PPC"/>
      <sheetName val="Freight"/>
      <sheetName val="B-SHEET"/>
      <sheetName val="P&amp;L"/>
      <sheetName val="NOTE_2 TO 21(B)"/>
      <sheetName val="GROUPINGS"/>
      <sheetName val="2"/>
      <sheetName val="Check list"/>
      <sheetName val="Controls"/>
      <sheetName val="CASH FLOW "/>
      <sheetName val="FI100-Dec-03"/>
      <sheetName val="Sec.IV Pl"/>
      <sheetName val="Ledger Drill"/>
      <sheetName val="Supplier"/>
      <sheetName val="2008-09 "/>
      <sheetName val="Data"/>
      <sheetName val="April-00"/>
      <sheetName val="A16C"/>
      <sheetName val="FSA"/>
      <sheetName val="B"/>
      <sheetName val="FF-2 (1)"/>
      <sheetName val="Top_sheet"/>
      <sheetName val="Interest_on_Loan_from_Director"/>
      <sheetName val="Data Validation"/>
      <sheetName val="Sheet2"/>
      <sheetName val="Dep"/>
      <sheetName val="jan'04"/>
      <sheetName val="SUmmary For MGMT"/>
      <sheetName val="Break up"/>
      <sheetName val="GAP"/>
      <sheetName val="proposal"/>
      <sheetName val="5M Act FC"/>
      <sheetName val="R&amp;M 7M"/>
      <sheetName val=" Tech Guidance 7M"/>
      <sheetName val="Adm 7M"/>
      <sheetName val="Sheet1 (2)"/>
      <sheetName val="RHO"/>
      <sheetName val="PBCLST"/>
      <sheetName val="üÍXg"/>
      <sheetName val="Interco account"/>
      <sheetName val="FX rates"/>
      <sheetName val="Basis"/>
      <sheetName val="2.Fixed Assets Schedule"/>
      <sheetName val="Directors"/>
      <sheetName val="Comp"/>
      <sheetName val="FA sch"/>
      <sheetName val="#REF"/>
      <sheetName val="Input"/>
      <sheetName val="TRIAL BALANCE"/>
      <sheetName val="CURRENT MONTH"/>
      <sheetName val="ASSETS"/>
      <sheetName val="UB-3-Break up"/>
      <sheetName val=""/>
      <sheetName val="PointNo.5"/>
      <sheetName val="Temp List"/>
      <sheetName val="QoQ analysis - Dept level"/>
      <sheetName val="Noten_Shift_Sp-A"/>
      <sheetName val="4010.994 accrual"/>
      <sheetName val="Mast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ow r="5">
          <cell r="G5" t="str">
            <v>111000 Equity Share Capital From TACO</v>
          </cell>
        </row>
      </sheetData>
      <sheetData sheetId="129" refreshError="1"/>
      <sheetData sheetId="130" refreshError="1"/>
      <sheetData sheetId="131" refreshError="1"/>
      <sheetData sheetId="132" refreshError="1"/>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1"/>
      <sheetName val="IND30"/>
      <sheetName val="JPN30"/>
      <sheetName val="SGP30"/>
      <sheetName val="APAC"/>
      <sheetName val="EMEA"/>
      <sheetName val="NA"/>
      <sheetName val="Summary"/>
      <sheetName val="For Excel"/>
      <sheetName val="PBC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Final"/>
      <sheetName val="PL Final"/>
      <sheetName val="NOTES Final"/>
      <sheetName val="consol bs"/>
      <sheetName val="consol pl"/>
      <sheetName val="adjustments Rs"/>
      <sheetName val="wtb euro bs"/>
      <sheetName val="wtb euro pl"/>
      <sheetName val="adjustments euro"/>
      <sheetName val="BS PBC"/>
      <sheetName val="PL PBC"/>
      <sheetName val="Exp (Rs.)"/>
      <sheetName val="Exp (euro)"/>
      <sheetName val="Samples EURO"/>
      <sheetName val="Issues"/>
      <sheetName val="Project control"/>
      <sheetName val="groupings"/>
      <sheetName val="Re class"/>
      <sheetName val="gbp rupee conversion"/>
      <sheetName val="UV"/>
      <sheetName val="ho account final"/>
      <sheetName val="appendix 2.5 final accounts"/>
      <sheetName val="do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P&amp;L"/>
      <sheetName val="CF"/>
      <sheetName val="P&amp;L N"/>
      <sheetName val="IT Comp "/>
      <sheetName val="8D (2)"/>
      <sheetName val="IT depn 14-15"/>
      <sheetName val="SAP"/>
      <sheetName val="Revised FA"/>
      <sheetName val="FA 14-15"/>
      <sheetName val="BS-N"/>
      <sheetName val="31 &amp; 32"/>
      <sheetName val="33 to 37"/>
      <sheetName val="38"/>
      <sheetName val="39 to 41"/>
      <sheetName val="RPD"/>
      <sheetName val="42 to 44"/>
      <sheetName val="SR 45"/>
      <sheetName val="46 to 49"/>
      <sheetName val="RPD (2)"/>
      <sheetName val="GRP"/>
      <sheetName val="TB ERP 15"/>
      <sheetName val="TB PCDC 15link"/>
      <sheetName val="pcd-cdec (fact erp)"/>
      <sheetName val="TB PCDN 15 link"/>
      <sheetName val="TB ERP 14"/>
      <sheetName val="TB PCDC 14"/>
      <sheetName val="TB PCDN 14"/>
      <sheetName val="pcd-ndec (fact erp)"/>
      <sheetName val="Sheet1"/>
      <sheetName val="tb-b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D1" t="str">
            <v>BALMER LAWRIE VAN LEER LTD.</v>
          </cell>
        </row>
      </sheetData>
      <sheetData sheetId="25">
        <row r="3">
          <cell r="C3">
            <v>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10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6"/>
      <sheetData sheetId="27"/>
      <sheetData sheetId="28"/>
      <sheetData sheetId="29">
        <row r="3">
          <cell r="S3" t="str">
            <v>TURBHE AS ON 31/03/14</v>
          </cell>
        </row>
      </sheetData>
      <sheetData sheetId="30"/>
      <sheetData sheetId="31"/>
      <sheetData sheetId="32"/>
      <sheetData sheetId="33"/>
      <sheetData sheetId="3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BS-N"/>
      <sheetName val="P&amp;L"/>
      <sheetName val="CF"/>
      <sheetName val="P&amp;L N"/>
      <sheetName val="IT Comp "/>
      <sheetName val="8D (2)"/>
      <sheetName val="IT depn 14-15"/>
      <sheetName val="SAP"/>
      <sheetName val="Revised FA"/>
      <sheetName val="FA 14-15"/>
      <sheetName val="31 &amp; 32"/>
      <sheetName val="33 to 37"/>
      <sheetName val="38"/>
      <sheetName val="39 to 41"/>
      <sheetName val="RPD"/>
      <sheetName val="42 to 44"/>
      <sheetName val="SR 45"/>
      <sheetName val="46 to 49"/>
      <sheetName val="GRP"/>
      <sheetName val="TB ERP 15"/>
      <sheetName val="TB PCDC 15link"/>
      <sheetName val="pcd-cdec (fact erp)"/>
      <sheetName val="TB PCDN 15 link"/>
      <sheetName val="TB ERP 14"/>
      <sheetName val="TB PCDC 14"/>
      <sheetName val="TB PCDN 14"/>
      <sheetName val="pcd-ndec (fact erp)"/>
      <sheetName val="Sheet1"/>
      <sheetName val="RPD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3">
          <cell r="C3">
            <v>-225000</v>
          </cell>
        </row>
      </sheetData>
      <sheetData sheetId="24">
        <row r="3">
          <cell r="C3">
            <v>-225000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ow r="3">
          <cell r="C3">
            <v>-225000</v>
          </cell>
        </row>
      </sheetData>
      <sheetData sheetId="26"/>
      <sheetData sheetId="27"/>
      <sheetData sheetId="28"/>
      <sheetData sheetId="29"/>
      <sheetData sheetId="30"/>
      <sheetData sheetId="31"/>
      <sheetData sheetId="32"/>
      <sheetData sheetId="3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3cd"/>
      <sheetName val="sta"/>
      <sheetName val="STI"/>
      <sheetName val="Saral"/>
      <sheetName val="SHAREDETL"/>
    </sheetNames>
    <sheetDataSet>
      <sheetData sheetId="0"/>
      <sheetData sheetId="1" refreshError="1">
        <row r="70">
          <cell r="B70" t="str">
            <v>Audit Fee</v>
          </cell>
          <cell r="I70">
            <v>3150</v>
          </cell>
        </row>
        <row r="71">
          <cell r="B71" t="str">
            <v>Electric Expenses</v>
          </cell>
          <cell r="I71">
            <v>320</v>
          </cell>
        </row>
        <row r="72">
          <cell r="B72" t="str">
            <v>Telephone Expenses</v>
          </cell>
          <cell r="I72">
            <v>3318</v>
          </cell>
        </row>
      </sheetData>
      <sheetData sheetId="2"/>
      <sheetData sheetId="3"/>
      <sheetData sheetId="4"/>
      <sheetData sheetId="5"/>
      <sheetData sheetId="6"/>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Corp Info"/>
      <sheetName val="Dir Com"/>
      <sheetName val="Sec rep"/>
      <sheetName val="BS IS 8&amp;9"/>
      <sheetName val="Equity"/>
      <sheetName val="cash flow"/>
      <sheetName val="Investments 07"/>
      <sheetName val="Investments 06"/>
      <sheetName val="Notes 1"/>
      <sheetName val="Notes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grl remn"/>
      <sheetName val="VAR"/>
      <sheetName val="DTAX"/>
      <sheetName val="IT depn"/>
      <sheetName val="IT Comp "/>
      <sheetName val="IT Depn- Dehra"/>
      <sheetName val="BS"/>
      <sheetName val="P&amp;L"/>
      <sheetName val="CF"/>
      <sheetName val="SAP"/>
      <sheetName val="BS-N"/>
      <sheetName val="P&amp;L N"/>
      <sheetName val="8D (2)"/>
      <sheetName val="GRP"/>
      <sheetName val="FA"/>
      <sheetName val="FA Schedule"/>
      <sheetName val="31 &amp; 32"/>
      <sheetName val="33 to 37"/>
      <sheetName val="38"/>
      <sheetName val="39 to 41"/>
      <sheetName val="RPT"/>
      <sheetName val="42 to 44"/>
      <sheetName val="SR 45"/>
      <sheetName val="46 to 49"/>
      <sheetName val="TB ERP 15"/>
      <sheetName val="TB PCDC 15link"/>
      <sheetName val="TB PCDN 15 link"/>
      <sheetName val="TB ERP-16"/>
      <sheetName val="TB PCDC-16"/>
      <sheetName val="TB PCDN-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
          <cell r="G1" t="str">
            <v>BS</v>
          </cell>
          <cell r="H1" t="str">
            <v>BALMER LAWRIE VAN LEER LTD.</v>
          </cell>
          <cell r="I1">
            <v>0</v>
          </cell>
          <cell r="L1" t="str">
            <v>Grp Tot</v>
          </cell>
          <cell r="Q1">
            <v>-4552078</v>
          </cell>
          <cell r="R1">
            <v>3</v>
          </cell>
          <cell r="U1">
            <v>3081714686</v>
          </cell>
          <cell r="V1">
            <v>2991620886</v>
          </cell>
          <cell r="W1">
            <v>0</v>
          </cell>
          <cell r="X1" t="e">
            <v>#REF!</v>
          </cell>
          <cell r="Y1">
            <v>-3081714690</v>
          </cell>
          <cell r="Z1">
            <v>-2991620883</v>
          </cell>
          <cell r="AA1">
            <v>0</v>
          </cell>
          <cell r="AB1" t="e">
            <v>#REF!</v>
          </cell>
          <cell r="AC1">
            <v>0</v>
          </cell>
          <cell r="AD1">
            <v>0</v>
          </cell>
          <cell r="AE1">
            <v>0</v>
          </cell>
          <cell r="AF1" t="e">
            <v>#REF!</v>
          </cell>
          <cell r="AG1">
            <v>-1</v>
          </cell>
          <cell r="AH1">
            <v>0</v>
          </cell>
        </row>
        <row r="2">
          <cell r="G2" t="str">
            <v>PBT</v>
          </cell>
          <cell r="I2">
            <v>1472.98333</v>
          </cell>
          <cell r="U2">
            <v>-4</v>
          </cell>
          <cell r="V2">
            <v>3</v>
          </cell>
          <cell r="Y2">
            <v>-14</v>
          </cell>
        </row>
        <row r="3">
          <cell r="G3" t="str">
            <v>HO</v>
          </cell>
          <cell r="I3">
            <v>0</v>
          </cell>
          <cell r="U3">
            <v>0</v>
          </cell>
          <cell r="Y3">
            <v>0</v>
          </cell>
          <cell r="AC3">
            <v>0</v>
          </cell>
          <cell r="AG3">
            <v>0</v>
          </cell>
        </row>
        <row r="4">
          <cell r="G4" t="str">
            <v>GROUPING OF ACCOUNTS FOR THE PERIOD ENDED MARCH 31, 2016.</v>
          </cell>
          <cell r="Q4">
            <v>1100.9408100000001</v>
          </cell>
          <cell r="R4">
            <v>523.81692999999996</v>
          </cell>
          <cell r="U4">
            <v>220.67201</v>
          </cell>
          <cell r="V4">
            <v>169.37906000000001</v>
          </cell>
          <cell r="Y4">
            <v>849.00489000000005</v>
          </cell>
          <cell r="Z4">
            <v>398.70078000000001</v>
          </cell>
          <cell r="AB4">
            <v>0</v>
          </cell>
          <cell r="AC4">
            <v>-110.47177000000001</v>
          </cell>
          <cell r="AD4">
            <v>-152.16721999999999</v>
          </cell>
          <cell r="AF4">
            <v>0</v>
          </cell>
          <cell r="AG4">
            <v>141.73568</v>
          </cell>
          <cell r="AH4">
            <v>107.90431</v>
          </cell>
        </row>
        <row r="5">
          <cell r="G5">
            <v>1</v>
          </cell>
          <cell r="H5">
            <v>2</v>
          </cell>
          <cell r="I5">
            <v>3</v>
          </cell>
          <cell r="J5">
            <v>4</v>
          </cell>
          <cell r="K5">
            <v>5</v>
          </cell>
          <cell r="L5">
            <v>6</v>
          </cell>
          <cell r="M5">
            <v>7</v>
          </cell>
          <cell r="N5">
            <v>8</v>
          </cell>
          <cell r="O5">
            <v>9</v>
          </cell>
          <cell r="P5">
            <v>10</v>
          </cell>
          <cell r="R5">
            <v>11</v>
          </cell>
          <cell r="W5" t="e">
            <v>#REF!</v>
          </cell>
          <cell r="AA5" t="e">
            <v>#REF!</v>
          </cell>
          <cell r="AE5" t="e">
            <v>#REF!</v>
          </cell>
        </row>
        <row r="6">
          <cell r="G6" t="str">
            <v>A/C CODE</v>
          </cell>
          <cell r="J6" t="str">
            <v>ACCOUNT HEAD</v>
          </cell>
          <cell r="O6" t="str">
            <v/>
          </cell>
          <cell r="P6" t="str">
            <v>BLVL (  )</v>
          </cell>
          <cell r="T6" t="str">
            <v>STEEL DRUM CLOSURE DIVISION-TURBHE (SDC-T)</v>
          </cell>
          <cell r="X6" t="str">
            <v>PLASTIC CONTAINER DIVISION- TURBHE (PCD-T)</v>
          </cell>
          <cell r="AB6" t="str">
            <v>PLASTIC CONTAINER DIVISION- CHENNAI (PCD-C)</v>
          </cell>
          <cell r="AF6" t="str">
            <v>PLASTIC CONTAINER DIVISION- NORTH (PCD-N)</v>
          </cell>
        </row>
        <row r="7">
          <cell r="G7" t="str">
            <v>ERP</v>
          </cell>
          <cell r="H7" t="str">
            <v>COMMON CODE</v>
          </cell>
          <cell r="I7" t="str">
            <v>FACT</v>
          </cell>
          <cell r="L7">
            <v>0</v>
          </cell>
          <cell r="O7" t="str">
            <v/>
          </cell>
          <cell r="Q7" t="str">
            <v>March 31, 2016</v>
          </cell>
          <cell r="R7" t="str">
            <v>YEAR 14-15</v>
          </cell>
          <cell r="U7" t="str">
            <v>March 31, 2016</v>
          </cell>
          <cell r="V7" t="str">
            <v>YEAR 14-15</v>
          </cell>
          <cell r="Y7" t="str">
            <v>March 31, 2016</v>
          </cell>
          <cell r="Z7" t="str">
            <v>YEAR 14-15</v>
          </cell>
          <cell r="AC7" t="str">
            <v>March 31, 2016</v>
          </cell>
          <cell r="AD7" t="str">
            <v>YEAR 14-15</v>
          </cell>
          <cell r="AG7" t="str">
            <v>March 31, 2016</v>
          </cell>
          <cell r="AH7" t="str">
            <v>YEAR 14-15</v>
          </cell>
        </row>
        <row r="8">
          <cell r="J8" t="str">
            <v>REVENUE</v>
          </cell>
          <cell r="O8" t="str">
            <v/>
          </cell>
        </row>
        <row r="9">
          <cell r="J9" t="str">
            <v>Revenue from Operations</v>
          </cell>
          <cell r="O9" t="str">
            <v>I</v>
          </cell>
          <cell r="AD9">
            <v>52890</v>
          </cell>
          <cell r="AH9">
            <v>-2848</v>
          </cell>
        </row>
        <row r="10">
          <cell r="H10">
            <v>100000</v>
          </cell>
          <cell r="K10" t="str">
            <v>Sale of Products</v>
          </cell>
          <cell r="O10" t="str">
            <v>I</v>
          </cell>
        </row>
        <row r="11">
          <cell r="G11">
            <v>11025</v>
          </cell>
          <cell r="H11">
            <v>101000</v>
          </cell>
          <cell r="I11" t="str">
            <v>5010</v>
          </cell>
          <cell r="L11" t="str">
            <v>Product Sales</v>
          </cell>
          <cell r="M11" t="str">
            <v>PRODUCT SALES (5010)</v>
          </cell>
          <cell r="N11" t="e">
            <v>#REF!</v>
          </cell>
          <cell r="O11" t="str">
            <v>I</v>
          </cell>
          <cell r="Q11">
            <v>2635090906</v>
          </cell>
          <cell r="R11">
            <v>2682825199</v>
          </cell>
          <cell r="U11">
            <v>566195685</v>
          </cell>
          <cell r="V11">
            <v>635117425</v>
          </cell>
          <cell r="Y11">
            <v>1403586759</v>
          </cell>
          <cell r="Z11">
            <v>1451454004</v>
          </cell>
          <cell r="AC11">
            <v>323530570</v>
          </cell>
          <cell r="AD11">
            <v>317813194</v>
          </cell>
          <cell r="AG11">
            <v>341777892</v>
          </cell>
          <cell r="AH11">
            <v>278440576</v>
          </cell>
        </row>
        <row r="12">
          <cell r="G12">
            <v>11030</v>
          </cell>
          <cell r="H12">
            <v>102000</v>
          </cell>
          <cell r="I12" t="str">
            <v>5000</v>
          </cell>
          <cell r="L12" t="str">
            <v>Sales Control A/C</v>
          </cell>
          <cell r="M12" t="str">
            <v>PRODUCT SALES ACCOUNT (5000) (OTHHER THAN FG [SO-POSTING])</v>
          </cell>
          <cell r="N12" t="e">
            <v>#REF!</v>
          </cell>
          <cell r="O12" t="str">
            <v>I</v>
          </cell>
          <cell r="Q12">
            <v>3479093</v>
          </cell>
          <cell r="R12">
            <v>5911008</v>
          </cell>
          <cell r="U12">
            <v>0</v>
          </cell>
          <cell r="V12">
            <v>-486045</v>
          </cell>
          <cell r="Y12">
            <v>3454072</v>
          </cell>
          <cell r="Z12">
            <v>6362489</v>
          </cell>
          <cell r="AC12">
            <v>28000</v>
          </cell>
          <cell r="AD12">
            <v>11052</v>
          </cell>
          <cell r="AG12">
            <v>-2979</v>
          </cell>
          <cell r="AH12">
            <v>23512</v>
          </cell>
        </row>
        <row r="13">
          <cell r="G13">
            <v>11031</v>
          </cell>
          <cell r="H13">
            <v>103000</v>
          </cell>
          <cell r="I13" t="str">
            <v>5015</v>
          </cell>
          <cell r="L13" t="str">
            <v>Product Sales-Cochin</v>
          </cell>
          <cell r="M13" t="str">
            <v>PRODUCT SALES (PRICE VARIATION/ADJUSTMENT)</v>
          </cell>
          <cell r="N13" t="e">
            <v>#REF!</v>
          </cell>
          <cell r="O13" t="str">
            <v>I</v>
          </cell>
          <cell r="Q13">
            <v>-5747968</v>
          </cell>
          <cell r="R13">
            <v>2561197</v>
          </cell>
          <cell r="U13">
            <v>-4529068</v>
          </cell>
          <cell r="V13">
            <v>-118968</v>
          </cell>
          <cell r="Y13">
            <v>-8551231</v>
          </cell>
          <cell r="Z13">
            <v>-2034071</v>
          </cell>
          <cell r="AC13">
            <v>7332331</v>
          </cell>
          <cell r="AD13">
            <v>4714236</v>
          </cell>
          <cell r="AG13">
            <v>0</v>
          </cell>
          <cell r="AH13">
            <v>0</v>
          </cell>
        </row>
        <row r="14">
          <cell r="H14">
            <v>104000</v>
          </cell>
          <cell r="I14" t="str">
            <v>5500</v>
          </cell>
          <cell r="L14" t="str">
            <v>Sales Retrun</v>
          </cell>
          <cell r="M14" t="e">
            <v>#N/A</v>
          </cell>
          <cell r="N14" t="e">
            <v>#REF!</v>
          </cell>
          <cell r="O14" t="str">
            <v>I</v>
          </cell>
          <cell r="Q14">
            <v>-666946</v>
          </cell>
          <cell r="R14">
            <v>-1613713</v>
          </cell>
          <cell r="U14">
            <v>0</v>
          </cell>
          <cell r="V14">
            <v>0</v>
          </cell>
          <cell r="Y14">
            <v>0</v>
          </cell>
          <cell r="Z14">
            <v>0</v>
          </cell>
          <cell r="AC14">
            <v>-351008</v>
          </cell>
          <cell r="AD14">
            <v>-597321</v>
          </cell>
          <cell r="AG14">
            <v>-315938</v>
          </cell>
          <cell r="AH14">
            <v>-1016392</v>
          </cell>
        </row>
        <row r="15">
          <cell r="H15">
            <v>105000</v>
          </cell>
          <cell r="I15" t="str">
            <v>5505</v>
          </cell>
          <cell r="L15" t="str">
            <v>Sales Retrun- Cochin</v>
          </cell>
          <cell r="M15" t="e">
            <v>#N/A</v>
          </cell>
          <cell r="N15" t="e">
            <v>#REF!</v>
          </cell>
          <cell r="O15" t="str">
            <v>I</v>
          </cell>
          <cell r="Q15">
            <v>-7541002</v>
          </cell>
          <cell r="R15">
            <v>-5143275</v>
          </cell>
          <cell r="U15">
            <v>0</v>
          </cell>
          <cell r="V15">
            <v>0</v>
          </cell>
          <cell r="Y15">
            <v>0</v>
          </cell>
          <cell r="Z15">
            <v>0</v>
          </cell>
          <cell r="AC15">
            <v>-7541002</v>
          </cell>
          <cell r="AD15">
            <v>-5143275</v>
          </cell>
          <cell r="AG15">
            <v>0</v>
          </cell>
          <cell r="AH15">
            <v>0</v>
          </cell>
        </row>
        <row r="16">
          <cell r="G16">
            <v>12142</v>
          </cell>
          <cell r="H16">
            <v>106000</v>
          </cell>
          <cell r="L16" t="str">
            <v>Order Invoice Rounding (Sys)</v>
          </cell>
          <cell r="M16" t="str">
            <v>ORDER INVOICE ROUNDING (SYS)</v>
          </cell>
          <cell r="N16" t="e">
            <v>#REF!</v>
          </cell>
          <cell r="O16" t="str">
            <v>I</v>
          </cell>
          <cell r="Q16">
            <v>-190</v>
          </cell>
          <cell r="R16">
            <v>-70</v>
          </cell>
          <cell r="U16">
            <v>-131</v>
          </cell>
          <cell r="V16">
            <v>-112</v>
          </cell>
          <cell r="Y16">
            <v>-59</v>
          </cell>
          <cell r="Z16">
            <v>42</v>
          </cell>
          <cell r="AC16">
            <v>0</v>
          </cell>
          <cell r="AD16">
            <v>0</v>
          </cell>
          <cell r="AG16">
            <v>0</v>
          </cell>
          <cell r="AH16">
            <v>0</v>
          </cell>
        </row>
        <row r="17">
          <cell r="H17">
            <v>107000</v>
          </cell>
          <cell r="L17" t="str">
            <v>Excise Duty on Sale</v>
          </cell>
          <cell r="M17" t="e">
            <v>#N/A</v>
          </cell>
          <cell r="N17" t="e">
            <v>#REF!</v>
          </cell>
          <cell r="O17" t="str">
            <v>I</v>
          </cell>
          <cell r="Q17">
            <v>279256236</v>
          </cell>
          <cell r="R17">
            <v>273121330</v>
          </cell>
          <cell r="U17">
            <v>31049375</v>
          </cell>
          <cell r="V17">
            <v>32462077</v>
          </cell>
          <cell r="Y17">
            <v>166943274</v>
          </cell>
          <cell r="Z17">
            <v>169305064</v>
          </cell>
          <cell r="AC17">
            <v>38575026</v>
          </cell>
          <cell r="AD17">
            <v>36988625</v>
          </cell>
          <cell r="AG17">
            <v>42688561</v>
          </cell>
          <cell r="AH17">
            <v>34365564</v>
          </cell>
        </row>
        <row r="18">
          <cell r="K18" t="str">
            <v>Sale of Products</v>
          </cell>
          <cell r="M18" t="e">
            <v>#N/A</v>
          </cell>
          <cell r="N18" t="e">
            <v>#REF!</v>
          </cell>
          <cell r="O18" t="str">
            <v>I</v>
          </cell>
          <cell r="P18">
            <v>0</v>
          </cell>
          <cell r="Q18">
            <v>2903870129</v>
          </cell>
          <cell r="R18">
            <v>2957661676</v>
          </cell>
          <cell r="T18">
            <v>0</v>
          </cell>
          <cell r="U18">
            <v>592715861</v>
          </cell>
          <cell r="V18">
            <v>666974377</v>
          </cell>
          <cell r="X18">
            <v>0</v>
          </cell>
          <cell r="Y18">
            <v>1565432815</v>
          </cell>
          <cell r="Z18">
            <v>1625087528</v>
          </cell>
          <cell r="AB18">
            <v>0</v>
          </cell>
          <cell r="AC18">
            <v>361573917</v>
          </cell>
          <cell r="AD18">
            <v>353786511</v>
          </cell>
          <cell r="AF18">
            <v>0</v>
          </cell>
          <cell r="AG18">
            <v>384147536</v>
          </cell>
          <cell r="AH18">
            <v>311813260</v>
          </cell>
        </row>
        <row r="19">
          <cell r="K19" t="str">
            <v>Other Operating Revenue</v>
          </cell>
          <cell r="M19" t="e">
            <v>#N/A</v>
          </cell>
          <cell r="N19" t="e">
            <v>#REF!</v>
          </cell>
          <cell r="O19" t="str">
            <v>I</v>
          </cell>
        </row>
        <row r="20">
          <cell r="G20">
            <v>11035</v>
          </cell>
          <cell r="H20">
            <v>110000</v>
          </cell>
          <cell r="I20" t="str">
            <v>5100</v>
          </cell>
          <cell r="L20" t="str">
            <v>Scrap Sales</v>
          </cell>
          <cell r="M20" t="str">
            <v>SCRAP SALES (GENERATED OUT OF PROCESS) (5100)</v>
          </cell>
          <cell r="N20" t="e">
            <v>#REF!</v>
          </cell>
          <cell r="O20" t="str">
            <v>I</v>
          </cell>
          <cell r="P20">
            <v>0</v>
          </cell>
          <cell r="Q20">
            <v>48415632</v>
          </cell>
          <cell r="R20">
            <v>78904963</v>
          </cell>
          <cell r="T20">
            <v>0</v>
          </cell>
          <cell r="U20">
            <v>44515530</v>
          </cell>
          <cell r="V20">
            <v>75977507</v>
          </cell>
          <cell r="X20">
            <v>0</v>
          </cell>
          <cell r="Y20">
            <v>1884701</v>
          </cell>
          <cell r="Z20">
            <v>1864114</v>
          </cell>
          <cell r="AB20">
            <v>0</v>
          </cell>
          <cell r="AC20">
            <v>1397290</v>
          </cell>
          <cell r="AD20">
            <v>924642</v>
          </cell>
          <cell r="AF20">
            <v>0</v>
          </cell>
          <cell r="AG20">
            <v>618111</v>
          </cell>
          <cell r="AH20">
            <v>138700</v>
          </cell>
        </row>
        <row r="21">
          <cell r="G21">
            <v>11040</v>
          </cell>
          <cell r="H21">
            <v>111000</v>
          </cell>
          <cell r="L21" t="str">
            <v>Scrap Sales-Misc (N)</v>
          </cell>
          <cell r="M21" t="str">
            <v>SCRAP SALES - MISC (N)</v>
          </cell>
          <cell r="N21" t="e">
            <v>#REF!</v>
          </cell>
          <cell r="O21" t="str">
            <v>I</v>
          </cell>
          <cell r="Q21">
            <v>-310650</v>
          </cell>
          <cell r="R21">
            <v>-22494</v>
          </cell>
          <cell r="U21">
            <v>-310650</v>
          </cell>
          <cell r="V21">
            <v>200</v>
          </cell>
          <cell r="Y21">
            <v>0</v>
          </cell>
          <cell r="Z21">
            <v>-22694</v>
          </cell>
          <cell r="AC21">
            <v>0</v>
          </cell>
          <cell r="AG21">
            <v>0</v>
          </cell>
        </row>
        <row r="22">
          <cell r="H22">
            <v>112000</v>
          </cell>
          <cell r="L22" t="str">
            <v>Excise Duty on Sale</v>
          </cell>
          <cell r="M22" t="e">
            <v>#N/A</v>
          </cell>
          <cell r="N22" t="e">
            <v>#REF!</v>
          </cell>
          <cell r="O22" t="str">
            <v>I</v>
          </cell>
          <cell r="Q22">
            <v>5534119</v>
          </cell>
          <cell r="R22">
            <v>9362635</v>
          </cell>
          <cell r="U22">
            <v>5534119</v>
          </cell>
          <cell r="V22">
            <v>9362635</v>
          </cell>
          <cell r="Z22">
            <v>0</v>
          </cell>
          <cell r="AC22">
            <v>0</v>
          </cell>
          <cell r="AD22">
            <v>0</v>
          </cell>
          <cell r="AG22">
            <v>0</v>
          </cell>
          <cell r="AH22">
            <v>0</v>
          </cell>
        </row>
        <row r="23">
          <cell r="K23" t="str">
            <v>Other Operating Revenue</v>
          </cell>
          <cell r="M23" t="e">
            <v>#N/A</v>
          </cell>
          <cell r="N23" t="e">
            <v>#REF!</v>
          </cell>
          <cell r="O23" t="str">
            <v>I</v>
          </cell>
          <cell r="P23">
            <v>0</v>
          </cell>
          <cell r="Q23">
            <v>53639101</v>
          </cell>
          <cell r="R23">
            <v>88245104</v>
          </cell>
          <cell r="T23">
            <v>0</v>
          </cell>
          <cell r="U23">
            <v>49738999</v>
          </cell>
          <cell r="V23">
            <v>85340342</v>
          </cell>
          <cell r="X23">
            <v>0</v>
          </cell>
          <cell r="Y23">
            <v>1884701</v>
          </cell>
          <cell r="Z23">
            <v>1841420</v>
          </cell>
          <cell r="AB23">
            <v>0</v>
          </cell>
          <cell r="AC23">
            <v>1397290</v>
          </cell>
          <cell r="AD23">
            <v>924642</v>
          </cell>
          <cell r="AF23">
            <v>0</v>
          </cell>
          <cell r="AG23">
            <v>618111</v>
          </cell>
          <cell r="AH23">
            <v>138700</v>
          </cell>
        </row>
        <row r="24">
          <cell r="K24" t="str">
            <v>Income From Duty Drawback And Depb Licenses</v>
          </cell>
          <cell r="M24" t="e">
            <v>#N/A</v>
          </cell>
          <cell r="N24" t="e">
            <v>#REF!</v>
          </cell>
          <cell r="O24" t="str">
            <v>I</v>
          </cell>
        </row>
        <row r="25">
          <cell r="H25">
            <v>120000</v>
          </cell>
          <cell r="I25" t="str">
            <v>5115</v>
          </cell>
          <cell r="L25" t="str">
            <v>Depb Sale A/C</v>
          </cell>
          <cell r="M25" t="e">
            <v>#N/A</v>
          </cell>
          <cell r="N25" t="e">
            <v>#REF!</v>
          </cell>
          <cell r="O25" t="str">
            <v>I</v>
          </cell>
          <cell r="P25">
            <v>0</v>
          </cell>
          <cell r="Q25">
            <v>0</v>
          </cell>
          <cell r="R25">
            <v>0</v>
          </cell>
          <cell r="T25">
            <v>0</v>
          </cell>
          <cell r="U25">
            <v>0</v>
          </cell>
          <cell r="V25">
            <v>0</v>
          </cell>
          <cell r="X25">
            <v>0</v>
          </cell>
          <cell r="Y25">
            <v>0</v>
          </cell>
          <cell r="Z25">
            <v>0</v>
          </cell>
          <cell r="AB25">
            <v>0</v>
          </cell>
          <cell r="AC25">
            <v>0</v>
          </cell>
          <cell r="AD25">
            <v>0</v>
          </cell>
          <cell r="AF25">
            <v>0</v>
          </cell>
          <cell r="AG25">
            <v>0</v>
          </cell>
          <cell r="AH25">
            <v>0</v>
          </cell>
        </row>
        <row r="26">
          <cell r="G26">
            <v>11205</v>
          </cell>
          <cell r="H26">
            <v>121000</v>
          </cell>
          <cell r="I26" t="str">
            <v>5225</v>
          </cell>
          <cell r="L26" t="str">
            <v>Depb Benifit A/C (Income From Depb Lic )</v>
          </cell>
          <cell r="M26" t="str">
            <v>DEPB BENIFIT A/C (INCOME FROM DEPB)</v>
          </cell>
          <cell r="N26" t="e">
            <v>#REF!</v>
          </cell>
          <cell r="O26" t="str">
            <v>I</v>
          </cell>
          <cell r="P26">
            <v>0</v>
          </cell>
          <cell r="Q26">
            <v>13571612</v>
          </cell>
          <cell r="R26">
            <v>6439315</v>
          </cell>
          <cell r="T26">
            <v>0</v>
          </cell>
          <cell r="U26">
            <v>13198080</v>
          </cell>
          <cell r="V26">
            <v>6439315</v>
          </cell>
          <cell r="X26">
            <v>0</v>
          </cell>
          <cell r="Y26">
            <v>373532</v>
          </cell>
          <cell r="Z26">
            <v>0</v>
          </cell>
          <cell r="AB26">
            <v>0</v>
          </cell>
          <cell r="AC26">
            <v>0</v>
          </cell>
          <cell r="AD26">
            <v>0</v>
          </cell>
          <cell r="AF26">
            <v>0</v>
          </cell>
          <cell r="AG26">
            <v>0</v>
          </cell>
          <cell r="AH26">
            <v>0</v>
          </cell>
        </row>
        <row r="27">
          <cell r="K27" t="str">
            <v>Income From Duty Drawback And Depb Licenses</v>
          </cell>
          <cell r="M27" t="e">
            <v>#N/A</v>
          </cell>
          <cell r="N27" t="e">
            <v>#REF!</v>
          </cell>
          <cell r="O27" t="str">
            <v>I</v>
          </cell>
          <cell r="P27">
            <v>0</v>
          </cell>
          <cell r="Q27">
            <v>13571612</v>
          </cell>
          <cell r="R27">
            <v>6439315</v>
          </cell>
          <cell r="T27">
            <v>0</v>
          </cell>
          <cell r="U27">
            <v>13198080</v>
          </cell>
          <cell r="V27">
            <v>6439315</v>
          </cell>
          <cell r="X27">
            <v>0</v>
          </cell>
          <cell r="Y27">
            <v>373532</v>
          </cell>
          <cell r="Z27">
            <v>0</v>
          </cell>
          <cell r="AB27">
            <v>0</v>
          </cell>
          <cell r="AC27">
            <v>0</v>
          </cell>
          <cell r="AD27">
            <v>0</v>
          </cell>
          <cell r="AF27">
            <v>0</v>
          </cell>
          <cell r="AG27">
            <v>0</v>
          </cell>
          <cell r="AH27">
            <v>0</v>
          </cell>
        </row>
        <row r="28">
          <cell r="J28" t="str">
            <v>Revenue from Operations (Gross)</v>
          </cell>
          <cell r="M28" t="e">
            <v>#N/A</v>
          </cell>
          <cell r="N28" t="e">
            <v>#REF!</v>
          </cell>
          <cell r="O28" t="str">
            <v>I</v>
          </cell>
          <cell r="P28">
            <v>0</v>
          </cell>
          <cell r="Q28">
            <v>2971080842</v>
          </cell>
          <cell r="R28">
            <v>3052346095</v>
          </cell>
          <cell r="T28">
            <v>0</v>
          </cell>
          <cell r="U28">
            <v>655652940</v>
          </cell>
          <cell r="V28">
            <v>758754034</v>
          </cell>
          <cell r="X28">
            <v>0</v>
          </cell>
          <cell r="Y28">
            <v>1567691048</v>
          </cell>
          <cell r="Z28">
            <v>1626928948</v>
          </cell>
          <cell r="AB28">
            <v>0</v>
          </cell>
          <cell r="AC28">
            <v>362971207</v>
          </cell>
          <cell r="AD28">
            <v>354711153</v>
          </cell>
          <cell r="AF28">
            <v>0</v>
          </cell>
          <cell r="AG28">
            <v>384765647</v>
          </cell>
          <cell r="AH28">
            <v>311951960</v>
          </cell>
        </row>
        <row r="29">
          <cell r="K29" t="str">
            <v>Less: Excise Duty</v>
          </cell>
          <cell r="M29" t="e">
            <v>#N/A</v>
          </cell>
          <cell r="N29" t="e">
            <v>#REF!</v>
          </cell>
          <cell r="O29" t="str">
            <v>I</v>
          </cell>
          <cell r="P29">
            <v>0</v>
          </cell>
          <cell r="Q29">
            <v>-284790355</v>
          </cell>
          <cell r="R29">
            <v>-282483965</v>
          </cell>
          <cell r="T29">
            <v>0</v>
          </cell>
          <cell r="U29">
            <v>-36583494</v>
          </cell>
          <cell r="V29">
            <v>-41824712</v>
          </cell>
          <cell r="X29">
            <v>0</v>
          </cell>
          <cell r="Y29">
            <v>-166943274</v>
          </cell>
          <cell r="Z29">
            <v>-169305064</v>
          </cell>
          <cell r="AB29">
            <v>0</v>
          </cell>
          <cell r="AC29">
            <v>-38575026</v>
          </cell>
          <cell r="AD29">
            <v>-36988625</v>
          </cell>
          <cell r="AF29">
            <v>0</v>
          </cell>
          <cell r="AG29">
            <v>-42688561</v>
          </cell>
          <cell r="AH29">
            <v>-34365564</v>
          </cell>
        </row>
        <row r="30">
          <cell r="J30" t="str">
            <v>Revenue from Operations (Net)</v>
          </cell>
          <cell r="O30" t="str">
            <v>I</v>
          </cell>
          <cell r="Q30">
            <v>2686290487</v>
          </cell>
          <cell r="R30">
            <v>2769862130</v>
          </cell>
          <cell r="T30">
            <v>0</v>
          </cell>
          <cell r="U30">
            <v>619069446</v>
          </cell>
          <cell r="V30">
            <v>716929322</v>
          </cell>
          <cell r="X30">
            <v>0</v>
          </cell>
          <cell r="Y30">
            <v>1400747774</v>
          </cell>
          <cell r="Z30">
            <v>1457623884</v>
          </cell>
          <cell r="AB30">
            <v>0</v>
          </cell>
          <cell r="AC30">
            <v>324396181</v>
          </cell>
          <cell r="AD30">
            <v>317722528</v>
          </cell>
          <cell r="AF30">
            <v>0</v>
          </cell>
          <cell r="AG30">
            <v>342077086</v>
          </cell>
          <cell r="AH30">
            <v>277586396</v>
          </cell>
        </row>
        <row r="31">
          <cell r="M31" t="e">
            <v>#N/A</v>
          </cell>
          <cell r="N31" t="e">
            <v>#REF!</v>
          </cell>
          <cell r="O31" t="str">
            <v>I</v>
          </cell>
        </row>
        <row r="32">
          <cell r="J32" t="str">
            <v>OTHER INCOME</v>
          </cell>
          <cell r="M32" t="e">
            <v>#N/A</v>
          </cell>
          <cell r="N32" t="e">
            <v>#REF!</v>
          </cell>
          <cell r="O32" t="str">
            <v>I</v>
          </cell>
        </row>
        <row r="33">
          <cell r="K33" t="str">
            <v>Interest Income On</v>
          </cell>
          <cell r="M33" t="e">
            <v>#N/A</v>
          </cell>
          <cell r="N33" t="e">
            <v>#REF!</v>
          </cell>
          <cell r="O33" t="str">
            <v>I</v>
          </cell>
        </row>
        <row r="34">
          <cell r="H34">
            <v>151000</v>
          </cell>
          <cell r="I34" t="str">
            <v>5150</v>
          </cell>
          <cell r="L34" t="str">
            <v>Fixed Deposit with Banks</v>
          </cell>
          <cell r="M34" t="e">
            <v>#N/A</v>
          </cell>
          <cell r="N34" t="e">
            <v>#REF!</v>
          </cell>
          <cell r="O34" t="str">
            <v>I</v>
          </cell>
          <cell r="Q34">
            <v>0</v>
          </cell>
          <cell r="R34">
            <v>0</v>
          </cell>
          <cell r="U34">
            <v>0</v>
          </cell>
          <cell r="V34">
            <v>0</v>
          </cell>
        </row>
        <row r="35">
          <cell r="G35">
            <v>11215</v>
          </cell>
          <cell r="H35">
            <v>152000</v>
          </cell>
          <cell r="I35" t="str">
            <v>5150</v>
          </cell>
          <cell r="L35" t="str">
            <v>Others</v>
          </cell>
          <cell r="M35" t="str">
            <v>INTEREST RECEIVED (5150)</v>
          </cell>
          <cell r="N35" t="e">
            <v>#REF!</v>
          </cell>
          <cell r="O35" t="str">
            <v>I</v>
          </cell>
          <cell r="Q35">
            <v>4660324</v>
          </cell>
          <cell r="R35">
            <v>2600586</v>
          </cell>
          <cell r="U35">
            <v>2849162</v>
          </cell>
          <cell r="V35">
            <v>1081041</v>
          </cell>
          <cell r="Y35">
            <v>778480</v>
          </cell>
          <cell r="Z35">
            <v>1340058</v>
          </cell>
          <cell r="AC35">
            <v>868025</v>
          </cell>
          <cell r="AD35">
            <v>0</v>
          </cell>
          <cell r="AG35">
            <v>164657</v>
          </cell>
          <cell r="AH35">
            <v>179487</v>
          </cell>
        </row>
        <row r="36">
          <cell r="K36" t="str">
            <v>Interest Income On</v>
          </cell>
          <cell r="M36" t="e">
            <v>#N/A</v>
          </cell>
          <cell r="N36" t="e">
            <v>#REF!</v>
          </cell>
          <cell r="O36" t="str">
            <v>I</v>
          </cell>
          <cell r="P36">
            <v>0</v>
          </cell>
          <cell r="Q36">
            <v>4660324</v>
          </cell>
          <cell r="R36">
            <v>2600586</v>
          </cell>
          <cell r="T36">
            <v>0</v>
          </cell>
          <cell r="U36">
            <v>2849162</v>
          </cell>
          <cell r="V36">
            <v>1081041</v>
          </cell>
          <cell r="X36">
            <v>0</v>
          </cell>
          <cell r="Y36">
            <v>778480</v>
          </cell>
          <cell r="Z36">
            <v>1340058</v>
          </cell>
          <cell r="AB36">
            <v>0</v>
          </cell>
          <cell r="AC36">
            <v>868025</v>
          </cell>
          <cell r="AD36">
            <v>0</v>
          </cell>
          <cell r="AF36">
            <v>0</v>
          </cell>
          <cell r="AG36">
            <v>164657</v>
          </cell>
          <cell r="AH36">
            <v>179487</v>
          </cell>
        </row>
        <row r="37">
          <cell r="K37" t="str">
            <v>Dividend Income On</v>
          </cell>
          <cell r="M37" t="e">
            <v>#N/A</v>
          </cell>
          <cell r="N37" t="e">
            <v>#REF!</v>
          </cell>
          <cell r="O37" t="str">
            <v>I</v>
          </cell>
        </row>
        <row r="38">
          <cell r="G38">
            <v>11245</v>
          </cell>
          <cell r="H38">
            <v>155000</v>
          </cell>
          <cell r="I38" t="str">
            <v>5240</v>
          </cell>
          <cell r="L38" t="str">
            <v>Dividend Income -Proseal</v>
          </cell>
          <cell r="M38" t="str">
            <v>DIVIDEND INCOME (5240)</v>
          </cell>
          <cell r="N38" t="e">
            <v>#REF!</v>
          </cell>
          <cell r="O38" t="str">
            <v>I</v>
          </cell>
          <cell r="Q38">
            <v>38500000</v>
          </cell>
          <cell r="R38">
            <v>0</v>
          </cell>
          <cell r="U38">
            <v>38500000</v>
          </cell>
          <cell r="V38">
            <v>0</v>
          </cell>
          <cell r="Y38">
            <v>0</v>
          </cell>
          <cell r="Z38">
            <v>0</v>
          </cell>
          <cell r="AC38">
            <v>0</v>
          </cell>
          <cell r="AD38">
            <v>0</v>
          </cell>
          <cell r="AG38">
            <v>0</v>
          </cell>
          <cell r="AH38">
            <v>0</v>
          </cell>
        </row>
        <row r="39">
          <cell r="M39" t="e">
            <v>#N/A</v>
          </cell>
          <cell r="N39" t="e">
            <v>#REF!</v>
          </cell>
          <cell r="O39" t="str">
            <v>I</v>
          </cell>
          <cell r="Q39">
            <v>0</v>
          </cell>
          <cell r="R39">
            <v>0</v>
          </cell>
          <cell r="AC39">
            <v>0</v>
          </cell>
          <cell r="AD39">
            <v>0</v>
          </cell>
          <cell r="AG39">
            <v>0</v>
          </cell>
          <cell r="AH39">
            <v>0</v>
          </cell>
        </row>
        <row r="40">
          <cell r="K40" t="str">
            <v>Interest Income On</v>
          </cell>
          <cell r="M40" t="e">
            <v>#N/A</v>
          </cell>
          <cell r="N40" t="e">
            <v>#REF!</v>
          </cell>
          <cell r="O40" t="str">
            <v>I</v>
          </cell>
          <cell r="P40">
            <v>0</v>
          </cell>
          <cell r="Q40">
            <v>38500000</v>
          </cell>
          <cell r="R40">
            <v>0</v>
          </cell>
          <cell r="T40">
            <v>0</v>
          </cell>
          <cell r="U40">
            <v>38500000</v>
          </cell>
          <cell r="V40">
            <v>0</v>
          </cell>
          <cell r="X40">
            <v>0</v>
          </cell>
          <cell r="Y40">
            <v>0</v>
          </cell>
          <cell r="Z40">
            <v>0</v>
          </cell>
          <cell r="AB40">
            <v>0</v>
          </cell>
          <cell r="AC40">
            <v>0</v>
          </cell>
          <cell r="AD40">
            <v>0</v>
          </cell>
          <cell r="AF40">
            <v>0</v>
          </cell>
          <cell r="AG40">
            <v>0</v>
          </cell>
          <cell r="AH40">
            <v>0</v>
          </cell>
        </row>
        <row r="41">
          <cell r="G41">
            <v>11210</v>
          </cell>
          <cell r="H41">
            <v>160000</v>
          </cell>
          <cell r="I41" t="str">
            <v>5210</v>
          </cell>
          <cell r="K41" t="str">
            <v>Management And Marketing Fees From Subsidiary</v>
          </cell>
          <cell r="M41" t="str">
            <v>MARKETING &amp; MANAGEMENT FEES (INCOME) (5210)</v>
          </cell>
          <cell r="N41" t="e">
            <v>#REF!</v>
          </cell>
          <cell r="O41" t="str">
            <v>I</v>
          </cell>
          <cell r="Q41">
            <v>998000</v>
          </cell>
          <cell r="R41">
            <v>9877701</v>
          </cell>
          <cell r="U41">
            <v>998000</v>
          </cell>
          <cell r="V41">
            <v>9877701</v>
          </cell>
          <cell r="Y41">
            <v>0</v>
          </cell>
          <cell r="Z41">
            <v>0</v>
          </cell>
          <cell r="AC41">
            <v>0</v>
          </cell>
          <cell r="AD41">
            <v>0</v>
          </cell>
          <cell r="AG41">
            <v>0</v>
          </cell>
          <cell r="AH41">
            <v>0</v>
          </cell>
        </row>
        <row r="42">
          <cell r="L42">
            <v>0</v>
          </cell>
          <cell r="M42" t="e">
            <v>#N/A</v>
          </cell>
          <cell r="N42" t="e">
            <v>#REF!</v>
          </cell>
          <cell r="O42" t="str">
            <v>I</v>
          </cell>
          <cell r="Q42">
            <v>0</v>
          </cell>
          <cell r="R42">
            <v>0</v>
          </cell>
        </row>
        <row r="43">
          <cell r="K43" t="str">
            <v>Management And Marketing Fees From Subsidiary</v>
          </cell>
          <cell r="M43" t="e">
            <v>#N/A</v>
          </cell>
          <cell r="N43" t="e">
            <v>#REF!</v>
          </cell>
          <cell r="O43" t="str">
            <v>I</v>
          </cell>
          <cell r="P43">
            <v>0</v>
          </cell>
          <cell r="Q43">
            <v>998000</v>
          </cell>
          <cell r="R43">
            <v>9877701</v>
          </cell>
          <cell r="T43">
            <v>0</v>
          </cell>
          <cell r="U43">
            <v>998000</v>
          </cell>
          <cell r="V43">
            <v>9877701</v>
          </cell>
          <cell r="X43">
            <v>0</v>
          </cell>
          <cell r="Y43">
            <v>0</v>
          </cell>
          <cell r="Z43">
            <v>0</v>
          </cell>
          <cell r="AB43">
            <v>0</v>
          </cell>
          <cell r="AC43">
            <v>0</v>
          </cell>
          <cell r="AD43">
            <v>0</v>
          </cell>
          <cell r="AF43">
            <v>0</v>
          </cell>
          <cell r="AG43">
            <v>0</v>
          </cell>
          <cell r="AH43">
            <v>0</v>
          </cell>
        </row>
        <row r="44">
          <cell r="K44" t="str">
            <v>Profit On Sale Of Fixed Assets (Net)</v>
          </cell>
          <cell r="M44" t="e">
            <v>#N/A</v>
          </cell>
          <cell r="N44" t="e">
            <v>#REF!</v>
          </cell>
          <cell r="O44" t="str">
            <v>I</v>
          </cell>
        </row>
        <row r="45">
          <cell r="G45">
            <v>11240</v>
          </cell>
          <cell r="H45">
            <v>165000</v>
          </cell>
          <cell r="I45" t="str">
            <v>5170</v>
          </cell>
          <cell r="L45" t="str">
            <v>Profit on Sale of Assets</v>
          </cell>
          <cell r="O45" t="str">
            <v>I</v>
          </cell>
          <cell r="Q45">
            <v>1123487</v>
          </cell>
          <cell r="R45">
            <v>2071</v>
          </cell>
          <cell r="U45">
            <v>215114</v>
          </cell>
          <cell r="V45">
            <v>2071</v>
          </cell>
          <cell r="Y45">
            <v>388173</v>
          </cell>
          <cell r="Z45">
            <v>0</v>
          </cell>
          <cell r="AC45">
            <v>520200</v>
          </cell>
          <cell r="AD45">
            <v>0</v>
          </cell>
          <cell r="AG45">
            <v>0</v>
          </cell>
          <cell r="AH45">
            <v>0</v>
          </cell>
        </row>
        <row r="46">
          <cell r="G46">
            <v>13672</v>
          </cell>
          <cell r="H46">
            <v>166000</v>
          </cell>
          <cell r="I46" t="str">
            <v>7450</v>
          </cell>
          <cell r="L46" t="str">
            <v>Loss On Sale Of Assets</v>
          </cell>
          <cell r="M46" t="str">
            <v>LOSS ON SALE OF ASSETS (7450)</v>
          </cell>
          <cell r="N46" t="e">
            <v>#REF!</v>
          </cell>
          <cell r="O46" t="str">
            <v>I</v>
          </cell>
          <cell r="Q46">
            <v>0</v>
          </cell>
          <cell r="R46">
            <v>-2179</v>
          </cell>
          <cell r="U46">
            <v>0</v>
          </cell>
          <cell r="V46">
            <v>-2179</v>
          </cell>
          <cell r="Y46">
            <v>0</v>
          </cell>
          <cell r="Z46">
            <v>0</v>
          </cell>
          <cell r="AC46">
            <v>0</v>
          </cell>
          <cell r="AD46">
            <v>0</v>
          </cell>
          <cell r="AG46">
            <v>0</v>
          </cell>
          <cell r="AH46">
            <v>0</v>
          </cell>
        </row>
        <row r="47">
          <cell r="K47" t="str">
            <v>Profit On Sale Of Fixed Assets (Net)</v>
          </cell>
          <cell r="M47" t="e">
            <v>#N/A</v>
          </cell>
          <cell r="N47" t="e">
            <v>#REF!</v>
          </cell>
          <cell r="O47" t="str">
            <v>I</v>
          </cell>
          <cell r="P47">
            <v>0</v>
          </cell>
          <cell r="Q47">
            <v>1123487</v>
          </cell>
          <cell r="R47">
            <v>-108</v>
          </cell>
          <cell r="T47">
            <v>0</v>
          </cell>
          <cell r="U47">
            <v>215114</v>
          </cell>
          <cell r="V47">
            <v>-108</v>
          </cell>
          <cell r="X47">
            <v>0</v>
          </cell>
          <cell r="Y47">
            <v>388173</v>
          </cell>
          <cell r="Z47">
            <v>0</v>
          </cell>
          <cell r="AB47">
            <v>0</v>
          </cell>
          <cell r="AC47">
            <v>520200</v>
          </cell>
          <cell r="AD47">
            <v>0</v>
          </cell>
          <cell r="AF47">
            <v>0</v>
          </cell>
          <cell r="AG47">
            <v>0</v>
          </cell>
          <cell r="AH47">
            <v>0</v>
          </cell>
        </row>
        <row r="48">
          <cell r="K48" t="str">
            <v>Gain Foreign Exchange (Net)</v>
          </cell>
          <cell r="M48" t="e">
            <v>#N/A</v>
          </cell>
          <cell r="N48" t="e">
            <v>#REF!</v>
          </cell>
          <cell r="O48" t="str">
            <v>I</v>
          </cell>
        </row>
        <row r="49">
          <cell r="H49">
            <v>167000</v>
          </cell>
          <cell r="L49">
            <v>0</v>
          </cell>
          <cell r="M49" t="e">
            <v>#N/A</v>
          </cell>
          <cell r="N49" t="e">
            <v>#REF!</v>
          </cell>
          <cell r="O49" t="str">
            <v>I</v>
          </cell>
        </row>
        <row r="50">
          <cell r="H50">
            <v>168000</v>
          </cell>
          <cell r="L50">
            <v>0</v>
          </cell>
          <cell r="M50" t="e">
            <v>#N/A</v>
          </cell>
          <cell r="N50" t="e">
            <v>#REF!</v>
          </cell>
          <cell r="O50" t="str">
            <v>I</v>
          </cell>
        </row>
        <row r="51">
          <cell r="K51" t="str">
            <v>Gain Foreign Exchange (Net)</v>
          </cell>
          <cell r="M51" t="e">
            <v>#N/A</v>
          </cell>
          <cell r="N51" t="e">
            <v>#REF!</v>
          </cell>
          <cell r="O51" t="str">
            <v>I</v>
          </cell>
          <cell r="P51">
            <v>0</v>
          </cell>
          <cell r="Q51">
            <v>0</v>
          </cell>
          <cell r="R51">
            <v>0</v>
          </cell>
          <cell r="T51">
            <v>0</v>
          </cell>
          <cell r="U51">
            <v>0</v>
          </cell>
          <cell r="V51">
            <v>0</v>
          </cell>
          <cell r="X51">
            <v>0</v>
          </cell>
          <cell r="Y51">
            <v>0</v>
          </cell>
          <cell r="Z51">
            <v>0</v>
          </cell>
          <cell r="AB51">
            <v>0</v>
          </cell>
          <cell r="AC51">
            <v>0</v>
          </cell>
          <cell r="AD51">
            <v>0</v>
          </cell>
          <cell r="AF51">
            <v>0</v>
          </cell>
          <cell r="AG51">
            <v>0</v>
          </cell>
          <cell r="AH51">
            <v>0</v>
          </cell>
        </row>
        <row r="52">
          <cell r="K52" t="str">
            <v>Liabilities No Longer Required Written Back</v>
          </cell>
          <cell r="M52" t="e">
            <v>#N/A</v>
          </cell>
          <cell r="N52" t="e">
            <v>#REF!</v>
          </cell>
          <cell r="O52" t="str">
            <v>I</v>
          </cell>
        </row>
        <row r="53">
          <cell r="G53">
            <v>11225</v>
          </cell>
          <cell r="H53">
            <v>169000</v>
          </cell>
          <cell r="I53" t="str">
            <v>5235</v>
          </cell>
          <cell r="L53" t="str">
            <v>Sundry Credit Balances Written Back</v>
          </cell>
          <cell r="M53" t="str">
            <v>SUNDRY CREDIT BALANCES WRITTEN BACK (5235)</v>
          </cell>
          <cell r="N53" t="e">
            <v>#REF!</v>
          </cell>
          <cell r="O53" t="str">
            <v>I</v>
          </cell>
          <cell r="Q53">
            <v>697075</v>
          </cell>
          <cell r="R53">
            <v>4264318</v>
          </cell>
          <cell r="U53">
            <v>25402</v>
          </cell>
          <cell r="V53">
            <v>2744911</v>
          </cell>
          <cell r="Y53">
            <v>25141</v>
          </cell>
          <cell r="Z53">
            <v>1482646</v>
          </cell>
          <cell r="AC53">
            <v>317570</v>
          </cell>
          <cell r="AD53">
            <v>0</v>
          </cell>
          <cell r="AG53">
            <v>328962</v>
          </cell>
          <cell r="AH53">
            <v>36761</v>
          </cell>
        </row>
        <row r="54">
          <cell r="G54">
            <v>11220</v>
          </cell>
          <cell r="H54">
            <v>170000</v>
          </cell>
          <cell r="I54" t="str">
            <v>5180</v>
          </cell>
          <cell r="L54" t="str">
            <v>Provision No Longer Required W/Back</v>
          </cell>
          <cell r="M54" t="str">
            <v>PROVISION (DRS) NO LONGER REQUIRED W/BACK (5180)</v>
          </cell>
          <cell r="N54" t="e">
            <v>#REF!</v>
          </cell>
          <cell r="O54" t="str">
            <v>I</v>
          </cell>
          <cell r="Q54">
            <v>1609678</v>
          </cell>
          <cell r="R54">
            <v>1165374</v>
          </cell>
          <cell r="U54">
            <v>22141</v>
          </cell>
          <cell r="V54">
            <v>179832</v>
          </cell>
          <cell r="Y54">
            <v>78784</v>
          </cell>
          <cell r="Z54">
            <v>985542</v>
          </cell>
          <cell r="AC54">
            <v>1508753</v>
          </cell>
          <cell r="AD54">
            <v>0</v>
          </cell>
          <cell r="AG54">
            <v>0</v>
          </cell>
          <cell r="AH54">
            <v>0</v>
          </cell>
        </row>
        <row r="55">
          <cell r="G55">
            <v>11230</v>
          </cell>
          <cell r="H55">
            <v>171000</v>
          </cell>
          <cell r="L55" t="str">
            <v>Liabilities No Longer Required Written Back</v>
          </cell>
          <cell r="M55" t="str">
            <v>LIABILITIES NO LONGER REQUIRED WRITTEN BACK</v>
          </cell>
          <cell r="N55" t="e">
            <v>#REF!</v>
          </cell>
          <cell r="O55" t="str">
            <v>I</v>
          </cell>
          <cell r="Q55">
            <v>32019200</v>
          </cell>
          <cell r="R55">
            <v>0</v>
          </cell>
          <cell r="U55">
            <v>31327575</v>
          </cell>
          <cell r="V55">
            <v>0</v>
          </cell>
          <cell r="Y55">
            <v>691625</v>
          </cell>
          <cell r="Z55">
            <v>0</v>
          </cell>
          <cell r="AC55">
            <v>0</v>
          </cell>
          <cell r="AD55">
            <v>0</v>
          </cell>
          <cell r="AG55">
            <v>0</v>
          </cell>
          <cell r="AH55">
            <v>0</v>
          </cell>
        </row>
        <row r="56">
          <cell r="M56" t="e">
            <v>#N/A</v>
          </cell>
          <cell r="N56" t="e">
            <v>#REF!</v>
          </cell>
          <cell r="O56" t="str">
            <v>I</v>
          </cell>
          <cell r="Q56">
            <v>0</v>
          </cell>
          <cell r="R56">
            <v>-1812800</v>
          </cell>
          <cell r="Z56">
            <v>-1812800</v>
          </cell>
          <cell r="AC56">
            <v>0</v>
          </cell>
          <cell r="AD56">
            <v>0</v>
          </cell>
          <cell r="AG56">
            <v>0</v>
          </cell>
          <cell r="AH56">
            <v>0</v>
          </cell>
        </row>
        <row r="57">
          <cell r="K57" t="str">
            <v>Liabilities No Longer Required Written Back</v>
          </cell>
          <cell r="M57" t="e">
            <v>#N/A</v>
          </cell>
          <cell r="N57" t="e">
            <v>#REF!</v>
          </cell>
          <cell r="O57" t="str">
            <v>I</v>
          </cell>
          <cell r="P57">
            <v>0</v>
          </cell>
          <cell r="Q57">
            <v>34325953</v>
          </cell>
          <cell r="R57">
            <v>3616892</v>
          </cell>
          <cell r="T57">
            <v>0</v>
          </cell>
          <cell r="U57">
            <v>31375118</v>
          </cell>
          <cell r="V57">
            <v>2924743</v>
          </cell>
          <cell r="X57">
            <v>0</v>
          </cell>
          <cell r="Y57">
            <v>795550</v>
          </cell>
          <cell r="Z57">
            <v>655388</v>
          </cell>
          <cell r="AB57">
            <v>0</v>
          </cell>
          <cell r="AC57">
            <v>1826323</v>
          </cell>
          <cell r="AD57">
            <v>0</v>
          </cell>
          <cell r="AF57">
            <v>0</v>
          </cell>
          <cell r="AG57">
            <v>328962</v>
          </cell>
          <cell r="AH57">
            <v>36761</v>
          </cell>
        </row>
        <row r="58">
          <cell r="K58" t="str">
            <v>Miscellaneous Income</v>
          </cell>
          <cell r="M58" t="e">
            <v>#N/A</v>
          </cell>
          <cell r="N58" t="e">
            <v>#REF!</v>
          </cell>
          <cell r="O58" t="str">
            <v>I</v>
          </cell>
        </row>
        <row r="59">
          <cell r="G59" t="str">
            <v>11055</v>
          </cell>
          <cell r="H59">
            <v>181000</v>
          </cell>
          <cell r="I59" t="str">
            <v>5160</v>
          </cell>
          <cell r="L59" t="str">
            <v>Jobbing/Other Income</v>
          </cell>
          <cell r="M59" t="e">
            <v>#N/A</v>
          </cell>
          <cell r="N59" t="e">
            <v>#REF!</v>
          </cell>
          <cell r="O59" t="str">
            <v>I</v>
          </cell>
          <cell r="Q59">
            <v>0</v>
          </cell>
          <cell r="R59">
            <v>0</v>
          </cell>
          <cell r="U59">
            <v>0</v>
          </cell>
          <cell r="V59">
            <v>0</v>
          </cell>
          <cell r="Y59">
            <v>0</v>
          </cell>
          <cell r="Z59">
            <v>0</v>
          </cell>
          <cell r="AC59">
            <v>0</v>
          </cell>
          <cell r="AD59">
            <v>0</v>
          </cell>
          <cell r="AG59">
            <v>0</v>
          </cell>
          <cell r="AH59">
            <v>0</v>
          </cell>
        </row>
        <row r="60">
          <cell r="G60">
            <v>11255</v>
          </cell>
          <cell r="I60" t="str">
            <v>5001</v>
          </cell>
          <cell r="L60" t="str">
            <v>Jobbing/Other Income</v>
          </cell>
          <cell r="O60" t="str">
            <v>I</v>
          </cell>
          <cell r="Q60">
            <v>0</v>
          </cell>
          <cell r="R60">
            <v>0</v>
          </cell>
          <cell r="U60">
            <v>0</v>
          </cell>
          <cell r="V60">
            <v>0</v>
          </cell>
          <cell r="Y60">
            <v>-3827415</v>
          </cell>
          <cell r="Z60">
            <v>-1408540</v>
          </cell>
          <cell r="AC60">
            <v>0</v>
          </cell>
          <cell r="AD60">
            <v>0</v>
          </cell>
          <cell r="AG60">
            <v>3827415</v>
          </cell>
          <cell r="AH60">
            <v>1408540</v>
          </cell>
        </row>
        <row r="61">
          <cell r="H61">
            <v>182000</v>
          </cell>
          <cell r="I61" t="str">
            <v>5190</v>
          </cell>
          <cell r="L61" t="str">
            <v>Lease Rent ( Income )</v>
          </cell>
          <cell r="M61" t="e">
            <v>#N/A</v>
          </cell>
          <cell r="N61" t="e">
            <v>#REF!</v>
          </cell>
          <cell r="O61" t="str">
            <v>I</v>
          </cell>
          <cell r="Q61">
            <v>0</v>
          </cell>
          <cell r="R61">
            <v>0</v>
          </cell>
          <cell r="U61">
            <v>0</v>
          </cell>
          <cell r="V61">
            <v>0</v>
          </cell>
          <cell r="Y61">
            <v>0</v>
          </cell>
          <cell r="Z61">
            <v>0</v>
          </cell>
          <cell r="AC61">
            <v>0</v>
          </cell>
          <cell r="AD61">
            <v>0</v>
          </cell>
          <cell r="AG61">
            <v>0</v>
          </cell>
          <cell r="AH61">
            <v>0</v>
          </cell>
        </row>
        <row r="62">
          <cell r="G62">
            <v>11265</v>
          </cell>
          <cell r="H62">
            <v>190000</v>
          </cell>
          <cell r="I62" t="str">
            <v>5230</v>
          </cell>
          <cell r="L62" t="str">
            <v>Sundry Income</v>
          </cell>
          <cell r="M62" t="e">
            <v>#N/A</v>
          </cell>
          <cell r="N62" t="e">
            <v>#REF!</v>
          </cell>
          <cell r="O62" t="str">
            <v>I</v>
          </cell>
          <cell r="Q62">
            <v>148577</v>
          </cell>
          <cell r="R62">
            <v>0</v>
          </cell>
          <cell r="U62">
            <v>37718</v>
          </cell>
          <cell r="V62">
            <v>0</v>
          </cell>
          <cell r="Y62">
            <v>0</v>
          </cell>
          <cell r="Z62">
            <v>0</v>
          </cell>
          <cell r="AC62">
            <v>110859</v>
          </cell>
          <cell r="AD62">
            <v>0</v>
          </cell>
          <cell r="AG62">
            <v>0</v>
          </cell>
          <cell r="AH62">
            <v>0</v>
          </cell>
        </row>
        <row r="63">
          <cell r="K63" t="str">
            <v>Miscellaneous Income</v>
          </cell>
          <cell r="M63" t="e">
            <v>#N/A</v>
          </cell>
          <cell r="N63" t="e">
            <v>#REF!</v>
          </cell>
          <cell r="O63" t="str">
            <v>I</v>
          </cell>
          <cell r="P63">
            <v>0</v>
          </cell>
          <cell r="Q63">
            <v>148577</v>
          </cell>
          <cell r="R63">
            <v>0</v>
          </cell>
          <cell r="T63">
            <v>0</v>
          </cell>
          <cell r="U63">
            <v>37718</v>
          </cell>
          <cell r="V63">
            <v>0</v>
          </cell>
          <cell r="X63">
            <v>0</v>
          </cell>
          <cell r="Y63">
            <v>-3827415</v>
          </cell>
          <cell r="Z63">
            <v>-1408540</v>
          </cell>
          <cell r="AB63">
            <v>0</v>
          </cell>
          <cell r="AC63">
            <v>110859</v>
          </cell>
          <cell r="AD63">
            <v>0</v>
          </cell>
          <cell r="AF63">
            <v>0</v>
          </cell>
          <cell r="AG63">
            <v>3827415</v>
          </cell>
          <cell r="AH63">
            <v>1408540</v>
          </cell>
        </row>
        <row r="64">
          <cell r="J64" t="str">
            <v>OTHER INCOME</v>
          </cell>
          <cell r="M64" t="e">
            <v>#N/A</v>
          </cell>
          <cell r="N64" t="e">
            <v>#REF!</v>
          </cell>
          <cell r="O64" t="str">
            <v>I</v>
          </cell>
          <cell r="P64">
            <v>0</v>
          </cell>
          <cell r="Q64">
            <v>79756341</v>
          </cell>
          <cell r="R64">
            <v>16095071</v>
          </cell>
          <cell r="T64">
            <v>0</v>
          </cell>
          <cell r="U64">
            <v>73975112</v>
          </cell>
          <cell r="V64">
            <v>13883377</v>
          </cell>
          <cell r="X64">
            <v>0</v>
          </cell>
          <cell r="Y64">
            <v>-1865212</v>
          </cell>
          <cell r="Z64">
            <v>586906</v>
          </cell>
          <cell r="AB64">
            <v>0</v>
          </cell>
          <cell r="AC64">
            <v>3325407</v>
          </cell>
          <cell r="AD64">
            <v>0</v>
          </cell>
          <cell r="AF64">
            <v>0</v>
          </cell>
          <cell r="AG64">
            <v>4321034</v>
          </cell>
          <cell r="AH64">
            <v>1624788</v>
          </cell>
        </row>
        <row r="65">
          <cell r="O65" t="str">
            <v>I</v>
          </cell>
        </row>
        <row r="66">
          <cell r="J66" t="str">
            <v>REVENUE TOTAL</v>
          </cell>
          <cell r="M66" t="e">
            <v>#N/A</v>
          </cell>
          <cell r="N66" t="e">
            <v>#REF!</v>
          </cell>
          <cell r="O66" t="str">
            <v>I</v>
          </cell>
          <cell r="P66">
            <v>0</v>
          </cell>
          <cell r="Q66">
            <v>2766046828</v>
          </cell>
          <cell r="R66">
            <v>2785957201</v>
          </cell>
          <cell r="T66">
            <v>0</v>
          </cell>
          <cell r="U66">
            <v>693044558</v>
          </cell>
          <cell r="V66">
            <v>730812699</v>
          </cell>
          <cell r="X66">
            <v>0</v>
          </cell>
          <cell r="Y66">
            <v>1398882562</v>
          </cell>
          <cell r="Z66">
            <v>1458210790</v>
          </cell>
          <cell r="AB66">
            <v>0</v>
          </cell>
          <cell r="AC66">
            <v>327721588</v>
          </cell>
          <cell r="AD66">
            <v>317722528</v>
          </cell>
          <cell r="AF66">
            <v>0</v>
          </cell>
          <cell r="AG66">
            <v>346398120</v>
          </cell>
          <cell r="AH66">
            <v>279211184</v>
          </cell>
        </row>
        <row r="67">
          <cell r="Q67">
            <v>0</v>
          </cell>
          <cell r="R67">
            <v>0</v>
          </cell>
        </row>
        <row r="69">
          <cell r="J69" t="str">
            <v>EXPENDITURE</v>
          </cell>
          <cell r="M69" t="e">
            <v>#N/A</v>
          </cell>
          <cell r="N69" t="e">
            <v>#REF!</v>
          </cell>
          <cell r="O69" t="str">
            <v>E</v>
          </cell>
        </row>
        <row r="70">
          <cell r="J70" t="str">
            <v>COST OF MATERIAL CONSUMED</v>
          </cell>
          <cell r="M70" t="e">
            <v>#N/A</v>
          </cell>
          <cell r="N70" t="e">
            <v>#REF!</v>
          </cell>
          <cell r="O70" t="str">
            <v>E</v>
          </cell>
        </row>
        <row r="71">
          <cell r="K71" t="str">
            <v xml:space="preserve"> Raw Materials Consumed</v>
          </cell>
          <cell r="M71" t="e">
            <v>#N/A</v>
          </cell>
          <cell r="N71" t="e">
            <v>#REF!</v>
          </cell>
          <cell r="O71" t="str">
            <v>E</v>
          </cell>
        </row>
        <row r="72">
          <cell r="K72" t="str">
            <v>Opening Inventory</v>
          </cell>
          <cell r="M72" t="e">
            <v>#N/A</v>
          </cell>
          <cell r="N72" t="e">
            <v>#REF!</v>
          </cell>
          <cell r="O72" t="str">
            <v>E</v>
          </cell>
          <cell r="Q72">
            <v>0</v>
          </cell>
          <cell r="U72">
            <v>0</v>
          </cell>
          <cell r="Y72">
            <v>0</v>
          </cell>
          <cell r="AC72">
            <v>0</v>
          </cell>
          <cell r="AG72">
            <v>0</v>
          </cell>
        </row>
        <row r="73">
          <cell r="G73">
            <v>12146</v>
          </cell>
          <cell r="H73">
            <v>201000</v>
          </cell>
          <cell r="I73" t="str">
            <v>8971</v>
          </cell>
          <cell r="L73" t="str">
            <v>Op. Sto Raw Matl - P &amp; L</v>
          </cell>
          <cell r="M73" t="str">
            <v>OPENING STOCK OF RAW MATERIALS</v>
          </cell>
          <cell r="N73" t="e">
            <v>#REF!</v>
          </cell>
          <cell r="O73" t="str">
            <v>E</v>
          </cell>
          <cell r="P73">
            <v>0</v>
          </cell>
          <cell r="Q73">
            <v>141013228</v>
          </cell>
          <cell r="R73">
            <v>91058392</v>
          </cell>
          <cell r="T73">
            <v>0</v>
          </cell>
          <cell r="U73">
            <v>30804595</v>
          </cell>
          <cell r="V73">
            <v>14572118</v>
          </cell>
          <cell r="X73">
            <v>0</v>
          </cell>
          <cell r="Y73">
            <v>61749013</v>
          </cell>
          <cell r="Z73">
            <v>24540906</v>
          </cell>
          <cell r="AB73">
            <v>0</v>
          </cell>
          <cell r="AC73">
            <v>36087751</v>
          </cell>
          <cell r="AD73">
            <v>38856418</v>
          </cell>
          <cell r="AF73">
            <v>0</v>
          </cell>
          <cell r="AG73">
            <v>12371869</v>
          </cell>
          <cell r="AH73">
            <v>13088950</v>
          </cell>
        </row>
        <row r="74">
          <cell r="L74">
            <v>0</v>
          </cell>
          <cell r="M74" t="e">
            <v>#N/A</v>
          </cell>
          <cell r="N74" t="e">
            <v>#REF!</v>
          </cell>
          <cell r="O74" t="str">
            <v>E</v>
          </cell>
          <cell r="AC74">
            <v>0</v>
          </cell>
          <cell r="AD74">
            <v>0</v>
          </cell>
          <cell r="AG74">
            <v>0</v>
          </cell>
          <cell r="AH74">
            <v>0</v>
          </cell>
        </row>
        <row r="75">
          <cell r="K75" t="str">
            <v>Opening Inventory</v>
          </cell>
          <cell r="M75" t="e">
            <v>#N/A</v>
          </cell>
          <cell r="N75" t="e">
            <v>#REF!</v>
          </cell>
          <cell r="O75" t="str">
            <v>E</v>
          </cell>
          <cell r="P75">
            <v>0</v>
          </cell>
          <cell r="Q75">
            <v>141013228</v>
          </cell>
          <cell r="R75">
            <v>91058392</v>
          </cell>
          <cell r="T75">
            <v>0</v>
          </cell>
          <cell r="U75">
            <v>30804595</v>
          </cell>
          <cell r="V75">
            <v>14572118</v>
          </cell>
          <cell r="X75">
            <v>0</v>
          </cell>
          <cell r="Y75">
            <v>61749013</v>
          </cell>
          <cell r="Z75">
            <v>24540906</v>
          </cell>
          <cell r="AB75">
            <v>0</v>
          </cell>
          <cell r="AC75">
            <v>36087751</v>
          </cell>
          <cell r="AD75">
            <v>38856418</v>
          </cell>
          <cell r="AF75">
            <v>0</v>
          </cell>
          <cell r="AG75">
            <v>12371869</v>
          </cell>
          <cell r="AH75">
            <v>13088950</v>
          </cell>
        </row>
        <row r="76">
          <cell r="K76" t="str">
            <v>Add: Purchases</v>
          </cell>
          <cell r="M76" t="e">
            <v>#N/A</v>
          </cell>
          <cell r="N76" t="e">
            <v>#REF!</v>
          </cell>
          <cell r="O76" t="str">
            <v>E</v>
          </cell>
        </row>
        <row r="77">
          <cell r="G77">
            <v>15075</v>
          </cell>
          <cell r="H77">
            <v>202000</v>
          </cell>
          <cell r="I77" t="str">
            <v>6000</v>
          </cell>
          <cell r="L77" t="str">
            <v>PURCHASE A/C - RAW MATERIALS</v>
          </cell>
          <cell r="M77" t="str">
            <v>PURCHASE A/C - RAW MATERIALS</v>
          </cell>
          <cell r="N77" t="e">
            <v>#REF!</v>
          </cell>
          <cell r="O77" t="str">
            <v>E</v>
          </cell>
          <cell r="P77">
            <v>0</v>
          </cell>
          <cell r="Q77">
            <v>7019299</v>
          </cell>
          <cell r="R77">
            <v>10820</v>
          </cell>
          <cell r="T77">
            <v>0</v>
          </cell>
          <cell r="U77">
            <v>7017349</v>
          </cell>
          <cell r="V77">
            <v>0</v>
          </cell>
          <cell r="X77">
            <v>0</v>
          </cell>
          <cell r="Y77">
            <v>0</v>
          </cell>
          <cell r="Z77">
            <v>0</v>
          </cell>
          <cell r="AB77">
            <v>0</v>
          </cell>
          <cell r="AC77">
            <v>0</v>
          </cell>
          <cell r="AD77">
            <v>0</v>
          </cell>
          <cell r="AF77">
            <v>0</v>
          </cell>
          <cell r="AG77">
            <v>1950</v>
          </cell>
          <cell r="AH77">
            <v>10820</v>
          </cell>
        </row>
        <row r="78">
          <cell r="G78" t="str">
            <v>15075-1</v>
          </cell>
          <cell r="H78">
            <v>203000</v>
          </cell>
          <cell r="I78" t="str">
            <v>6010</v>
          </cell>
          <cell r="L78" t="str">
            <v>Purchase A/C -  Rm - Steel / Hmhdpe - Local</v>
          </cell>
          <cell r="M78" t="str">
            <v>PURCHASE A/C - RM (STEEL / HDPE )</v>
          </cell>
          <cell r="N78" t="e">
            <v>#REF!</v>
          </cell>
          <cell r="O78" t="str">
            <v>E</v>
          </cell>
          <cell r="P78">
            <v>0</v>
          </cell>
          <cell r="Q78">
            <v>1055033934</v>
          </cell>
          <cell r="R78">
            <v>1280182307</v>
          </cell>
          <cell r="T78">
            <v>0</v>
          </cell>
          <cell r="U78">
            <v>192982400</v>
          </cell>
          <cell r="V78">
            <v>307567064</v>
          </cell>
          <cell r="X78">
            <v>0</v>
          </cell>
          <cell r="Y78">
            <v>863799971</v>
          </cell>
          <cell r="Z78">
            <v>972072716</v>
          </cell>
          <cell r="AB78">
            <v>0</v>
          </cell>
          <cell r="AC78">
            <v>-2838437</v>
          </cell>
          <cell r="AD78">
            <v>-407473</v>
          </cell>
          <cell r="AF78">
            <v>0</v>
          </cell>
          <cell r="AG78">
            <v>1090000</v>
          </cell>
          <cell r="AH78">
            <v>950000</v>
          </cell>
        </row>
        <row r="79">
          <cell r="G79" t="str">
            <v>15075-7</v>
          </cell>
          <cell r="H79">
            <v>204000</v>
          </cell>
          <cell r="L79" t="str">
            <v>Purchase A/C -  Rm - Steel / Hmhdpe - Local</v>
          </cell>
          <cell r="M79" t="str">
            <v>PURCHASE A/C - RM (PURCHASE+PROCESS)</v>
          </cell>
          <cell r="N79" t="e">
            <v>#REF!</v>
          </cell>
          <cell r="O79" t="str">
            <v>E</v>
          </cell>
          <cell r="P79">
            <v>0</v>
          </cell>
          <cell r="Q79">
            <v>51260443</v>
          </cell>
          <cell r="R79">
            <v>63236949</v>
          </cell>
          <cell r="T79">
            <v>0</v>
          </cell>
          <cell r="U79">
            <v>47882762</v>
          </cell>
          <cell r="V79">
            <v>59828847</v>
          </cell>
          <cell r="X79">
            <v>0</v>
          </cell>
          <cell r="Y79">
            <v>3377681</v>
          </cell>
          <cell r="Z79">
            <v>3408102</v>
          </cell>
          <cell r="AB79">
            <v>0</v>
          </cell>
          <cell r="AC79">
            <v>0</v>
          </cell>
          <cell r="AD79">
            <v>0</v>
          </cell>
          <cell r="AF79">
            <v>0</v>
          </cell>
          <cell r="AG79">
            <v>0</v>
          </cell>
          <cell r="AH79">
            <v>0</v>
          </cell>
        </row>
        <row r="80">
          <cell r="H80">
            <v>205000</v>
          </cell>
          <cell r="I80" t="str">
            <v>6011</v>
          </cell>
          <cell r="L80" t="str">
            <v>Purchase A/C -  Rm - Zinc+Local</v>
          </cell>
          <cell r="M80" t="e">
            <v>#N/A</v>
          </cell>
          <cell r="N80" t="e">
            <v>#REF!</v>
          </cell>
          <cell r="O80" t="str">
            <v>E</v>
          </cell>
          <cell r="P80">
            <v>0</v>
          </cell>
          <cell r="Q80">
            <v>2254084</v>
          </cell>
          <cell r="R80">
            <v>2019583</v>
          </cell>
          <cell r="T80">
            <v>0</v>
          </cell>
          <cell r="U80">
            <v>0</v>
          </cell>
          <cell r="V80">
            <v>0</v>
          </cell>
          <cell r="X80">
            <v>0</v>
          </cell>
          <cell r="Y80">
            <v>0</v>
          </cell>
          <cell r="Z80">
            <v>0</v>
          </cell>
          <cell r="AB80">
            <v>0</v>
          </cell>
          <cell r="AC80">
            <v>2254084</v>
          </cell>
          <cell r="AD80">
            <v>2019583</v>
          </cell>
          <cell r="AF80">
            <v>0</v>
          </cell>
          <cell r="AG80">
            <v>0</v>
          </cell>
          <cell r="AH80">
            <v>0</v>
          </cell>
        </row>
        <row r="81">
          <cell r="G81" t="str">
            <v>15075-2</v>
          </cell>
          <cell r="H81">
            <v>206000</v>
          </cell>
          <cell r="I81" t="str">
            <v>6012</v>
          </cell>
          <cell r="L81" t="str">
            <v>Purchase A/C - Rm  -Gaskets/        - Local</v>
          </cell>
          <cell r="M81" t="str">
            <v>PURCHASE A/C - RM (GASKET TUBE / MASTER BATCH)</v>
          </cell>
          <cell r="N81" t="e">
            <v>#REF!</v>
          </cell>
          <cell r="O81" t="str">
            <v>E</v>
          </cell>
          <cell r="P81">
            <v>0</v>
          </cell>
          <cell r="Q81">
            <v>12204779</v>
          </cell>
          <cell r="R81">
            <v>11366660</v>
          </cell>
          <cell r="T81">
            <v>0</v>
          </cell>
          <cell r="U81">
            <v>0</v>
          </cell>
          <cell r="V81">
            <v>-82898</v>
          </cell>
          <cell r="X81">
            <v>0</v>
          </cell>
          <cell r="Y81">
            <v>12204779</v>
          </cell>
          <cell r="Z81">
            <v>11449558</v>
          </cell>
          <cell r="AB81">
            <v>0</v>
          </cell>
          <cell r="AC81">
            <v>0</v>
          </cell>
          <cell r="AD81">
            <v>0</v>
          </cell>
          <cell r="AF81">
            <v>0</v>
          </cell>
          <cell r="AG81">
            <v>0</v>
          </cell>
          <cell r="AH81">
            <v>0</v>
          </cell>
        </row>
        <row r="82">
          <cell r="G82" t="str">
            <v>15075-3</v>
          </cell>
          <cell r="H82">
            <v>207000</v>
          </cell>
          <cell r="I82" t="str">
            <v>6013</v>
          </cell>
          <cell r="L82" t="str">
            <v>Purchase A/C - Tfs/Tinplates  - Local</v>
          </cell>
          <cell r="M82" t="str">
            <v>PURCHASE A/C - RM (TIN PLATE / CO-PP)</v>
          </cell>
          <cell r="N82" t="e">
            <v>#REF!</v>
          </cell>
          <cell r="O82" t="str">
            <v>E</v>
          </cell>
          <cell r="P82">
            <v>0</v>
          </cell>
          <cell r="Q82">
            <v>41008786</v>
          </cell>
          <cell r="R82">
            <v>51837778</v>
          </cell>
          <cell r="T82">
            <v>0</v>
          </cell>
          <cell r="U82">
            <v>6738693</v>
          </cell>
          <cell r="V82">
            <v>11481913</v>
          </cell>
          <cell r="X82">
            <v>0</v>
          </cell>
          <cell r="Y82">
            <v>34270093</v>
          </cell>
          <cell r="Z82">
            <v>40377230</v>
          </cell>
          <cell r="AB82">
            <v>0</v>
          </cell>
          <cell r="AC82">
            <v>0</v>
          </cell>
          <cell r="AD82">
            <v>-21365</v>
          </cell>
          <cell r="AF82">
            <v>0</v>
          </cell>
          <cell r="AG82">
            <v>0</v>
          </cell>
          <cell r="AH82">
            <v>0</v>
          </cell>
        </row>
        <row r="83">
          <cell r="G83" t="str">
            <v>15075-4</v>
          </cell>
          <cell r="H83">
            <v>208000</v>
          </cell>
          <cell r="I83" t="str">
            <v>6014</v>
          </cell>
          <cell r="L83" t="str">
            <v>Purchase A/C - Rm - Ptfs/Inks</v>
          </cell>
          <cell r="M83" t="str">
            <v>PURCHASE A/C - RM (INKS)</v>
          </cell>
          <cell r="N83" t="e">
            <v>#REF!</v>
          </cell>
          <cell r="O83" t="str">
            <v>E</v>
          </cell>
          <cell r="P83">
            <v>0</v>
          </cell>
          <cell r="Q83">
            <v>10213457</v>
          </cell>
          <cell r="R83">
            <v>8965894</v>
          </cell>
          <cell r="T83">
            <v>0</v>
          </cell>
          <cell r="U83">
            <v>1470359</v>
          </cell>
          <cell r="V83">
            <v>1402591</v>
          </cell>
          <cell r="X83">
            <v>0</v>
          </cell>
          <cell r="Y83">
            <v>8743098</v>
          </cell>
          <cell r="Z83">
            <v>7563303</v>
          </cell>
          <cell r="AB83">
            <v>0</v>
          </cell>
          <cell r="AC83">
            <v>0</v>
          </cell>
          <cell r="AD83">
            <v>0</v>
          </cell>
          <cell r="AF83">
            <v>0</v>
          </cell>
          <cell r="AG83">
            <v>0</v>
          </cell>
          <cell r="AH83">
            <v>0</v>
          </cell>
        </row>
        <row r="84">
          <cell r="G84" t="str">
            <v>15075-5</v>
          </cell>
          <cell r="H84">
            <v>209000</v>
          </cell>
          <cell r="I84" t="str">
            <v>6015</v>
          </cell>
          <cell r="L84" t="str">
            <v>Purchase A/C - Rm -Steel / Hmhdpe - Imported</v>
          </cell>
          <cell r="M84" t="str">
            <v>PURCHASE A/C - RM (CHEMICALS / ACCESSORIES)</v>
          </cell>
          <cell r="N84" t="e">
            <v>#REF!</v>
          </cell>
          <cell r="O84" t="str">
            <v>E</v>
          </cell>
          <cell r="P84">
            <v>0</v>
          </cell>
          <cell r="Q84">
            <v>470086926</v>
          </cell>
          <cell r="R84">
            <v>405720393</v>
          </cell>
          <cell r="T84">
            <v>0</v>
          </cell>
          <cell r="U84">
            <v>32633524</v>
          </cell>
          <cell r="V84">
            <v>37074897</v>
          </cell>
          <cell r="X84">
            <v>0</v>
          </cell>
          <cell r="Y84">
            <v>16718704</v>
          </cell>
          <cell r="Z84">
            <v>19239764</v>
          </cell>
          <cell r="AB84">
            <v>0</v>
          </cell>
          <cell r="AC84">
            <v>184643018</v>
          </cell>
          <cell r="AD84">
            <v>161915405</v>
          </cell>
          <cell r="AF84">
            <v>0</v>
          </cell>
          <cell r="AG84">
            <v>236091680</v>
          </cell>
          <cell r="AH84">
            <v>187490327</v>
          </cell>
        </row>
        <row r="85">
          <cell r="H85">
            <v>209000</v>
          </cell>
          <cell r="I85" t="str">
            <v>6017</v>
          </cell>
          <cell r="L85" t="str">
            <v>Purchase A/c RM - Others - Imported</v>
          </cell>
          <cell r="M85" t="e">
            <v>#N/A</v>
          </cell>
          <cell r="N85" t="e">
            <v>#REF!</v>
          </cell>
          <cell r="O85" t="str">
            <v>E</v>
          </cell>
          <cell r="P85">
            <v>0</v>
          </cell>
          <cell r="Q85">
            <v>9536</v>
          </cell>
          <cell r="R85">
            <v>0</v>
          </cell>
          <cell r="T85">
            <v>0</v>
          </cell>
          <cell r="U85">
            <v>0</v>
          </cell>
          <cell r="V85">
            <v>0</v>
          </cell>
          <cell r="X85">
            <v>0</v>
          </cell>
          <cell r="Y85">
            <v>0</v>
          </cell>
          <cell r="Z85">
            <v>0</v>
          </cell>
          <cell r="AB85">
            <v>0</v>
          </cell>
          <cell r="AC85">
            <v>9536</v>
          </cell>
          <cell r="AD85">
            <v>0</v>
          </cell>
          <cell r="AF85">
            <v>0</v>
          </cell>
          <cell r="AG85">
            <v>0</v>
          </cell>
          <cell r="AH85">
            <v>0</v>
          </cell>
        </row>
        <row r="86">
          <cell r="G86" t="str">
            <v>15075-6</v>
          </cell>
          <cell r="H86">
            <v>210000</v>
          </cell>
          <cell r="I86" t="str">
            <v>6020</v>
          </cell>
          <cell r="L86" t="str">
            <v>Purchase A/C -  Rm - Others</v>
          </cell>
          <cell r="M86" t="str">
            <v>PURCHASE A/C - RM (OTHERS)</v>
          </cell>
          <cell r="N86" t="e">
            <v>#REF!</v>
          </cell>
          <cell r="O86" t="str">
            <v>E</v>
          </cell>
          <cell r="P86">
            <v>0</v>
          </cell>
          <cell r="Q86">
            <v>91323984</v>
          </cell>
          <cell r="R86">
            <v>112735729</v>
          </cell>
          <cell r="T86">
            <v>0</v>
          </cell>
          <cell r="U86">
            <v>13748839</v>
          </cell>
          <cell r="V86">
            <v>3788495</v>
          </cell>
          <cell r="X86">
            <v>0</v>
          </cell>
          <cell r="Y86">
            <v>0</v>
          </cell>
          <cell r="Z86">
            <v>0</v>
          </cell>
          <cell r="AB86">
            <v>0</v>
          </cell>
          <cell r="AC86">
            <v>54636023</v>
          </cell>
          <cell r="AD86">
            <v>92597585</v>
          </cell>
          <cell r="AF86">
            <v>0</v>
          </cell>
          <cell r="AG86">
            <v>22939122</v>
          </cell>
          <cell r="AH86">
            <v>16349649</v>
          </cell>
        </row>
        <row r="87">
          <cell r="G87">
            <v>12160</v>
          </cell>
          <cell r="H87">
            <v>211000</v>
          </cell>
          <cell r="I87" t="str">
            <v>6021</v>
          </cell>
          <cell r="L87" t="str">
            <v>Nmmc Cess A/C Others</v>
          </cell>
          <cell r="M87" t="str">
            <v>NMMC EXPENSE ACCOUNT</v>
          </cell>
          <cell r="N87" t="e">
            <v>#REF!</v>
          </cell>
          <cell r="O87" t="str">
            <v>E</v>
          </cell>
          <cell r="P87">
            <v>0</v>
          </cell>
          <cell r="Q87">
            <v>24225969</v>
          </cell>
          <cell r="R87">
            <v>29208830</v>
          </cell>
          <cell r="T87">
            <v>0</v>
          </cell>
          <cell r="U87">
            <v>7529988</v>
          </cell>
          <cell r="V87">
            <v>9338268</v>
          </cell>
          <cell r="X87">
            <v>0</v>
          </cell>
          <cell r="Y87">
            <v>16695981</v>
          </cell>
          <cell r="Z87">
            <v>19870562</v>
          </cell>
          <cell r="AB87">
            <v>0</v>
          </cell>
          <cell r="AC87">
            <v>0</v>
          </cell>
          <cell r="AD87">
            <v>0</v>
          </cell>
          <cell r="AF87">
            <v>0</v>
          </cell>
          <cell r="AG87">
            <v>0</v>
          </cell>
          <cell r="AH87">
            <v>0</v>
          </cell>
        </row>
        <row r="88">
          <cell r="G88">
            <v>12175</v>
          </cell>
          <cell r="H88">
            <v>212000</v>
          </cell>
          <cell r="I88" t="str">
            <v>6031</v>
          </cell>
          <cell r="L88" t="str">
            <v>Purchase-Excise Dutyon Fg Stock</v>
          </cell>
          <cell r="M88" t="str">
            <v>Excise duty on FG Stock (Purchase/Consumption)</v>
          </cell>
          <cell r="N88" t="e">
            <v>#REF!</v>
          </cell>
          <cell r="O88" t="str">
            <v>E</v>
          </cell>
          <cell r="P88">
            <v>0</v>
          </cell>
          <cell r="Q88">
            <v>24433</v>
          </cell>
          <cell r="R88">
            <v>657382</v>
          </cell>
          <cell r="T88">
            <v>0</v>
          </cell>
          <cell r="U88">
            <v>-450545</v>
          </cell>
          <cell r="V88">
            <v>296720</v>
          </cell>
          <cell r="X88">
            <v>0</v>
          </cell>
          <cell r="Y88">
            <v>349820</v>
          </cell>
          <cell r="Z88">
            <v>-229230</v>
          </cell>
          <cell r="AB88">
            <v>0</v>
          </cell>
          <cell r="AC88">
            <v>-53792</v>
          </cell>
          <cell r="AD88">
            <v>-251227</v>
          </cell>
          <cell r="AF88">
            <v>0</v>
          </cell>
          <cell r="AG88">
            <v>178950</v>
          </cell>
          <cell r="AH88">
            <v>841119</v>
          </cell>
        </row>
        <row r="89">
          <cell r="G89">
            <v>12165</v>
          </cell>
          <cell r="H89">
            <v>213000</v>
          </cell>
          <cell r="L89" t="str">
            <v>Purchase A/C - Octroi</v>
          </cell>
          <cell r="M89" t="str">
            <v>OCTROI ON PURCHASE</v>
          </cell>
          <cell r="N89" t="e">
            <v>#REF!</v>
          </cell>
          <cell r="O89" t="str">
            <v>E</v>
          </cell>
          <cell r="P89">
            <v>0</v>
          </cell>
          <cell r="Q89">
            <v>66524</v>
          </cell>
          <cell r="R89">
            <v>135345</v>
          </cell>
          <cell r="T89">
            <v>0</v>
          </cell>
          <cell r="U89">
            <v>0</v>
          </cell>
          <cell r="V89">
            <v>5632</v>
          </cell>
          <cell r="X89">
            <v>0</v>
          </cell>
          <cell r="Y89">
            <v>66524</v>
          </cell>
          <cell r="Z89">
            <v>129713</v>
          </cell>
          <cell r="AB89">
            <v>0</v>
          </cell>
          <cell r="AC89">
            <v>0</v>
          </cell>
          <cell r="AD89">
            <v>0</v>
          </cell>
          <cell r="AF89">
            <v>0</v>
          </cell>
          <cell r="AG89">
            <v>0</v>
          </cell>
          <cell r="AH89">
            <v>0</v>
          </cell>
        </row>
        <row r="90">
          <cell r="G90">
            <v>12152</v>
          </cell>
          <cell r="H90">
            <v>214000</v>
          </cell>
          <cell r="I90" t="str">
            <v>6102</v>
          </cell>
          <cell r="L90" t="str">
            <v>Transport Account Purchase (6102)</v>
          </cell>
          <cell r="M90" t="str">
            <v>TRANSPORT ACCOUNT PURCHASE (6102)</v>
          </cell>
          <cell r="N90" t="e">
            <v>#REF!</v>
          </cell>
          <cell r="O90" t="str">
            <v>E</v>
          </cell>
          <cell r="P90">
            <v>0</v>
          </cell>
          <cell r="Q90">
            <v>19909021</v>
          </cell>
          <cell r="R90">
            <v>13443960</v>
          </cell>
          <cell r="T90">
            <v>0</v>
          </cell>
          <cell r="U90">
            <v>-142575</v>
          </cell>
          <cell r="V90">
            <v>814134</v>
          </cell>
          <cell r="X90">
            <v>0</v>
          </cell>
          <cell r="Y90">
            <v>6288586</v>
          </cell>
          <cell r="Z90">
            <v>3916519</v>
          </cell>
          <cell r="AB90">
            <v>0</v>
          </cell>
          <cell r="AC90">
            <v>3305782</v>
          </cell>
          <cell r="AD90">
            <v>4041047</v>
          </cell>
          <cell r="AF90">
            <v>0</v>
          </cell>
          <cell r="AG90">
            <v>10457228</v>
          </cell>
          <cell r="AH90">
            <v>4672260</v>
          </cell>
        </row>
        <row r="91">
          <cell r="G91">
            <v>12170</v>
          </cell>
          <cell r="H91">
            <v>215000</v>
          </cell>
          <cell r="I91" t="str">
            <v>6104</v>
          </cell>
          <cell r="L91" t="str">
            <v>C.S.T A/C. - Purchase</v>
          </cell>
          <cell r="M91" t="str">
            <v>CST EXPENSES ACCOUNT</v>
          </cell>
          <cell r="N91" t="e">
            <v>#REF!</v>
          </cell>
          <cell r="O91" t="str">
            <v>E</v>
          </cell>
          <cell r="P91">
            <v>0</v>
          </cell>
          <cell r="Q91">
            <v>826979</v>
          </cell>
          <cell r="R91">
            <v>1578324</v>
          </cell>
          <cell r="T91">
            <v>0</v>
          </cell>
          <cell r="U91">
            <v>193124</v>
          </cell>
          <cell r="V91">
            <v>481928</v>
          </cell>
          <cell r="X91">
            <v>0</v>
          </cell>
          <cell r="Y91">
            <v>335912</v>
          </cell>
          <cell r="Z91">
            <v>586676</v>
          </cell>
          <cell r="AB91">
            <v>0</v>
          </cell>
          <cell r="AC91">
            <v>297943</v>
          </cell>
          <cell r="AD91">
            <v>509720</v>
          </cell>
          <cell r="AF91">
            <v>0</v>
          </cell>
          <cell r="AG91">
            <v>0</v>
          </cell>
          <cell r="AH91">
            <v>0</v>
          </cell>
        </row>
        <row r="92">
          <cell r="H92">
            <v>216000</v>
          </cell>
          <cell r="I92" t="str">
            <v>6106</v>
          </cell>
          <cell r="L92" t="str">
            <v>Clearing Charges/ Jobbing Exp</v>
          </cell>
          <cell r="M92" t="e">
            <v>#N/A</v>
          </cell>
          <cell r="N92" t="e">
            <v>#REF!</v>
          </cell>
          <cell r="O92" t="str">
            <v>E</v>
          </cell>
          <cell r="P92">
            <v>0</v>
          </cell>
          <cell r="Q92">
            <v>316694</v>
          </cell>
          <cell r="R92">
            <v>32359</v>
          </cell>
          <cell r="T92">
            <v>0</v>
          </cell>
          <cell r="U92">
            <v>0</v>
          </cell>
          <cell r="V92">
            <v>0</v>
          </cell>
          <cell r="X92">
            <v>0</v>
          </cell>
          <cell r="Y92">
            <v>0</v>
          </cell>
          <cell r="Z92">
            <v>0</v>
          </cell>
          <cell r="AB92">
            <v>0</v>
          </cell>
          <cell r="AC92">
            <v>316694</v>
          </cell>
          <cell r="AD92">
            <v>32359</v>
          </cell>
          <cell r="AF92">
            <v>0</v>
          </cell>
          <cell r="AG92">
            <v>0</v>
          </cell>
          <cell r="AH92">
            <v>0</v>
          </cell>
        </row>
        <row r="93">
          <cell r="G93">
            <v>12161</v>
          </cell>
          <cell r="I93" t="str">
            <v>6110</v>
          </cell>
          <cell r="L93" t="str">
            <v>Swachh Bharat Cess - Purchase</v>
          </cell>
          <cell r="Q93">
            <v>338585</v>
          </cell>
          <cell r="R93">
            <v>0</v>
          </cell>
          <cell r="T93">
            <v>0</v>
          </cell>
          <cell r="U93">
            <v>140819</v>
          </cell>
          <cell r="V93">
            <v>0</v>
          </cell>
          <cell r="X93">
            <v>0</v>
          </cell>
          <cell r="Y93">
            <v>135104</v>
          </cell>
          <cell r="Z93">
            <v>0</v>
          </cell>
          <cell r="AB93">
            <v>0</v>
          </cell>
          <cell r="AC93">
            <v>22022</v>
          </cell>
          <cell r="AD93">
            <v>0</v>
          </cell>
          <cell r="AF93">
            <v>0</v>
          </cell>
          <cell r="AG93">
            <v>40640</v>
          </cell>
          <cell r="AH93">
            <v>0</v>
          </cell>
        </row>
        <row r="94">
          <cell r="H94">
            <v>217000</v>
          </cell>
          <cell r="I94" t="str">
            <v>6114</v>
          </cell>
          <cell r="L94" t="str">
            <v>Vat (Cst) -Purchase/Expense</v>
          </cell>
          <cell r="M94" t="e">
            <v>#N/A</v>
          </cell>
          <cell r="N94" t="e">
            <v>#REF!</v>
          </cell>
          <cell r="O94" t="str">
            <v>E</v>
          </cell>
          <cell r="P94">
            <v>0</v>
          </cell>
          <cell r="Q94">
            <v>221457</v>
          </cell>
          <cell r="R94">
            <v>129544</v>
          </cell>
          <cell r="T94">
            <v>0</v>
          </cell>
          <cell r="U94">
            <v>0</v>
          </cell>
          <cell r="V94">
            <v>0</v>
          </cell>
          <cell r="X94">
            <v>0</v>
          </cell>
          <cell r="Y94">
            <v>0</v>
          </cell>
          <cell r="Z94">
            <v>0</v>
          </cell>
          <cell r="AB94">
            <v>0</v>
          </cell>
          <cell r="AC94">
            <v>0</v>
          </cell>
          <cell r="AD94">
            <v>0</v>
          </cell>
          <cell r="AF94">
            <v>0</v>
          </cell>
          <cell r="AG94">
            <v>221457</v>
          </cell>
          <cell r="AH94">
            <v>129544</v>
          </cell>
        </row>
        <row r="95">
          <cell r="G95">
            <v>12151</v>
          </cell>
          <cell r="H95">
            <v>218000</v>
          </cell>
          <cell r="L95" t="str">
            <v>Import Booking Diff If Misc Chg. (Charged Off)</v>
          </cell>
          <cell r="M95" t="str">
            <v>IMPORT BOOKING DIFF IF MISC CHG. (CHARGED OFF)</v>
          </cell>
          <cell r="N95" t="e">
            <v>#REF!</v>
          </cell>
          <cell r="O95" t="str">
            <v>E</v>
          </cell>
          <cell r="Q95">
            <v>5964585</v>
          </cell>
          <cell r="R95">
            <v>2034251</v>
          </cell>
          <cell r="U95">
            <v>-161803</v>
          </cell>
          <cell r="V95">
            <v>8923</v>
          </cell>
          <cell r="Y95">
            <v>6126388</v>
          </cell>
          <cell r="Z95">
            <v>2025328</v>
          </cell>
          <cell r="AC95">
            <v>0</v>
          </cell>
          <cell r="AD95">
            <v>0</v>
          </cell>
          <cell r="AG95">
            <v>0</v>
          </cell>
          <cell r="AH95">
            <v>0</v>
          </cell>
        </row>
        <row r="96">
          <cell r="G96">
            <v>13408</v>
          </cell>
          <cell r="H96">
            <v>219000</v>
          </cell>
          <cell r="I96" t="str">
            <v>7180</v>
          </cell>
          <cell r="L96" t="str">
            <v>Cash Discount</v>
          </cell>
          <cell r="M96" t="str">
            <v>DISCOUNT ALLOWED (7180)</v>
          </cell>
          <cell r="N96" t="e">
            <v>#REF!</v>
          </cell>
          <cell r="O96" t="str">
            <v>E</v>
          </cell>
          <cell r="Q96">
            <v>2554602</v>
          </cell>
          <cell r="R96">
            <v>1077207</v>
          </cell>
          <cell r="U96">
            <v>32722</v>
          </cell>
          <cell r="V96">
            <v>206797</v>
          </cell>
          <cell r="Y96">
            <v>811708</v>
          </cell>
          <cell r="Z96">
            <v>867390</v>
          </cell>
          <cell r="AC96">
            <v>1710172</v>
          </cell>
          <cell r="AD96">
            <v>0</v>
          </cell>
          <cell r="AG96">
            <v>0</v>
          </cell>
          <cell r="AH96">
            <v>3020</v>
          </cell>
        </row>
        <row r="97">
          <cell r="H97">
            <v>219000</v>
          </cell>
          <cell r="I97" t="str">
            <v>5499</v>
          </cell>
          <cell r="L97" t="str">
            <v>Cash Discount</v>
          </cell>
          <cell r="M97" t="e">
            <v>#N/A</v>
          </cell>
          <cell r="N97" t="e">
            <v>#REF!</v>
          </cell>
          <cell r="O97" t="str">
            <v>E</v>
          </cell>
          <cell r="Q97">
            <v>199819</v>
          </cell>
          <cell r="R97">
            <v>0</v>
          </cell>
          <cell r="U97">
            <v>0</v>
          </cell>
          <cell r="V97">
            <v>0</v>
          </cell>
          <cell r="Y97">
            <v>0</v>
          </cell>
          <cell r="Z97">
            <v>0</v>
          </cell>
          <cell r="AC97">
            <v>199819</v>
          </cell>
          <cell r="AD97">
            <v>0</v>
          </cell>
          <cell r="AG97">
            <v>0</v>
          </cell>
          <cell r="AH97">
            <v>0</v>
          </cell>
        </row>
        <row r="98">
          <cell r="G98">
            <v>12145</v>
          </cell>
          <cell r="H98">
            <v>220000</v>
          </cell>
          <cell r="I98" t="str">
            <v>5231</v>
          </cell>
          <cell r="L98" t="str">
            <v>Cash Discount Received</v>
          </cell>
          <cell r="M98" t="str">
            <v>DISCOUNT RECEIVED</v>
          </cell>
          <cell r="N98" t="e">
            <v>#REF!</v>
          </cell>
          <cell r="O98" t="str">
            <v>E</v>
          </cell>
          <cell r="Q98">
            <v>-734026</v>
          </cell>
          <cell r="R98">
            <v>-567632</v>
          </cell>
          <cell r="U98">
            <v>-64715</v>
          </cell>
          <cell r="V98">
            <v>-29365</v>
          </cell>
          <cell r="Y98">
            <v>-29550</v>
          </cell>
          <cell r="Z98">
            <v>-39251</v>
          </cell>
          <cell r="AC98">
            <v>-150849</v>
          </cell>
          <cell r="AD98">
            <v>-366275</v>
          </cell>
          <cell r="AG98">
            <v>-488912</v>
          </cell>
          <cell r="AH98">
            <v>-132741</v>
          </cell>
        </row>
        <row r="99">
          <cell r="H99">
            <v>221000</v>
          </cell>
          <cell r="L99" t="str">
            <v>GIT- Goods In Transist</v>
          </cell>
          <cell r="M99" t="e">
            <v>#N/A</v>
          </cell>
          <cell r="N99" t="e">
            <v>#REF!</v>
          </cell>
          <cell r="O99" t="str">
            <v>E</v>
          </cell>
          <cell r="Q99">
            <v>0</v>
          </cell>
          <cell r="R99">
            <v>0</v>
          </cell>
          <cell r="U99">
            <v>0</v>
          </cell>
          <cell r="V99">
            <v>0</v>
          </cell>
          <cell r="Y99">
            <v>0</v>
          </cell>
          <cell r="Z99">
            <v>0</v>
          </cell>
          <cell r="AC99">
            <v>0</v>
          </cell>
          <cell r="AD99">
            <v>0</v>
          </cell>
          <cell r="AG99">
            <v>0</v>
          </cell>
          <cell r="AH99">
            <v>0</v>
          </cell>
        </row>
        <row r="100">
          <cell r="H100">
            <v>222000</v>
          </cell>
          <cell r="L100" t="str">
            <v>Regrouping From Packing Materials</v>
          </cell>
          <cell r="O100" t="str">
            <v>E</v>
          </cell>
          <cell r="Q100">
            <v>0</v>
          </cell>
          <cell r="R100">
            <v>-1324781</v>
          </cell>
          <cell r="U100">
            <v>0</v>
          </cell>
          <cell r="V100">
            <v>0</v>
          </cell>
          <cell r="Y100">
            <v>0</v>
          </cell>
          <cell r="Z100">
            <v>0</v>
          </cell>
          <cell r="AB100">
            <v>0</v>
          </cell>
          <cell r="AC100">
            <v>0</v>
          </cell>
          <cell r="AD100">
            <v>-1324781</v>
          </cell>
          <cell r="AF100">
            <v>0</v>
          </cell>
          <cell r="AG100">
            <v>0</v>
          </cell>
          <cell r="AH100">
            <v>0</v>
          </cell>
        </row>
        <row r="101">
          <cell r="H101">
            <v>223000</v>
          </cell>
          <cell r="L101" t="str">
            <v>Provision taken in Purchase A/c</v>
          </cell>
          <cell r="M101" t="e">
            <v>#N/A</v>
          </cell>
          <cell r="N101" t="e">
            <v>#REF!</v>
          </cell>
          <cell r="O101" t="str">
            <v>E</v>
          </cell>
          <cell r="Q101">
            <v>677682</v>
          </cell>
          <cell r="R101">
            <v>2057672</v>
          </cell>
          <cell r="U101">
            <v>1655284</v>
          </cell>
          <cell r="V101">
            <v>1761448</v>
          </cell>
          <cell r="Y101">
            <v>-977602</v>
          </cell>
          <cell r="Z101">
            <v>296224</v>
          </cell>
          <cell r="AC101">
            <v>0</v>
          </cell>
          <cell r="AG101">
            <v>0</v>
          </cell>
        </row>
        <row r="102">
          <cell r="K102" t="str">
            <v>Add: Purchases</v>
          </cell>
          <cell r="M102" t="e">
            <v>#N/A</v>
          </cell>
          <cell r="N102" t="e">
            <v>#REF!</v>
          </cell>
          <cell r="O102" t="str">
            <v>E</v>
          </cell>
          <cell r="P102">
            <v>0</v>
          </cell>
          <cell r="Q102">
            <v>1795007552</v>
          </cell>
          <cell r="R102">
            <v>1984538574</v>
          </cell>
          <cell r="T102">
            <v>0</v>
          </cell>
          <cell r="U102">
            <v>311206225</v>
          </cell>
          <cell r="V102">
            <v>433945394</v>
          </cell>
          <cell r="X102">
            <v>0</v>
          </cell>
          <cell r="Y102">
            <v>968917197</v>
          </cell>
          <cell r="Z102">
            <v>1081534604</v>
          </cell>
          <cell r="AB102">
            <v>0</v>
          </cell>
          <cell r="AC102">
            <v>244352015</v>
          </cell>
          <cell r="AD102">
            <v>258744578</v>
          </cell>
          <cell r="AF102">
            <v>0</v>
          </cell>
          <cell r="AG102">
            <v>270532115</v>
          </cell>
          <cell r="AH102">
            <v>210313998</v>
          </cell>
        </row>
        <row r="103">
          <cell r="H103">
            <v>224000</v>
          </cell>
          <cell r="K103" t="str">
            <v>Less: Closing Inventory</v>
          </cell>
          <cell r="M103" t="e">
            <v>#N/A</v>
          </cell>
          <cell r="N103" t="e">
            <v>#REF!</v>
          </cell>
          <cell r="O103" t="str">
            <v>E</v>
          </cell>
          <cell r="Q103">
            <v>-3729861</v>
          </cell>
          <cell r="R103">
            <v>0</v>
          </cell>
          <cell r="U103">
            <v>0</v>
          </cell>
          <cell r="V103">
            <v>0</v>
          </cell>
          <cell r="Y103">
            <v>0</v>
          </cell>
          <cell r="Z103">
            <v>0</v>
          </cell>
          <cell r="AC103">
            <v>-3729861</v>
          </cell>
          <cell r="AD103">
            <v>0</v>
          </cell>
          <cell r="AG103">
            <v>0</v>
          </cell>
          <cell r="AH103">
            <v>0</v>
          </cell>
        </row>
        <row r="104">
          <cell r="G104">
            <v>12209</v>
          </cell>
          <cell r="H104">
            <v>225000</v>
          </cell>
          <cell r="I104" t="str">
            <v>8981</v>
          </cell>
          <cell r="L104" t="str">
            <v>Cl.St. - Raw Matl.-P&amp;L</v>
          </cell>
          <cell r="M104" t="str">
            <v>CLOSING STOCK OF RAW MATL (P&amp;L)</v>
          </cell>
          <cell r="N104" t="e">
            <v>#REF!</v>
          </cell>
          <cell r="O104" t="str">
            <v>I</v>
          </cell>
          <cell r="P104">
            <v>0</v>
          </cell>
          <cell r="Q104">
            <v>170527612</v>
          </cell>
          <cell r="R104">
            <v>151712454</v>
          </cell>
          <cell r="T104">
            <v>0</v>
          </cell>
          <cell r="U104">
            <v>28821504</v>
          </cell>
          <cell r="V104">
            <v>30804595</v>
          </cell>
          <cell r="X104">
            <v>0</v>
          </cell>
          <cell r="Y104">
            <v>87064837</v>
          </cell>
          <cell r="Z104">
            <v>72448239</v>
          </cell>
          <cell r="AB104">
            <v>0</v>
          </cell>
          <cell r="AC104">
            <v>24649437</v>
          </cell>
          <cell r="AD104">
            <v>36087751</v>
          </cell>
          <cell r="AF104">
            <v>0</v>
          </cell>
          <cell r="AG104">
            <v>29991834</v>
          </cell>
          <cell r="AH104">
            <v>12371869</v>
          </cell>
        </row>
        <row r="105">
          <cell r="H105">
            <v>226000</v>
          </cell>
          <cell r="L105" t="str">
            <v>Goods In Transist</v>
          </cell>
          <cell r="M105" t="e">
            <v>#N/A</v>
          </cell>
          <cell r="N105" t="e">
            <v>#REF!</v>
          </cell>
          <cell r="O105" t="str">
            <v>I</v>
          </cell>
          <cell r="P105">
            <v>0</v>
          </cell>
          <cell r="Q105">
            <v>0</v>
          </cell>
          <cell r="R105">
            <v>-10699226</v>
          </cell>
          <cell r="T105">
            <v>0</v>
          </cell>
          <cell r="U105">
            <v>0</v>
          </cell>
          <cell r="V105">
            <v>0</v>
          </cell>
          <cell r="X105">
            <v>0</v>
          </cell>
          <cell r="Y105">
            <v>0</v>
          </cell>
          <cell r="Z105">
            <v>-10699226</v>
          </cell>
          <cell r="AB105">
            <v>0</v>
          </cell>
          <cell r="AC105">
            <v>0</v>
          </cell>
          <cell r="AD105">
            <v>0</v>
          </cell>
          <cell r="AF105">
            <v>0</v>
          </cell>
          <cell r="AG105">
            <v>0</v>
          </cell>
          <cell r="AH105">
            <v>0</v>
          </cell>
        </row>
        <row r="106">
          <cell r="K106" t="str">
            <v>Less: Closing Inventory</v>
          </cell>
          <cell r="M106" t="e">
            <v>#N/A</v>
          </cell>
          <cell r="N106" t="e">
            <v>#REF!</v>
          </cell>
          <cell r="O106" t="str">
            <v>E</v>
          </cell>
          <cell r="P106">
            <v>0</v>
          </cell>
          <cell r="Q106">
            <v>170527612</v>
          </cell>
          <cell r="R106">
            <v>141013228</v>
          </cell>
          <cell r="T106">
            <v>0</v>
          </cell>
          <cell r="U106">
            <v>28821504</v>
          </cell>
          <cell r="V106">
            <v>30804595</v>
          </cell>
          <cell r="X106">
            <v>0</v>
          </cell>
          <cell r="Y106">
            <v>87064837</v>
          </cell>
          <cell r="Z106">
            <v>61749013</v>
          </cell>
          <cell r="AB106">
            <v>0</v>
          </cell>
          <cell r="AC106">
            <v>24649437</v>
          </cell>
          <cell r="AD106">
            <v>36087751</v>
          </cell>
          <cell r="AF106">
            <v>0</v>
          </cell>
          <cell r="AG106">
            <v>29991834</v>
          </cell>
          <cell r="AH106">
            <v>12371869</v>
          </cell>
        </row>
        <row r="107">
          <cell r="K107" t="str">
            <v xml:space="preserve"> Raw Materials Consumed</v>
          </cell>
          <cell r="M107" t="e">
            <v>#N/A</v>
          </cell>
          <cell r="N107" t="e">
            <v>#REF!</v>
          </cell>
          <cell r="O107" t="str">
            <v>E</v>
          </cell>
          <cell r="P107">
            <v>0</v>
          </cell>
          <cell r="Q107">
            <v>1765493168</v>
          </cell>
          <cell r="R107">
            <v>1934583738</v>
          </cell>
          <cell r="T107">
            <v>0</v>
          </cell>
          <cell r="U107">
            <v>313189316</v>
          </cell>
          <cell r="V107">
            <v>417712917</v>
          </cell>
          <cell r="X107">
            <v>0</v>
          </cell>
          <cell r="Y107">
            <v>943601373</v>
          </cell>
          <cell r="Z107">
            <v>1044326497</v>
          </cell>
          <cell r="AB107">
            <v>0</v>
          </cell>
          <cell r="AC107">
            <v>255790329</v>
          </cell>
          <cell r="AD107">
            <v>261513245</v>
          </cell>
          <cell r="AF107">
            <v>0</v>
          </cell>
          <cell r="AG107">
            <v>252912150</v>
          </cell>
          <cell r="AH107">
            <v>211031079</v>
          </cell>
        </row>
        <row r="108">
          <cell r="O108" t="str">
            <v>E</v>
          </cell>
        </row>
        <row r="109">
          <cell r="K109" t="str">
            <v>Packing Materials Consumed</v>
          </cell>
          <cell r="M109" t="e">
            <v>#N/A</v>
          </cell>
          <cell r="N109" t="e">
            <v>#REF!</v>
          </cell>
          <cell r="O109" t="str">
            <v>E</v>
          </cell>
        </row>
        <row r="110">
          <cell r="H110">
            <v>230000</v>
          </cell>
          <cell r="K110" t="str">
            <v>Opening Inventory</v>
          </cell>
          <cell r="M110" t="e">
            <v>#N/A</v>
          </cell>
          <cell r="N110" t="e">
            <v>#REF!</v>
          </cell>
          <cell r="O110" t="str">
            <v>E</v>
          </cell>
          <cell r="Q110">
            <v>0</v>
          </cell>
          <cell r="U110">
            <v>0</v>
          </cell>
          <cell r="Y110">
            <v>0</v>
          </cell>
        </row>
        <row r="111">
          <cell r="G111">
            <v>12221</v>
          </cell>
          <cell r="H111">
            <v>231000</v>
          </cell>
          <cell r="I111" t="str">
            <v>8972</v>
          </cell>
          <cell r="L111" t="str">
            <v>Op St. Of Pack. Matl.</v>
          </cell>
          <cell r="M111" t="str">
            <v>OPENING STOCK OF PACKING MATERIALS</v>
          </cell>
          <cell r="N111" t="e">
            <v>#REF!</v>
          </cell>
          <cell r="O111" t="str">
            <v>E</v>
          </cell>
          <cell r="P111">
            <v>0</v>
          </cell>
          <cell r="Q111">
            <v>2715774</v>
          </cell>
          <cell r="R111">
            <v>891629</v>
          </cell>
          <cell r="T111">
            <v>0</v>
          </cell>
          <cell r="U111">
            <v>1261152</v>
          </cell>
          <cell r="V111">
            <v>891629</v>
          </cell>
          <cell r="X111">
            <v>0</v>
          </cell>
          <cell r="Y111">
            <v>1244363</v>
          </cell>
          <cell r="Z111">
            <v>0</v>
          </cell>
          <cell r="AB111">
            <v>0</v>
          </cell>
          <cell r="AC111">
            <v>210259</v>
          </cell>
          <cell r="AD111">
            <v>0</v>
          </cell>
          <cell r="AF111">
            <v>0</v>
          </cell>
          <cell r="AG111">
            <v>0</v>
          </cell>
          <cell r="AH111">
            <v>0</v>
          </cell>
        </row>
        <row r="112">
          <cell r="L112">
            <v>0</v>
          </cell>
          <cell r="M112" t="e">
            <v>#N/A</v>
          </cell>
          <cell r="N112" t="e">
            <v>#REF!</v>
          </cell>
          <cell r="O112" t="str">
            <v>E</v>
          </cell>
        </row>
        <row r="113">
          <cell r="K113" t="str">
            <v>Opening Inventory</v>
          </cell>
          <cell r="M113" t="e">
            <v>#N/A</v>
          </cell>
          <cell r="N113" t="e">
            <v>#REF!</v>
          </cell>
          <cell r="O113" t="str">
            <v>E</v>
          </cell>
          <cell r="P113">
            <v>0</v>
          </cell>
          <cell r="Q113">
            <v>2715774</v>
          </cell>
          <cell r="R113">
            <v>891629</v>
          </cell>
          <cell r="T113">
            <v>0</v>
          </cell>
          <cell r="U113">
            <v>1261152</v>
          </cell>
          <cell r="V113">
            <v>891629</v>
          </cell>
          <cell r="X113">
            <v>0</v>
          </cell>
          <cell r="Y113">
            <v>1244363</v>
          </cell>
          <cell r="Z113">
            <v>0</v>
          </cell>
          <cell r="AB113">
            <v>0</v>
          </cell>
          <cell r="AC113">
            <v>210259</v>
          </cell>
          <cell r="AD113">
            <v>0</v>
          </cell>
          <cell r="AF113">
            <v>0</v>
          </cell>
          <cell r="AG113">
            <v>0</v>
          </cell>
          <cell r="AH113">
            <v>0</v>
          </cell>
        </row>
        <row r="114">
          <cell r="H114">
            <v>232000</v>
          </cell>
          <cell r="K114" t="str">
            <v>Add: Purchases</v>
          </cell>
          <cell r="M114" t="e">
            <v>#N/A</v>
          </cell>
          <cell r="N114" t="e">
            <v>#REF!</v>
          </cell>
          <cell r="O114" t="str">
            <v>E</v>
          </cell>
        </row>
        <row r="115">
          <cell r="H115">
            <v>233000</v>
          </cell>
          <cell r="I115" t="str">
            <v>6040</v>
          </cell>
          <cell r="L115" t="str">
            <v>Purchase A/C -  Packing Materials</v>
          </cell>
          <cell r="M115" t="e">
            <v>#N/A</v>
          </cell>
          <cell r="N115" t="e">
            <v>#REF!</v>
          </cell>
          <cell r="O115" t="str">
            <v>E</v>
          </cell>
          <cell r="Q115">
            <v>30604</v>
          </cell>
          <cell r="R115">
            <v>47310</v>
          </cell>
          <cell r="U115">
            <v>0</v>
          </cell>
          <cell r="V115">
            <v>0</v>
          </cell>
          <cell r="Y115">
            <v>0</v>
          </cell>
          <cell r="Z115">
            <v>0</v>
          </cell>
          <cell r="AC115">
            <v>20514</v>
          </cell>
          <cell r="AD115">
            <v>36670</v>
          </cell>
          <cell r="AG115">
            <v>10090</v>
          </cell>
          <cell r="AH115">
            <v>10640</v>
          </cell>
        </row>
        <row r="116">
          <cell r="G116">
            <v>15099</v>
          </cell>
          <cell r="H116">
            <v>234000</v>
          </cell>
          <cell r="L116" t="str">
            <v>Purchase A/C - Packing Materials Stock (Bs)</v>
          </cell>
          <cell r="M116" t="str">
            <v>PURCHASE A/C - PACKING MATERIALS STOCK (BS)</v>
          </cell>
          <cell r="N116" t="e">
            <v>#REF!</v>
          </cell>
          <cell r="O116" t="str">
            <v>E</v>
          </cell>
          <cell r="Q116">
            <v>21767603</v>
          </cell>
          <cell r="R116">
            <v>23400735</v>
          </cell>
          <cell r="U116">
            <v>13394821</v>
          </cell>
          <cell r="V116">
            <v>15160032</v>
          </cell>
          <cell r="Y116">
            <v>8372782</v>
          </cell>
          <cell r="Z116">
            <v>8240703</v>
          </cell>
          <cell r="AC116">
            <v>0</v>
          </cell>
          <cell r="AD116">
            <v>0</v>
          </cell>
          <cell r="AG116">
            <v>0</v>
          </cell>
          <cell r="AH116">
            <v>0</v>
          </cell>
        </row>
        <row r="117">
          <cell r="H117">
            <v>235000</v>
          </cell>
          <cell r="L117" t="str">
            <v>Regrouping To Raw Materials</v>
          </cell>
          <cell r="M117" t="e">
            <v>#N/A</v>
          </cell>
          <cell r="N117" t="e">
            <v>#REF!</v>
          </cell>
          <cell r="O117" t="str">
            <v>E</v>
          </cell>
          <cell r="Q117">
            <v>0</v>
          </cell>
          <cell r="R117">
            <v>1324781</v>
          </cell>
          <cell r="U117">
            <v>0</v>
          </cell>
          <cell r="V117">
            <v>0</v>
          </cell>
          <cell r="Y117">
            <v>0</v>
          </cell>
          <cell r="Z117">
            <v>0</v>
          </cell>
          <cell r="AC117">
            <v>0</v>
          </cell>
          <cell r="AD117">
            <v>1324781</v>
          </cell>
          <cell r="AG117">
            <v>0</v>
          </cell>
        </row>
        <row r="118">
          <cell r="K118" t="str">
            <v>Add: Purchases</v>
          </cell>
          <cell r="M118" t="e">
            <v>#N/A</v>
          </cell>
          <cell r="N118" t="e">
            <v>#REF!</v>
          </cell>
          <cell r="O118" t="str">
            <v>E</v>
          </cell>
          <cell r="P118">
            <v>0</v>
          </cell>
          <cell r="Q118">
            <v>21798207</v>
          </cell>
          <cell r="R118">
            <v>24772826</v>
          </cell>
          <cell r="T118">
            <v>0</v>
          </cell>
          <cell r="U118">
            <v>13394821</v>
          </cell>
          <cell r="V118">
            <v>15160032</v>
          </cell>
          <cell r="X118">
            <v>0</v>
          </cell>
          <cell r="Y118">
            <v>8372782</v>
          </cell>
          <cell r="Z118">
            <v>8240703</v>
          </cell>
          <cell r="AB118">
            <v>0</v>
          </cell>
          <cell r="AC118">
            <v>20514</v>
          </cell>
          <cell r="AD118">
            <v>1361451</v>
          </cell>
          <cell r="AF118">
            <v>0</v>
          </cell>
          <cell r="AG118">
            <v>10090</v>
          </cell>
          <cell r="AH118">
            <v>10640</v>
          </cell>
        </row>
        <row r="119">
          <cell r="H119">
            <v>236000</v>
          </cell>
          <cell r="K119" t="str">
            <v>Less: Closing Inventory</v>
          </cell>
          <cell r="M119" t="e">
            <v>#N/A</v>
          </cell>
          <cell r="N119" t="e">
            <v>#REF!</v>
          </cell>
          <cell r="O119" t="str">
            <v>E</v>
          </cell>
        </row>
        <row r="120">
          <cell r="G120">
            <v>12264</v>
          </cell>
          <cell r="H120">
            <v>237000</v>
          </cell>
          <cell r="I120" t="str">
            <v>8982</v>
          </cell>
          <cell r="L120" t="str">
            <v>Cl. St. -Pack. Matl-P&amp;L</v>
          </cell>
          <cell r="M120" t="str">
            <v>CLOSING STOCK OF PACKINGMATL (P&amp;L)</v>
          </cell>
          <cell r="N120" t="e">
            <v>#REF!</v>
          </cell>
          <cell r="O120" t="str">
            <v>I</v>
          </cell>
          <cell r="P120">
            <v>0</v>
          </cell>
          <cell r="Q120">
            <v>2613010</v>
          </cell>
          <cell r="R120">
            <v>2715774</v>
          </cell>
          <cell r="T120">
            <v>0</v>
          </cell>
          <cell r="U120">
            <v>1116747</v>
          </cell>
          <cell r="V120">
            <v>1261152</v>
          </cell>
          <cell r="X120">
            <v>0</v>
          </cell>
          <cell r="Y120">
            <v>1364131</v>
          </cell>
          <cell r="Z120">
            <v>1244363</v>
          </cell>
          <cell r="AB120">
            <v>0</v>
          </cell>
          <cell r="AC120">
            <v>132132</v>
          </cell>
          <cell r="AD120">
            <v>210259</v>
          </cell>
          <cell r="AF120">
            <v>0</v>
          </cell>
          <cell r="AG120">
            <v>0</v>
          </cell>
          <cell r="AH120">
            <v>0</v>
          </cell>
        </row>
        <row r="121">
          <cell r="H121">
            <v>238000</v>
          </cell>
          <cell r="L121">
            <v>0</v>
          </cell>
          <cell r="M121" t="e">
            <v>#N/A</v>
          </cell>
          <cell r="N121" t="e">
            <v>#REF!</v>
          </cell>
          <cell r="O121" t="str">
            <v>E</v>
          </cell>
        </row>
        <row r="122">
          <cell r="K122" t="str">
            <v>Less: Closing Inventory</v>
          </cell>
          <cell r="M122" t="e">
            <v>#N/A</v>
          </cell>
          <cell r="N122" t="e">
            <v>#REF!</v>
          </cell>
          <cell r="O122" t="str">
            <v>E</v>
          </cell>
          <cell r="P122">
            <v>0</v>
          </cell>
          <cell r="Q122">
            <v>2613010</v>
          </cell>
          <cell r="R122">
            <v>2715774</v>
          </cell>
          <cell r="T122">
            <v>0</v>
          </cell>
          <cell r="U122">
            <v>1116747</v>
          </cell>
          <cell r="V122">
            <v>1261152</v>
          </cell>
          <cell r="X122">
            <v>0</v>
          </cell>
          <cell r="Y122">
            <v>1364131</v>
          </cell>
          <cell r="Z122">
            <v>1244363</v>
          </cell>
          <cell r="AB122">
            <v>0</v>
          </cell>
          <cell r="AC122">
            <v>132132</v>
          </cell>
          <cell r="AD122">
            <v>210259</v>
          </cell>
          <cell r="AF122">
            <v>0</v>
          </cell>
          <cell r="AG122">
            <v>0</v>
          </cell>
          <cell r="AH122">
            <v>0</v>
          </cell>
        </row>
        <row r="123">
          <cell r="K123" t="str">
            <v>Packing Materials Consumed</v>
          </cell>
          <cell r="M123" t="e">
            <v>#N/A</v>
          </cell>
          <cell r="N123" t="e">
            <v>#REF!</v>
          </cell>
          <cell r="O123" t="str">
            <v>E</v>
          </cell>
          <cell r="P123">
            <v>0</v>
          </cell>
          <cell r="Q123">
            <v>21900971</v>
          </cell>
          <cell r="R123">
            <v>22948681</v>
          </cell>
          <cell r="T123">
            <v>0</v>
          </cell>
          <cell r="U123">
            <v>13539226</v>
          </cell>
          <cell r="V123">
            <v>14790509</v>
          </cell>
          <cell r="X123">
            <v>0</v>
          </cell>
          <cell r="Y123">
            <v>8253014</v>
          </cell>
          <cell r="Z123">
            <v>6996340</v>
          </cell>
          <cell r="AB123">
            <v>0</v>
          </cell>
          <cell r="AC123">
            <v>98641</v>
          </cell>
          <cell r="AD123">
            <v>1151192</v>
          </cell>
          <cell r="AF123">
            <v>0</v>
          </cell>
          <cell r="AG123">
            <v>10090</v>
          </cell>
          <cell r="AH123">
            <v>10640</v>
          </cell>
        </row>
        <row r="124">
          <cell r="O124" t="str">
            <v>E</v>
          </cell>
        </row>
        <row r="125">
          <cell r="J125" t="str">
            <v>COST OF MATERIAL CONSUMED</v>
          </cell>
          <cell r="M125" t="e">
            <v>#N/A</v>
          </cell>
          <cell r="N125" t="e">
            <v>#REF!</v>
          </cell>
          <cell r="O125" t="str">
            <v>E</v>
          </cell>
          <cell r="P125">
            <v>0</v>
          </cell>
          <cell r="Q125">
            <v>1787394139</v>
          </cell>
          <cell r="R125">
            <v>1957532419</v>
          </cell>
          <cell r="T125">
            <v>0</v>
          </cell>
          <cell r="U125">
            <v>326728542</v>
          </cell>
          <cell r="V125">
            <v>432503426</v>
          </cell>
          <cell r="X125">
            <v>0</v>
          </cell>
          <cell r="Y125">
            <v>951854387</v>
          </cell>
          <cell r="Z125">
            <v>1051322837</v>
          </cell>
          <cell r="AB125">
            <v>0</v>
          </cell>
          <cell r="AC125">
            <v>255888970</v>
          </cell>
          <cell r="AD125">
            <v>262664437</v>
          </cell>
          <cell r="AF125">
            <v>0</v>
          </cell>
          <cell r="AG125">
            <v>252922240</v>
          </cell>
          <cell r="AH125">
            <v>211041719</v>
          </cell>
        </row>
        <row r="126">
          <cell r="O126" t="str">
            <v>E</v>
          </cell>
          <cell r="Q126">
            <v>0</v>
          </cell>
          <cell r="R126">
            <v>0</v>
          </cell>
        </row>
        <row r="127">
          <cell r="J127" t="str">
            <v>CHANGES IN INVENTORIES OF FINISHED GOODS &amp;WORK-IN-PROGRESS</v>
          </cell>
          <cell r="M127" t="e">
            <v>#N/A</v>
          </cell>
          <cell r="N127" t="e">
            <v>#REF!</v>
          </cell>
          <cell r="O127" t="str">
            <v>E</v>
          </cell>
        </row>
        <row r="128">
          <cell r="K128" t="str">
            <v>(Increase)/Decrease In Stock Of F.G/Wip</v>
          </cell>
          <cell r="M128" t="e">
            <v>#N/A</v>
          </cell>
          <cell r="N128" t="e">
            <v>#REF!</v>
          </cell>
          <cell r="O128" t="str">
            <v>E</v>
          </cell>
        </row>
        <row r="129">
          <cell r="H129">
            <v>240000</v>
          </cell>
          <cell r="K129" t="str">
            <v>Closing Inventory:</v>
          </cell>
          <cell r="M129" t="e">
            <v>#N/A</v>
          </cell>
          <cell r="N129" t="e">
            <v>#REF!</v>
          </cell>
          <cell r="O129" t="str">
            <v>E</v>
          </cell>
          <cell r="Q129">
            <v>3729861</v>
          </cell>
          <cell r="R129">
            <v>0</v>
          </cell>
          <cell r="U129">
            <v>0</v>
          </cell>
          <cell r="V129">
            <v>0</v>
          </cell>
          <cell r="Y129">
            <v>0</v>
          </cell>
          <cell r="Z129">
            <v>0</v>
          </cell>
          <cell r="AC129">
            <v>3729861</v>
          </cell>
          <cell r="AD129">
            <v>0</v>
          </cell>
          <cell r="AG129">
            <v>0</v>
          </cell>
          <cell r="AH129">
            <v>0</v>
          </cell>
        </row>
        <row r="130">
          <cell r="H130">
            <v>241000</v>
          </cell>
          <cell r="I130" t="str">
            <v>8383</v>
          </cell>
          <cell r="L130" t="str">
            <v>Cl-St. Fg - P&amp;L</v>
          </cell>
          <cell r="M130" t="e">
            <v>#N/A</v>
          </cell>
          <cell r="N130" t="e">
            <v>#REF!</v>
          </cell>
          <cell r="O130" t="str">
            <v>E</v>
          </cell>
          <cell r="Q130">
            <v>-10527518</v>
          </cell>
          <cell r="R130">
            <v>-8787487</v>
          </cell>
          <cell r="U130">
            <v>0</v>
          </cell>
          <cell r="V130">
            <v>0</v>
          </cell>
          <cell r="Y130">
            <v>0</v>
          </cell>
          <cell r="Z130">
            <v>0</v>
          </cell>
          <cell r="AC130">
            <v>0</v>
          </cell>
          <cell r="AG130">
            <v>-10527518</v>
          </cell>
          <cell r="AH130">
            <v>-8787487</v>
          </cell>
        </row>
        <row r="131">
          <cell r="G131">
            <v>13756</v>
          </cell>
          <cell r="H131">
            <v>242000</v>
          </cell>
          <cell r="I131" t="str">
            <v>8983</v>
          </cell>
          <cell r="L131" t="str">
            <v>Cl-St. Fg - P&amp;L</v>
          </cell>
          <cell r="M131" t="str">
            <v>CLOSING STOCK OF FG (P&amp;L)</v>
          </cell>
          <cell r="N131" t="e">
            <v>#REF!</v>
          </cell>
          <cell r="O131" t="str">
            <v>E</v>
          </cell>
          <cell r="Q131">
            <v>-56174175</v>
          </cell>
          <cell r="R131">
            <v>-59962989</v>
          </cell>
          <cell r="U131">
            <v>-33857101</v>
          </cell>
          <cell r="V131">
            <v>-36677104</v>
          </cell>
          <cell r="Y131">
            <v>-16961544</v>
          </cell>
          <cell r="Z131">
            <v>-17830652</v>
          </cell>
          <cell r="AC131">
            <v>-5355530</v>
          </cell>
          <cell r="AD131">
            <v>-5455233</v>
          </cell>
          <cell r="AG131">
            <v>0</v>
          </cell>
          <cell r="AH131">
            <v>0</v>
          </cell>
        </row>
        <row r="132">
          <cell r="G132">
            <v>13757</v>
          </cell>
          <cell r="H132">
            <v>243000</v>
          </cell>
          <cell r="I132" t="str">
            <v>8984</v>
          </cell>
          <cell r="L132" t="str">
            <v>Cl. St. + Wip + P&amp; L</v>
          </cell>
          <cell r="M132" t="str">
            <v>CLOSING STOCK OF WIP (P&amp;L)</v>
          </cell>
          <cell r="N132" t="e">
            <v>#REF!</v>
          </cell>
          <cell r="O132" t="str">
            <v>E</v>
          </cell>
          <cell r="Q132">
            <v>-46374019</v>
          </cell>
          <cell r="R132">
            <v>-57480151</v>
          </cell>
          <cell r="U132">
            <v>-15053266</v>
          </cell>
          <cell r="V132">
            <v>-17474851</v>
          </cell>
          <cell r="Y132">
            <v>-16390687</v>
          </cell>
          <cell r="Z132">
            <v>-26766530</v>
          </cell>
          <cell r="AC132">
            <v>-11820477</v>
          </cell>
          <cell r="AD132">
            <v>-9722574</v>
          </cell>
          <cell r="AG132">
            <v>-3109589</v>
          </cell>
          <cell r="AH132">
            <v>-3516196</v>
          </cell>
        </row>
        <row r="133">
          <cell r="L133" t="str">
            <v>Total</v>
          </cell>
          <cell r="M133" t="e">
            <v>#N/A</v>
          </cell>
          <cell r="N133" t="e">
            <v>#REF!</v>
          </cell>
          <cell r="O133" t="str">
            <v>E</v>
          </cell>
          <cell r="P133" t="e">
            <v>#REF!</v>
          </cell>
          <cell r="Q133">
            <v>-113075712</v>
          </cell>
          <cell r="R133">
            <v>-126230627</v>
          </cell>
          <cell r="T133">
            <v>0</v>
          </cell>
          <cell r="U133">
            <v>-48910367</v>
          </cell>
          <cell r="V133">
            <v>-54151955</v>
          </cell>
          <cell r="X133">
            <v>0</v>
          </cell>
          <cell r="Y133">
            <v>-33352231</v>
          </cell>
          <cell r="Z133">
            <v>-44597182</v>
          </cell>
          <cell r="AB133">
            <v>0</v>
          </cell>
          <cell r="AC133">
            <v>-17176007</v>
          </cell>
          <cell r="AD133">
            <v>-15177807</v>
          </cell>
          <cell r="AF133">
            <v>0</v>
          </cell>
          <cell r="AG133">
            <v>-13637107</v>
          </cell>
          <cell r="AH133">
            <v>-12303683</v>
          </cell>
        </row>
        <row r="134">
          <cell r="H134">
            <v>244000</v>
          </cell>
          <cell r="K134" t="str">
            <v>Opening Inventory:</v>
          </cell>
          <cell r="M134" t="e">
            <v>#N/A</v>
          </cell>
          <cell r="N134" t="e">
            <v>#REF!</v>
          </cell>
          <cell r="O134" t="str">
            <v>E</v>
          </cell>
        </row>
        <row r="135">
          <cell r="G135">
            <v>13752</v>
          </cell>
          <cell r="H135">
            <v>245000</v>
          </cell>
          <cell r="I135" t="str">
            <v>8973</v>
          </cell>
          <cell r="L135" t="str">
            <v>Op.St. Of Fg - P &amp; L</v>
          </cell>
          <cell r="M135" t="str">
            <v>OPENING STOCK OF FINISHED GOODS</v>
          </cell>
          <cell r="N135" t="e">
            <v>#REF!</v>
          </cell>
          <cell r="O135" t="str">
            <v>E</v>
          </cell>
          <cell r="Q135">
            <v>68750476</v>
          </cell>
          <cell r="R135">
            <v>61655307</v>
          </cell>
          <cell r="U135">
            <v>36677104</v>
          </cell>
          <cell r="V135">
            <v>35350615</v>
          </cell>
          <cell r="Y135">
            <v>17830652</v>
          </cell>
          <cell r="Z135">
            <v>16603046</v>
          </cell>
          <cell r="AC135">
            <v>5455233</v>
          </cell>
          <cell r="AD135">
            <v>7088806</v>
          </cell>
          <cell r="AG135">
            <v>8787487</v>
          </cell>
          <cell r="AH135">
            <v>2612840</v>
          </cell>
        </row>
        <row r="136">
          <cell r="G136">
            <v>13753</v>
          </cell>
          <cell r="H136">
            <v>246000</v>
          </cell>
          <cell r="I136" t="str">
            <v>8974</v>
          </cell>
          <cell r="L136" t="str">
            <v>Op.St. Of Wip - P &amp; L</v>
          </cell>
          <cell r="M136" t="str">
            <v>OPENING STOCKS OF WIP</v>
          </cell>
          <cell r="N136" t="e">
            <v>#REF!</v>
          </cell>
          <cell r="O136" t="str">
            <v>E</v>
          </cell>
          <cell r="Q136">
            <v>57480151</v>
          </cell>
          <cell r="R136">
            <v>69318900</v>
          </cell>
          <cell r="U136">
            <v>17474851</v>
          </cell>
          <cell r="V136">
            <v>16066734</v>
          </cell>
          <cell r="Y136">
            <v>26766530</v>
          </cell>
          <cell r="Z136">
            <v>38251294</v>
          </cell>
          <cell r="AC136">
            <v>9722574</v>
          </cell>
          <cell r="AD136">
            <v>9793002</v>
          </cell>
          <cell r="AG136">
            <v>3516196</v>
          </cell>
          <cell r="AH136">
            <v>5207870</v>
          </cell>
        </row>
        <row r="137">
          <cell r="L137" t="str">
            <v>Total</v>
          </cell>
          <cell r="M137" t="e">
            <v>#N/A</v>
          </cell>
          <cell r="N137" t="e">
            <v>#REF!</v>
          </cell>
          <cell r="O137" t="str">
            <v>E</v>
          </cell>
          <cell r="P137" t="e">
            <v>#REF!</v>
          </cell>
          <cell r="Q137">
            <v>126230627</v>
          </cell>
          <cell r="R137">
            <v>130974207</v>
          </cell>
          <cell r="T137">
            <v>0</v>
          </cell>
          <cell r="U137">
            <v>54151955</v>
          </cell>
          <cell r="V137">
            <v>51417349</v>
          </cell>
          <cell r="X137">
            <v>0</v>
          </cell>
          <cell r="Y137">
            <v>44597182</v>
          </cell>
          <cell r="Z137">
            <v>54854340</v>
          </cell>
          <cell r="AB137">
            <v>0</v>
          </cell>
          <cell r="AC137">
            <v>15177807</v>
          </cell>
          <cell r="AD137">
            <v>16881808</v>
          </cell>
          <cell r="AF137">
            <v>0</v>
          </cell>
          <cell r="AG137">
            <v>12303683</v>
          </cell>
          <cell r="AH137">
            <v>7820710</v>
          </cell>
        </row>
        <row r="138">
          <cell r="J138" t="str">
            <v>CHANGES IN INVENTORIES OF FINISHED GOODS &amp;WORK-IN-PROGRESS</v>
          </cell>
          <cell r="M138" t="e">
            <v>#N/A</v>
          </cell>
          <cell r="N138" t="e">
            <v>#REF!</v>
          </cell>
          <cell r="O138" t="str">
            <v>E</v>
          </cell>
          <cell r="P138" t="e">
            <v>#REF!</v>
          </cell>
          <cell r="Q138">
            <v>13154915</v>
          </cell>
          <cell r="R138">
            <v>4743580</v>
          </cell>
          <cell r="T138">
            <v>0</v>
          </cell>
          <cell r="U138">
            <v>5241588</v>
          </cell>
          <cell r="V138">
            <v>-2734606</v>
          </cell>
          <cell r="X138">
            <v>0</v>
          </cell>
          <cell r="Y138">
            <v>11244951</v>
          </cell>
          <cell r="Z138">
            <v>10257158</v>
          </cell>
          <cell r="AB138">
            <v>0</v>
          </cell>
          <cell r="AC138">
            <v>-1998200</v>
          </cell>
          <cell r="AD138">
            <v>1704001</v>
          </cell>
          <cell r="AF138">
            <v>0</v>
          </cell>
          <cell r="AG138">
            <v>-1333424</v>
          </cell>
          <cell r="AH138">
            <v>-4482973</v>
          </cell>
        </row>
        <row r="139">
          <cell r="M139" t="e">
            <v>#N/A</v>
          </cell>
          <cell r="N139" t="e">
            <v>#REF!</v>
          </cell>
          <cell r="O139" t="str">
            <v>E</v>
          </cell>
          <cell r="U139">
            <v>0</v>
          </cell>
          <cell r="V139">
            <v>0</v>
          </cell>
          <cell r="Y139">
            <v>0</v>
          </cell>
          <cell r="Z139">
            <v>0</v>
          </cell>
        </row>
        <row r="140">
          <cell r="J140" t="str">
            <v>EMPLOYEE BENEFITS EXPENSES</v>
          </cell>
          <cell r="M140" t="e">
            <v>#N/A</v>
          </cell>
          <cell r="N140" t="e">
            <v>#REF!</v>
          </cell>
          <cell r="O140" t="str">
            <v>E</v>
          </cell>
        </row>
        <row r="141">
          <cell r="J141" t="str">
            <v>Salaries , Wages, Bonus etc.- Officers</v>
          </cell>
          <cell r="M141" t="e">
            <v>#N/A</v>
          </cell>
          <cell r="N141" t="e">
            <v>#REF!</v>
          </cell>
          <cell r="O141" t="str">
            <v>E</v>
          </cell>
        </row>
        <row r="142">
          <cell r="H142">
            <v>250000</v>
          </cell>
          <cell r="K142" t="str">
            <v>Officers</v>
          </cell>
          <cell r="M142" t="e">
            <v>#N/A</v>
          </cell>
          <cell r="N142" t="e">
            <v>#REF!</v>
          </cell>
          <cell r="O142" t="str">
            <v>E</v>
          </cell>
        </row>
        <row r="143">
          <cell r="G143">
            <v>13204</v>
          </cell>
          <cell r="H143">
            <v>251000</v>
          </cell>
          <cell r="I143" t="str">
            <v>6410</v>
          </cell>
          <cell r="L143" t="str">
            <v>Est Off-  Basic/Salary, Wages &amp; Other Benefits</v>
          </cell>
          <cell r="M143" t="str">
            <v>SALARIES, WAGES, BONUS ETC.(OFFICERS) (6410,12,15,20-2,</v>
          </cell>
          <cell r="N143" t="e">
            <v>#REF!</v>
          </cell>
          <cell r="O143" t="str">
            <v>E</v>
          </cell>
          <cell r="Q143">
            <v>72797147</v>
          </cell>
          <cell r="R143">
            <v>58912819</v>
          </cell>
          <cell r="U143">
            <v>44104010</v>
          </cell>
          <cell r="V143">
            <v>33801431</v>
          </cell>
          <cell r="Y143">
            <v>22883319</v>
          </cell>
          <cell r="Z143">
            <v>19647447</v>
          </cell>
          <cell r="AC143">
            <v>3065838</v>
          </cell>
          <cell r="AD143">
            <v>2938257</v>
          </cell>
          <cell r="AG143">
            <v>2743980</v>
          </cell>
          <cell r="AH143">
            <v>2525684</v>
          </cell>
        </row>
        <row r="144">
          <cell r="H144">
            <v>252000</v>
          </cell>
          <cell r="I144" t="str">
            <v>6412</v>
          </cell>
          <cell r="L144" t="str">
            <v>Cola - Officers</v>
          </cell>
          <cell r="M144" t="e">
            <v>#N/A</v>
          </cell>
          <cell r="N144" t="e">
            <v>#REF!</v>
          </cell>
          <cell r="O144" t="str">
            <v>E</v>
          </cell>
          <cell r="Q144">
            <v>672829</v>
          </cell>
          <cell r="R144">
            <v>565647</v>
          </cell>
          <cell r="U144">
            <v>0</v>
          </cell>
          <cell r="V144">
            <v>0</v>
          </cell>
          <cell r="Y144">
            <v>0</v>
          </cell>
          <cell r="Z144">
            <v>0</v>
          </cell>
          <cell r="AC144">
            <v>0</v>
          </cell>
          <cell r="AD144">
            <v>0</v>
          </cell>
          <cell r="AG144">
            <v>672829</v>
          </cell>
          <cell r="AH144">
            <v>565647</v>
          </cell>
        </row>
        <row r="145">
          <cell r="H145">
            <v>253000</v>
          </cell>
          <cell r="I145" t="str">
            <v>6415</v>
          </cell>
          <cell r="L145" t="str">
            <v>Est Off - House Rent Allowance</v>
          </cell>
          <cell r="M145" t="e">
            <v>#N/A</v>
          </cell>
          <cell r="N145" t="e">
            <v>#REF!</v>
          </cell>
          <cell r="O145" t="str">
            <v>E</v>
          </cell>
          <cell r="Q145">
            <v>324333</v>
          </cell>
          <cell r="R145">
            <v>0</v>
          </cell>
          <cell r="U145">
            <v>0</v>
          </cell>
          <cell r="V145">
            <v>0</v>
          </cell>
          <cell r="Y145">
            <v>0</v>
          </cell>
          <cell r="Z145">
            <v>0</v>
          </cell>
          <cell r="AC145">
            <v>0</v>
          </cell>
          <cell r="AD145">
            <v>0</v>
          </cell>
          <cell r="AG145">
            <v>324333</v>
          </cell>
          <cell r="AH145">
            <v>0</v>
          </cell>
        </row>
        <row r="146">
          <cell r="H146">
            <v>254000</v>
          </cell>
          <cell r="I146" t="str">
            <v>6420</v>
          </cell>
          <cell r="L146" t="str">
            <v>Est Off - Education Allowance</v>
          </cell>
          <cell r="M146" t="e">
            <v>#N/A</v>
          </cell>
          <cell r="N146" t="e">
            <v>#REF!</v>
          </cell>
          <cell r="O146" t="str">
            <v>E</v>
          </cell>
          <cell r="Q146">
            <v>0</v>
          </cell>
          <cell r="R146">
            <v>0</v>
          </cell>
          <cell r="U146">
            <v>0</v>
          </cell>
          <cell r="V146">
            <v>0</v>
          </cell>
          <cell r="Y146">
            <v>0</v>
          </cell>
          <cell r="Z146">
            <v>0</v>
          </cell>
          <cell r="AC146">
            <v>0</v>
          </cell>
          <cell r="AD146">
            <v>0</v>
          </cell>
          <cell r="AG146">
            <v>0</v>
          </cell>
          <cell r="AH146">
            <v>0</v>
          </cell>
        </row>
        <row r="147">
          <cell r="H147">
            <v>255000</v>
          </cell>
          <cell r="I147" t="str">
            <v>6421</v>
          </cell>
          <cell r="L147" t="str">
            <v>Est - Officers Conveyance</v>
          </cell>
          <cell r="M147" t="e">
            <v>#N/A</v>
          </cell>
          <cell r="N147" t="e">
            <v>#REF!</v>
          </cell>
          <cell r="O147" t="str">
            <v>E</v>
          </cell>
          <cell r="Q147">
            <v>488505</v>
          </cell>
          <cell r="R147">
            <v>385536</v>
          </cell>
          <cell r="U147">
            <v>0</v>
          </cell>
          <cell r="V147">
            <v>0</v>
          </cell>
          <cell r="Y147">
            <v>0</v>
          </cell>
          <cell r="Z147">
            <v>0</v>
          </cell>
          <cell r="AC147">
            <v>0</v>
          </cell>
          <cell r="AD147">
            <v>0</v>
          </cell>
          <cell r="AG147">
            <v>488505</v>
          </cell>
          <cell r="AH147">
            <v>385536</v>
          </cell>
        </row>
        <row r="148">
          <cell r="H148">
            <v>256000</v>
          </cell>
          <cell r="I148" t="str">
            <v>6422</v>
          </cell>
          <cell r="L148" t="str">
            <v>Est Off - Personnel Pay</v>
          </cell>
          <cell r="M148" t="e">
            <v>#N/A</v>
          </cell>
          <cell r="N148" t="e">
            <v>#REF!</v>
          </cell>
          <cell r="O148" t="str">
            <v>E</v>
          </cell>
          <cell r="Q148">
            <v>1289936</v>
          </cell>
          <cell r="R148">
            <v>1065907</v>
          </cell>
          <cell r="U148">
            <v>0</v>
          </cell>
          <cell r="V148">
            <v>0</v>
          </cell>
          <cell r="Y148">
            <v>0</v>
          </cell>
          <cell r="Z148">
            <v>0</v>
          </cell>
          <cell r="AC148">
            <v>0</v>
          </cell>
          <cell r="AD148">
            <v>0</v>
          </cell>
          <cell r="AG148">
            <v>1289936</v>
          </cell>
          <cell r="AH148">
            <v>1065907</v>
          </cell>
        </row>
        <row r="149">
          <cell r="H149">
            <v>257000</v>
          </cell>
          <cell r="I149" t="str">
            <v>6423</v>
          </cell>
          <cell r="L149" t="str">
            <v>Est - Officer Books &amp; Periodicals</v>
          </cell>
          <cell r="M149" t="e">
            <v>#N/A</v>
          </cell>
          <cell r="N149" t="e">
            <v>#REF!</v>
          </cell>
          <cell r="O149" t="str">
            <v>E</v>
          </cell>
          <cell r="Q149">
            <v>0</v>
          </cell>
          <cell r="R149">
            <v>0</v>
          </cell>
          <cell r="U149">
            <v>0</v>
          </cell>
          <cell r="V149">
            <v>0</v>
          </cell>
          <cell r="Y149">
            <v>0</v>
          </cell>
          <cell r="Z149">
            <v>0</v>
          </cell>
          <cell r="AC149">
            <v>0</v>
          </cell>
          <cell r="AD149">
            <v>0</v>
          </cell>
          <cell r="AG149">
            <v>0</v>
          </cell>
          <cell r="AH149">
            <v>0</v>
          </cell>
        </row>
        <row r="150">
          <cell r="H150">
            <v>258000</v>
          </cell>
          <cell r="I150" t="str">
            <v>6425</v>
          </cell>
          <cell r="L150" t="str">
            <v>Est Off - Shift Allowance</v>
          </cell>
          <cell r="M150" t="e">
            <v>#N/A</v>
          </cell>
          <cell r="N150" t="e">
            <v>#REF!</v>
          </cell>
          <cell r="O150" t="str">
            <v>E</v>
          </cell>
          <cell r="Q150">
            <v>0</v>
          </cell>
          <cell r="R150">
            <v>0</v>
          </cell>
          <cell r="U150">
            <v>0</v>
          </cell>
          <cell r="V150">
            <v>0</v>
          </cell>
          <cell r="Y150">
            <v>0</v>
          </cell>
          <cell r="Z150">
            <v>0</v>
          </cell>
          <cell r="AC150">
            <v>0</v>
          </cell>
          <cell r="AD150">
            <v>0</v>
          </cell>
          <cell r="AG150">
            <v>0</v>
          </cell>
          <cell r="AH150">
            <v>0</v>
          </cell>
        </row>
        <row r="151">
          <cell r="H151">
            <v>259000</v>
          </cell>
          <cell r="I151" t="str">
            <v>6429</v>
          </cell>
          <cell r="L151" t="str">
            <v>Est Offshifting House Hold Allowance</v>
          </cell>
          <cell r="M151" t="e">
            <v>#N/A</v>
          </cell>
          <cell r="N151" t="e">
            <v>#REF!</v>
          </cell>
          <cell r="O151" t="str">
            <v>E</v>
          </cell>
          <cell r="Q151">
            <v>0</v>
          </cell>
          <cell r="R151">
            <v>0</v>
          </cell>
          <cell r="U151">
            <v>0</v>
          </cell>
          <cell r="V151">
            <v>0</v>
          </cell>
          <cell r="Y151">
            <v>0</v>
          </cell>
          <cell r="Z151">
            <v>0</v>
          </cell>
          <cell r="AC151">
            <v>0</v>
          </cell>
          <cell r="AD151">
            <v>0</v>
          </cell>
          <cell r="AG151">
            <v>0</v>
          </cell>
          <cell r="AH151">
            <v>0</v>
          </cell>
        </row>
        <row r="152">
          <cell r="G152">
            <v>13207</v>
          </cell>
          <cell r="H152">
            <v>260000</v>
          </cell>
          <cell r="I152" t="str">
            <v>6435</v>
          </cell>
          <cell r="L152" t="str">
            <v>Est Off - Lta - 64351</v>
          </cell>
          <cell r="M152" t="str">
            <v>LEAVE TRAVEL ASSISTANCE (OFFICERS) (6435)</v>
          </cell>
          <cell r="N152" t="e">
            <v>#REF!</v>
          </cell>
          <cell r="O152" t="str">
            <v>E</v>
          </cell>
          <cell r="Q152">
            <v>2358604</v>
          </cell>
          <cell r="R152">
            <v>1937709</v>
          </cell>
          <cell r="U152">
            <v>1430950</v>
          </cell>
          <cell r="V152">
            <v>1133525</v>
          </cell>
          <cell r="Y152">
            <v>835704</v>
          </cell>
          <cell r="Z152">
            <v>732143</v>
          </cell>
          <cell r="AC152">
            <v>0</v>
          </cell>
          <cell r="AD152">
            <v>0</v>
          </cell>
          <cell r="AG152">
            <v>91950</v>
          </cell>
          <cell r="AH152">
            <v>72041</v>
          </cell>
        </row>
        <row r="153">
          <cell r="H153">
            <v>261000</v>
          </cell>
          <cell r="I153" t="str">
            <v>6440</v>
          </cell>
          <cell r="L153" t="str">
            <v>Est Off - Bonus</v>
          </cell>
          <cell r="M153" t="e">
            <v>#N/A</v>
          </cell>
          <cell r="N153" t="e">
            <v>#REF!</v>
          </cell>
          <cell r="O153" t="str">
            <v>E</v>
          </cell>
          <cell r="Q153">
            <v>358049</v>
          </cell>
          <cell r="R153">
            <v>126644</v>
          </cell>
          <cell r="U153">
            <v>0</v>
          </cell>
          <cell r="V153">
            <v>0</v>
          </cell>
          <cell r="Y153">
            <v>0</v>
          </cell>
          <cell r="Z153">
            <v>0</v>
          </cell>
          <cell r="AC153">
            <v>137523</v>
          </cell>
          <cell r="AD153">
            <v>0</v>
          </cell>
          <cell r="AG153">
            <v>220526</v>
          </cell>
          <cell r="AH153">
            <v>126644</v>
          </cell>
        </row>
        <row r="154">
          <cell r="G154">
            <v>13208</v>
          </cell>
          <cell r="H154">
            <v>262000</v>
          </cell>
          <cell r="I154" t="str">
            <v>6445</v>
          </cell>
          <cell r="L154" t="str">
            <v>Est Off - Exgratia</v>
          </cell>
          <cell r="M154" t="str">
            <v>PERFORMANCE REWARD (OFFICERS)</v>
          </cell>
          <cell r="N154" t="e">
            <v>#REF!</v>
          </cell>
          <cell r="O154" t="str">
            <v>E</v>
          </cell>
          <cell r="Q154">
            <v>3029394</v>
          </cell>
          <cell r="R154">
            <v>3657548</v>
          </cell>
          <cell r="U154">
            <v>1955200</v>
          </cell>
          <cell r="V154">
            <v>2257688</v>
          </cell>
          <cell r="Y154">
            <v>1074194</v>
          </cell>
          <cell r="Z154">
            <v>1399860</v>
          </cell>
          <cell r="AC154">
            <v>0</v>
          </cell>
          <cell r="AD154">
            <v>0</v>
          </cell>
          <cell r="AG154">
            <v>0</v>
          </cell>
          <cell r="AH154">
            <v>0</v>
          </cell>
        </row>
        <row r="155">
          <cell r="H155">
            <v>263000</v>
          </cell>
          <cell r="I155" t="str">
            <v>6446</v>
          </cell>
          <cell r="L155" t="str">
            <v>Est Officer - Perormance Incentive</v>
          </cell>
          <cell r="M155" t="e">
            <v>#N/A</v>
          </cell>
          <cell r="N155" t="e">
            <v>#REF!</v>
          </cell>
          <cell r="O155" t="str">
            <v>E</v>
          </cell>
          <cell r="Q155">
            <v>86500</v>
          </cell>
          <cell r="R155">
            <v>0</v>
          </cell>
          <cell r="U155">
            <v>0</v>
          </cell>
          <cell r="V155">
            <v>0</v>
          </cell>
          <cell r="Y155">
            <v>0</v>
          </cell>
          <cell r="Z155">
            <v>0</v>
          </cell>
          <cell r="AC155">
            <v>0</v>
          </cell>
          <cell r="AD155">
            <v>0</v>
          </cell>
          <cell r="AG155">
            <v>86500</v>
          </cell>
          <cell r="AH155">
            <v>0</v>
          </cell>
        </row>
        <row r="156">
          <cell r="G156">
            <v>13281</v>
          </cell>
          <cell r="H156">
            <v>314000</v>
          </cell>
          <cell r="I156" t="str">
            <v>6485</v>
          </cell>
          <cell r="L156" t="str">
            <v>Est Off - Medical Expenses</v>
          </cell>
          <cell r="M156" t="str">
            <v>MEDICAL EXPENSES (OFFICERS) (6485)</v>
          </cell>
          <cell r="N156" t="e">
            <v>#REF!</v>
          </cell>
          <cell r="O156" t="str">
            <v>E</v>
          </cell>
          <cell r="Q156">
            <v>2129578</v>
          </cell>
          <cell r="R156">
            <v>1745946</v>
          </cell>
          <cell r="U156">
            <v>1199626</v>
          </cell>
          <cell r="V156">
            <v>976016</v>
          </cell>
          <cell r="Y156">
            <v>840060</v>
          </cell>
          <cell r="Z156">
            <v>723400</v>
          </cell>
          <cell r="AC156">
            <v>0</v>
          </cell>
          <cell r="AD156">
            <v>0</v>
          </cell>
          <cell r="AG156">
            <v>89892</v>
          </cell>
          <cell r="AH156">
            <v>46530</v>
          </cell>
        </row>
        <row r="157">
          <cell r="G157">
            <v>13283</v>
          </cell>
          <cell r="H157">
            <v>264000</v>
          </cell>
          <cell r="I157" t="str">
            <v>6490</v>
          </cell>
          <cell r="L157" t="str">
            <v>Est Off - Medicare Services</v>
          </cell>
          <cell r="M157" t="str">
            <v>MEDICLAIM EXPENSES (OFFICERS) (6490)</v>
          </cell>
          <cell r="N157" t="e">
            <v>#REF!</v>
          </cell>
          <cell r="O157" t="str">
            <v>E</v>
          </cell>
          <cell r="Q157">
            <v>883623</v>
          </cell>
          <cell r="R157">
            <v>574127</v>
          </cell>
          <cell r="U157">
            <v>536481</v>
          </cell>
          <cell r="V157">
            <v>319461</v>
          </cell>
          <cell r="Y157">
            <v>293417</v>
          </cell>
          <cell r="Z157">
            <v>201585</v>
          </cell>
          <cell r="AC157">
            <v>0</v>
          </cell>
          <cell r="AD157">
            <v>0</v>
          </cell>
          <cell r="AG157">
            <v>53725</v>
          </cell>
          <cell r="AH157">
            <v>53081</v>
          </cell>
        </row>
        <row r="158">
          <cell r="G158">
            <v>13210</v>
          </cell>
          <cell r="H158">
            <v>265000</v>
          </cell>
          <cell r="I158" t="str">
            <v>6504</v>
          </cell>
          <cell r="L158" t="str">
            <v>Est Off - Stipend A/C</v>
          </cell>
          <cell r="M158" t="str">
            <v>STIPEND A/C (6504)</v>
          </cell>
          <cell r="N158" t="e">
            <v>#REF!</v>
          </cell>
          <cell r="O158" t="str">
            <v>E</v>
          </cell>
          <cell r="Q158">
            <v>992282</v>
          </cell>
          <cell r="R158">
            <v>1258611</v>
          </cell>
          <cell r="U158">
            <v>124000</v>
          </cell>
          <cell r="V158">
            <v>178226</v>
          </cell>
          <cell r="Y158">
            <v>167925</v>
          </cell>
          <cell r="Z158">
            <v>639516</v>
          </cell>
          <cell r="AC158">
            <v>529588</v>
          </cell>
          <cell r="AD158">
            <v>440869</v>
          </cell>
          <cell r="AG158">
            <v>170769</v>
          </cell>
          <cell r="AH158">
            <v>0</v>
          </cell>
        </row>
        <row r="159">
          <cell r="H159">
            <v>266000</v>
          </cell>
          <cell r="I159" t="str">
            <v>6506</v>
          </cell>
          <cell r="L159" t="str">
            <v>Est Off - Attendance Wages</v>
          </cell>
          <cell r="M159" t="e">
            <v>#N/A</v>
          </cell>
          <cell r="N159" t="e">
            <v>#REF!</v>
          </cell>
          <cell r="O159" t="str">
            <v>E</v>
          </cell>
          <cell r="Q159">
            <v>0</v>
          </cell>
          <cell r="R159">
            <v>0</v>
          </cell>
          <cell r="U159">
            <v>0</v>
          </cell>
          <cell r="V159">
            <v>0</v>
          </cell>
          <cell r="Y159">
            <v>0</v>
          </cell>
          <cell r="Z159">
            <v>0</v>
          </cell>
          <cell r="AC159">
            <v>0</v>
          </cell>
          <cell r="AD159">
            <v>0</v>
          </cell>
          <cell r="AG159">
            <v>0</v>
          </cell>
          <cell r="AH159">
            <v>0</v>
          </cell>
        </row>
        <row r="160">
          <cell r="H160">
            <v>267000</v>
          </cell>
          <cell r="L160" t="str">
            <v>Excess Provision trf from Contribution</v>
          </cell>
          <cell r="O160" t="str">
            <v>E</v>
          </cell>
          <cell r="P160">
            <v>0</v>
          </cell>
          <cell r="Q160">
            <v>0</v>
          </cell>
          <cell r="R160">
            <v>0</v>
          </cell>
          <cell r="T160">
            <v>0</v>
          </cell>
          <cell r="U160">
            <v>0</v>
          </cell>
          <cell r="V160">
            <v>0</v>
          </cell>
          <cell r="X160">
            <v>0</v>
          </cell>
          <cell r="Y160">
            <v>0</v>
          </cell>
          <cell r="Z160">
            <v>0</v>
          </cell>
          <cell r="AB160">
            <v>0</v>
          </cell>
          <cell r="AC160">
            <v>0</v>
          </cell>
          <cell r="AD160">
            <v>0</v>
          </cell>
          <cell r="AF160">
            <v>0</v>
          </cell>
          <cell r="AG160">
            <v>0</v>
          </cell>
          <cell r="AH160">
            <v>0</v>
          </cell>
        </row>
        <row r="161">
          <cell r="H161">
            <v>268000</v>
          </cell>
          <cell r="K161" t="str">
            <v>Officers</v>
          </cell>
          <cell r="M161" t="e">
            <v>#N/A</v>
          </cell>
          <cell r="N161" t="e">
            <v>#REF!</v>
          </cell>
          <cell r="O161" t="str">
            <v>E</v>
          </cell>
          <cell r="P161">
            <v>0</v>
          </cell>
          <cell r="Q161">
            <v>85410780</v>
          </cell>
          <cell r="R161">
            <v>70230494</v>
          </cell>
          <cell r="T161">
            <v>0</v>
          </cell>
          <cell r="U161">
            <v>49350267</v>
          </cell>
          <cell r="V161">
            <v>38666347</v>
          </cell>
          <cell r="X161">
            <v>0</v>
          </cell>
          <cell r="Y161">
            <v>26094619</v>
          </cell>
          <cell r="Z161">
            <v>23343951</v>
          </cell>
          <cell r="AB161">
            <v>0</v>
          </cell>
          <cell r="AC161">
            <v>3732949</v>
          </cell>
          <cell r="AD161">
            <v>3379126</v>
          </cell>
          <cell r="AF161">
            <v>0</v>
          </cell>
          <cell r="AG161">
            <v>6232945</v>
          </cell>
          <cell r="AH161">
            <v>4841070</v>
          </cell>
        </row>
        <row r="162">
          <cell r="H162">
            <v>270000</v>
          </cell>
          <cell r="K162" t="str">
            <v>Staff</v>
          </cell>
          <cell r="M162" t="e">
            <v>#N/A</v>
          </cell>
          <cell r="N162" t="e">
            <v>#REF!</v>
          </cell>
          <cell r="O162" t="str">
            <v>E</v>
          </cell>
        </row>
        <row r="163">
          <cell r="G163">
            <v>13223</v>
          </cell>
          <cell r="H163">
            <v>271000</v>
          </cell>
          <cell r="I163" t="str">
            <v>6510</v>
          </cell>
          <cell r="L163" t="str">
            <v>Est Staff - Basic/Salary, Wages &amp; Other Benefits</v>
          </cell>
          <cell r="M163" t="str">
            <v>SALARIES , WAGES, BONUS ETC. (STAFF)</v>
          </cell>
          <cell r="N163" t="e">
            <v>#REF!</v>
          </cell>
          <cell r="O163" t="str">
            <v>E</v>
          </cell>
          <cell r="Q163">
            <v>863503</v>
          </cell>
          <cell r="R163">
            <v>2104344</v>
          </cell>
          <cell r="U163">
            <v>-296267</v>
          </cell>
          <cell r="V163">
            <v>1175364</v>
          </cell>
          <cell r="Y163">
            <v>0</v>
          </cell>
          <cell r="Z163">
            <v>4380</v>
          </cell>
          <cell r="AC163">
            <v>1159770</v>
          </cell>
          <cell r="AD163">
            <v>924600</v>
          </cell>
          <cell r="AG163">
            <v>0</v>
          </cell>
          <cell r="AH163">
            <v>0</v>
          </cell>
        </row>
        <row r="164">
          <cell r="H164">
            <v>272000</v>
          </cell>
          <cell r="I164" t="str">
            <v>6512</v>
          </cell>
          <cell r="L164" t="str">
            <v>Cola - Staff</v>
          </cell>
          <cell r="M164" t="e">
            <v>#N/A</v>
          </cell>
          <cell r="N164" t="e">
            <v>#REF!</v>
          </cell>
          <cell r="O164" t="str">
            <v>E</v>
          </cell>
          <cell r="Q164">
            <v>455879</v>
          </cell>
          <cell r="R164">
            <v>0</v>
          </cell>
          <cell r="U164">
            <v>0</v>
          </cell>
          <cell r="V164">
            <v>0</v>
          </cell>
          <cell r="Y164">
            <v>0</v>
          </cell>
          <cell r="Z164">
            <v>0</v>
          </cell>
          <cell r="AC164">
            <v>455879</v>
          </cell>
          <cell r="AD164">
            <v>0</v>
          </cell>
          <cell r="AG164">
            <v>0</v>
          </cell>
          <cell r="AH164">
            <v>0</v>
          </cell>
        </row>
        <row r="165">
          <cell r="H165">
            <v>273000</v>
          </cell>
          <cell r="I165" t="str">
            <v>6520</v>
          </cell>
          <cell r="L165" t="str">
            <v>Est Staff - House Rent Allowance</v>
          </cell>
          <cell r="M165" t="e">
            <v>#N/A</v>
          </cell>
          <cell r="N165" t="e">
            <v>#REF!</v>
          </cell>
          <cell r="O165" t="str">
            <v>E</v>
          </cell>
          <cell r="Q165">
            <v>289943</v>
          </cell>
          <cell r="R165">
            <v>517562</v>
          </cell>
          <cell r="U165">
            <v>0</v>
          </cell>
          <cell r="V165">
            <v>0</v>
          </cell>
          <cell r="Y165">
            <v>0</v>
          </cell>
          <cell r="Z165">
            <v>0</v>
          </cell>
          <cell r="AC165">
            <v>289943</v>
          </cell>
          <cell r="AD165">
            <v>231150</v>
          </cell>
          <cell r="AG165">
            <v>0</v>
          </cell>
          <cell r="AH165">
            <v>286412</v>
          </cell>
        </row>
        <row r="166">
          <cell r="H166">
            <v>274000</v>
          </cell>
          <cell r="I166" t="str">
            <v>6530</v>
          </cell>
          <cell r="L166" t="str">
            <v>Est Staff - Transport Allowance</v>
          </cell>
          <cell r="M166" t="e">
            <v>#N/A</v>
          </cell>
          <cell r="N166" t="e">
            <v>#REF!</v>
          </cell>
          <cell r="O166" t="str">
            <v>E</v>
          </cell>
          <cell r="Q166">
            <v>226640</v>
          </cell>
          <cell r="R166">
            <v>347806</v>
          </cell>
          <cell r="U166">
            <v>0</v>
          </cell>
          <cell r="V166">
            <v>0</v>
          </cell>
          <cell r="Y166">
            <v>0</v>
          </cell>
          <cell r="Z166">
            <v>0</v>
          </cell>
          <cell r="AC166">
            <v>226640</v>
          </cell>
          <cell r="AD166">
            <v>120000</v>
          </cell>
          <cell r="AG166">
            <v>0</v>
          </cell>
          <cell r="AH166">
            <v>227806</v>
          </cell>
        </row>
        <row r="167">
          <cell r="H167">
            <v>275000</v>
          </cell>
          <cell r="I167" t="str">
            <v>6531</v>
          </cell>
          <cell r="L167" t="str">
            <v>Est Staff -  Personal Pay</v>
          </cell>
          <cell r="M167" t="e">
            <v>#N/A</v>
          </cell>
          <cell r="N167" t="e">
            <v>#REF!</v>
          </cell>
          <cell r="O167" t="str">
            <v>E</v>
          </cell>
          <cell r="Q167">
            <v>322520</v>
          </cell>
          <cell r="R167">
            <v>278400</v>
          </cell>
          <cell r="U167">
            <v>0</v>
          </cell>
          <cell r="V167">
            <v>0</v>
          </cell>
          <cell r="Y167">
            <v>0</v>
          </cell>
          <cell r="Z167">
            <v>0</v>
          </cell>
          <cell r="AC167">
            <v>322520</v>
          </cell>
          <cell r="AD167">
            <v>278400</v>
          </cell>
          <cell r="AG167">
            <v>0</v>
          </cell>
          <cell r="AH167">
            <v>0</v>
          </cell>
        </row>
        <row r="168">
          <cell r="H168">
            <v>276000</v>
          </cell>
          <cell r="I168" t="str">
            <v>6535</v>
          </cell>
          <cell r="L168" t="str">
            <v>Est Staff - Shift Allowance</v>
          </cell>
          <cell r="M168" t="e">
            <v>#N/A</v>
          </cell>
          <cell r="N168" t="e">
            <v>#REF!</v>
          </cell>
          <cell r="O168" t="str">
            <v>E</v>
          </cell>
          <cell r="Q168">
            <v>0</v>
          </cell>
          <cell r="R168">
            <v>0</v>
          </cell>
          <cell r="U168">
            <v>0</v>
          </cell>
          <cell r="V168">
            <v>0</v>
          </cell>
          <cell r="Y168">
            <v>0</v>
          </cell>
          <cell r="Z168">
            <v>0</v>
          </cell>
          <cell r="AC168">
            <v>0</v>
          </cell>
          <cell r="AD168">
            <v>0</v>
          </cell>
          <cell r="AG168">
            <v>0</v>
          </cell>
          <cell r="AH168">
            <v>0</v>
          </cell>
        </row>
        <row r="169">
          <cell r="H169">
            <v>277000</v>
          </cell>
          <cell r="I169" t="str">
            <v>6545</v>
          </cell>
          <cell r="L169" t="str">
            <v>Est Staff - Overtime</v>
          </cell>
          <cell r="M169" t="e">
            <v>#N/A</v>
          </cell>
          <cell r="N169" t="e">
            <v>#REF!</v>
          </cell>
          <cell r="O169" t="str">
            <v>E</v>
          </cell>
          <cell r="P169">
            <v>0</v>
          </cell>
          <cell r="Q169">
            <v>0</v>
          </cell>
          <cell r="R169">
            <v>0</v>
          </cell>
          <cell r="T169">
            <v>0</v>
          </cell>
          <cell r="U169">
            <v>0</v>
          </cell>
          <cell r="V169">
            <v>0</v>
          </cell>
          <cell r="X169">
            <v>0</v>
          </cell>
          <cell r="Y169">
            <v>0</v>
          </cell>
          <cell r="Z169">
            <v>0</v>
          </cell>
          <cell r="AB169">
            <v>0</v>
          </cell>
          <cell r="AC169">
            <v>0</v>
          </cell>
          <cell r="AD169">
            <v>0</v>
          </cell>
          <cell r="AF169">
            <v>0</v>
          </cell>
          <cell r="AG169">
            <v>0</v>
          </cell>
          <cell r="AH169">
            <v>0</v>
          </cell>
        </row>
        <row r="170">
          <cell r="G170">
            <v>13225</v>
          </cell>
          <cell r="H170">
            <v>278000</v>
          </cell>
          <cell r="I170" t="str">
            <v>6550</v>
          </cell>
          <cell r="L170" t="str">
            <v>Est Staff - Lta</v>
          </cell>
          <cell r="M170" t="str">
            <v>LEAVE TRAVEL ASSISTANCE (STAFF) (6550)</v>
          </cell>
          <cell r="N170" t="e">
            <v>#REF!</v>
          </cell>
          <cell r="O170" t="str">
            <v>E</v>
          </cell>
          <cell r="P170">
            <v>0</v>
          </cell>
          <cell r="Q170">
            <v>142633</v>
          </cell>
          <cell r="R170">
            <v>141875</v>
          </cell>
          <cell r="T170">
            <v>0</v>
          </cell>
          <cell r="U170">
            <v>43950</v>
          </cell>
          <cell r="V170">
            <v>41550</v>
          </cell>
          <cell r="X170">
            <v>0</v>
          </cell>
          <cell r="Y170">
            <v>0</v>
          </cell>
          <cell r="Z170">
            <v>1500</v>
          </cell>
          <cell r="AB170">
            <v>0</v>
          </cell>
          <cell r="AC170">
            <v>98683</v>
          </cell>
          <cell r="AD170">
            <v>75900</v>
          </cell>
          <cell r="AF170">
            <v>0</v>
          </cell>
          <cell r="AG170">
            <v>0</v>
          </cell>
          <cell r="AH170">
            <v>22925</v>
          </cell>
        </row>
        <row r="171">
          <cell r="I171" t="str">
            <v>6552</v>
          </cell>
          <cell r="L171" t="str">
            <v>Est Staff - Production Incentive</v>
          </cell>
          <cell r="O171" t="str">
            <v>E</v>
          </cell>
          <cell r="Q171">
            <v>344718</v>
          </cell>
          <cell r="R171">
            <v>0</v>
          </cell>
          <cell r="AC171">
            <v>344718</v>
          </cell>
        </row>
        <row r="172">
          <cell r="H172">
            <v>279000</v>
          </cell>
          <cell r="I172" t="str">
            <v>6555</v>
          </cell>
          <cell r="L172" t="str">
            <v>Est Staff - Bonus</v>
          </cell>
          <cell r="M172" t="e">
            <v>#N/A</v>
          </cell>
          <cell r="N172" t="e">
            <v>#REF!</v>
          </cell>
          <cell r="O172" t="str">
            <v>E</v>
          </cell>
          <cell r="P172">
            <v>0</v>
          </cell>
          <cell r="Q172">
            <v>5000</v>
          </cell>
          <cell r="R172">
            <v>149038</v>
          </cell>
          <cell r="T172">
            <v>0</v>
          </cell>
          <cell r="U172">
            <v>0</v>
          </cell>
          <cell r="V172">
            <v>0</v>
          </cell>
          <cell r="X172">
            <v>0</v>
          </cell>
          <cell r="Y172">
            <v>0</v>
          </cell>
          <cell r="Z172">
            <v>0</v>
          </cell>
          <cell r="AB172">
            <v>0</v>
          </cell>
          <cell r="AC172">
            <v>5000</v>
          </cell>
          <cell r="AD172">
            <v>149038</v>
          </cell>
          <cell r="AF172">
            <v>0</v>
          </cell>
          <cell r="AG172">
            <v>0</v>
          </cell>
          <cell r="AH172">
            <v>0</v>
          </cell>
        </row>
        <row r="173">
          <cell r="G173">
            <v>13226</v>
          </cell>
          <cell r="H173">
            <v>280000</v>
          </cell>
          <cell r="I173" t="str">
            <v>6560</v>
          </cell>
          <cell r="L173" t="str">
            <v>Est Staff - Exgratia</v>
          </cell>
          <cell r="M173" t="str">
            <v>PERFROMANCE REWARD (STAFF)</v>
          </cell>
          <cell r="N173" t="e">
            <v>#REF!</v>
          </cell>
          <cell r="O173" t="str">
            <v>E</v>
          </cell>
          <cell r="P173">
            <v>0</v>
          </cell>
          <cell r="Q173">
            <v>-23500</v>
          </cell>
          <cell r="R173">
            <v>14800</v>
          </cell>
          <cell r="T173">
            <v>0</v>
          </cell>
          <cell r="U173">
            <v>-23500</v>
          </cell>
          <cell r="V173">
            <v>14800</v>
          </cell>
          <cell r="X173">
            <v>0</v>
          </cell>
          <cell r="Y173">
            <v>0</v>
          </cell>
          <cell r="Z173">
            <v>0</v>
          </cell>
          <cell r="AB173">
            <v>0</v>
          </cell>
          <cell r="AC173">
            <v>0</v>
          </cell>
          <cell r="AD173">
            <v>0</v>
          </cell>
          <cell r="AF173">
            <v>0</v>
          </cell>
          <cell r="AG173">
            <v>0</v>
          </cell>
          <cell r="AH173">
            <v>0</v>
          </cell>
        </row>
        <row r="174">
          <cell r="G174">
            <v>13293</v>
          </cell>
          <cell r="H174">
            <v>281000</v>
          </cell>
          <cell r="I174" t="str">
            <v>6595</v>
          </cell>
          <cell r="L174" t="str">
            <v>Est Staff - Medical Expenses</v>
          </cell>
          <cell r="M174" t="str">
            <v>MEDICAL EXPENSES (STAFF) (6595)</v>
          </cell>
          <cell r="N174" t="e">
            <v>#REF!</v>
          </cell>
          <cell r="O174" t="str">
            <v>E</v>
          </cell>
          <cell r="Q174">
            <v>143384</v>
          </cell>
          <cell r="R174">
            <v>139178</v>
          </cell>
          <cell r="U174">
            <v>20700</v>
          </cell>
          <cell r="V174">
            <v>26450</v>
          </cell>
          <cell r="Y174">
            <v>0</v>
          </cell>
          <cell r="Z174">
            <v>0</v>
          </cell>
          <cell r="AC174">
            <v>98684</v>
          </cell>
          <cell r="AD174">
            <v>75900</v>
          </cell>
          <cell r="AG174">
            <v>24000</v>
          </cell>
          <cell r="AH174">
            <v>36828</v>
          </cell>
        </row>
        <row r="175">
          <cell r="G175">
            <v>13292</v>
          </cell>
          <cell r="H175">
            <v>282000</v>
          </cell>
          <cell r="I175" t="str">
            <v>6561</v>
          </cell>
          <cell r="L175" t="str">
            <v>MEDICLAIM STAFF</v>
          </cell>
          <cell r="M175" t="str">
            <v>MEDICLAIM STAFF</v>
          </cell>
          <cell r="N175" t="e">
            <v>#REF!</v>
          </cell>
          <cell r="O175" t="str">
            <v>E</v>
          </cell>
          <cell r="P175">
            <v>0</v>
          </cell>
          <cell r="Q175">
            <v>19807</v>
          </cell>
          <cell r="R175">
            <v>90381</v>
          </cell>
          <cell r="T175">
            <v>0</v>
          </cell>
          <cell r="U175">
            <v>19807</v>
          </cell>
          <cell r="V175">
            <v>14381</v>
          </cell>
          <cell r="X175">
            <v>0</v>
          </cell>
          <cell r="Y175">
            <v>0</v>
          </cell>
          <cell r="Z175">
            <v>0</v>
          </cell>
          <cell r="AB175">
            <v>0</v>
          </cell>
          <cell r="AC175">
            <v>0</v>
          </cell>
          <cell r="AD175">
            <v>0</v>
          </cell>
          <cell r="AF175">
            <v>0</v>
          </cell>
          <cell r="AG175">
            <v>0</v>
          </cell>
          <cell r="AH175">
            <v>76000</v>
          </cell>
        </row>
        <row r="176">
          <cell r="H176">
            <v>283000</v>
          </cell>
          <cell r="L176" t="str">
            <v>Excess Provision trf from Contribution</v>
          </cell>
          <cell r="O176" t="str">
            <v>E</v>
          </cell>
          <cell r="Q176">
            <v>0</v>
          </cell>
          <cell r="R176">
            <v>0</v>
          </cell>
          <cell r="U176">
            <v>0</v>
          </cell>
          <cell r="V176">
            <v>0</v>
          </cell>
          <cell r="X176">
            <v>0</v>
          </cell>
          <cell r="Y176">
            <v>0</v>
          </cell>
          <cell r="Z176">
            <v>0</v>
          </cell>
          <cell r="AB176">
            <v>0</v>
          </cell>
          <cell r="AF176">
            <v>0</v>
          </cell>
        </row>
        <row r="177">
          <cell r="H177">
            <v>284000</v>
          </cell>
          <cell r="K177" t="str">
            <v>Staff</v>
          </cell>
          <cell r="M177" t="e">
            <v>#N/A</v>
          </cell>
          <cell r="N177" t="e">
            <v>#REF!</v>
          </cell>
          <cell r="O177" t="str">
            <v>E</v>
          </cell>
          <cell r="P177">
            <v>0</v>
          </cell>
          <cell r="Q177">
            <v>2790527</v>
          </cell>
          <cell r="R177">
            <v>3783384</v>
          </cell>
          <cell r="T177">
            <v>0</v>
          </cell>
          <cell r="U177">
            <v>-235310</v>
          </cell>
          <cell r="V177">
            <v>1272545</v>
          </cell>
          <cell r="X177">
            <v>0</v>
          </cell>
          <cell r="Y177">
            <v>0</v>
          </cell>
          <cell r="Z177">
            <v>5880</v>
          </cell>
          <cell r="AB177">
            <v>0</v>
          </cell>
          <cell r="AC177">
            <v>3001837</v>
          </cell>
          <cell r="AD177">
            <v>1854988</v>
          </cell>
          <cell r="AF177">
            <v>0</v>
          </cell>
          <cell r="AG177">
            <v>24000</v>
          </cell>
          <cell r="AH177">
            <v>649971</v>
          </cell>
        </row>
        <row r="178">
          <cell r="H178">
            <v>285000</v>
          </cell>
          <cell r="K178" t="str">
            <v>Workmen</v>
          </cell>
          <cell r="M178" t="e">
            <v>#N/A</v>
          </cell>
          <cell r="N178" t="e">
            <v>#REF!</v>
          </cell>
          <cell r="O178" t="str">
            <v>E</v>
          </cell>
        </row>
        <row r="179">
          <cell r="G179">
            <v>13231</v>
          </cell>
          <cell r="H179">
            <v>286000</v>
          </cell>
          <cell r="I179" t="str">
            <v>6610</v>
          </cell>
          <cell r="L179" t="str">
            <v>Est Lbr - Basic/Salary, Wages &amp; Others</v>
          </cell>
          <cell r="M179" t="str">
            <v>SALARIES , WAGES, BONUS ETC. (WORKERS)</v>
          </cell>
          <cell r="N179" t="e">
            <v>#REF!</v>
          </cell>
          <cell r="O179" t="str">
            <v>E</v>
          </cell>
          <cell r="P179">
            <v>0</v>
          </cell>
          <cell r="Q179">
            <v>78190438</v>
          </cell>
          <cell r="R179">
            <v>65832361</v>
          </cell>
          <cell r="T179">
            <v>0</v>
          </cell>
          <cell r="U179">
            <v>50307752</v>
          </cell>
          <cell r="V179">
            <v>39464973</v>
          </cell>
          <cell r="X179">
            <v>0</v>
          </cell>
          <cell r="Y179">
            <v>24823158</v>
          </cell>
          <cell r="Z179">
            <v>24131888</v>
          </cell>
          <cell r="AB179">
            <v>0</v>
          </cell>
          <cell r="AC179">
            <v>2268651</v>
          </cell>
          <cell r="AD179">
            <v>1672931</v>
          </cell>
          <cell r="AF179">
            <v>0</v>
          </cell>
          <cell r="AG179">
            <v>790877</v>
          </cell>
          <cell r="AH179">
            <v>562569</v>
          </cell>
        </row>
        <row r="180">
          <cell r="H180">
            <v>287000</v>
          </cell>
          <cell r="I180" t="str">
            <v>6612</v>
          </cell>
          <cell r="L180" t="str">
            <v>Est - Lbr - Arrears / Lts</v>
          </cell>
          <cell r="M180" t="e">
            <v>#N/A</v>
          </cell>
          <cell r="N180" t="e">
            <v>#REF!</v>
          </cell>
          <cell r="O180" t="str">
            <v>E</v>
          </cell>
          <cell r="P180">
            <v>0</v>
          </cell>
          <cell r="Q180">
            <v>0</v>
          </cell>
          <cell r="R180">
            <v>0</v>
          </cell>
          <cell r="T180">
            <v>0</v>
          </cell>
          <cell r="U180">
            <v>0</v>
          </cell>
          <cell r="V180">
            <v>0</v>
          </cell>
          <cell r="X180">
            <v>0</v>
          </cell>
          <cell r="Y180">
            <v>0</v>
          </cell>
          <cell r="Z180">
            <v>0</v>
          </cell>
          <cell r="AB180">
            <v>0</v>
          </cell>
          <cell r="AC180">
            <v>0</v>
          </cell>
          <cell r="AD180">
            <v>0</v>
          </cell>
          <cell r="AF180">
            <v>0</v>
          </cell>
          <cell r="AG180">
            <v>0</v>
          </cell>
          <cell r="AH180">
            <v>0</v>
          </cell>
        </row>
        <row r="181">
          <cell r="H181">
            <v>288000</v>
          </cell>
          <cell r="I181" t="str">
            <v>6615</v>
          </cell>
          <cell r="L181" t="str">
            <v>Est Lbr - Da</v>
          </cell>
          <cell r="M181" t="e">
            <v>#N/A</v>
          </cell>
          <cell r="N181" t="e">
            <v>#REF!</v>
          </cell>
          <cell r="O181" t="str">
            <v>E</v>
          </cell>
          <cell r="P181">
            <v>0</v>
          </cell>
          <cell r="Q181">
            <v>2110578</v>
          </cell>
          <cell r="R181">
            <v>2001187</v>
          </cell>
          <cell r="T181">
            <v>0</v>
          </cell>
          <cell r="U181">
            <v>0</v>
          </cell>
          <cell r="V181">
            <v>0</v>
          </cell>
          <cell r="X181">
            <v>0</v>
          </cell>
          <cell r="Y181">
            <v>0</v>
          </cell>
          <cell r="Z181">
            <v>0</v>
          </cell>
          <cell r="AB181">
            <v>0</v>
          </cell>
          <cell r="AC181">
            <v>1260276</v>
          </cell>
          <cell r="AD181">
            <v>1414975</v>
          </cell>
          <cell r="AF181">
            <v>0</v>
          </cell>
          <cell r="AG181">
            <v>850302</v>
          </cell>
          <cell r="AH181">
            <v>586212</v>
          </cell>
        </row>
        <row r="182">
          <cell r="H182">
            <v>289000</v>
          </cell>
          <cell r="I182" t="str">
            <v>6620</v>
          </cell>
          <cell r="L182" t="str">
            <v>Est Lbr - House Rent Allowance</v>
          </cell>
          <cell r="M182" t="e">
            <v>#N/A</v>
          </cell>
          <cell r="N182" t="e">
            <v>#REF!</v>
          </cell>
          <cell r="O182" t="str">
            <v>E</v>
          </cell>
          <cell r="P182">
            <v>0</v>
          </cell>
          <cell r="Q182">
            <v>746845</v>
          </cell>
          <cell r="R182">
            <v>549379</v>
          </cell>
          <cell r="T182">
            <v>0</v>
          </cell>
          <cell r="U182">
            <v>0</v>
          </cell>
          <cell r="V182">
            <v>0</v>
          </cell>
          <cell r="X182">
            <v>0</v>
          </cell>
          <cell r="Y182">
            <v>0</v>
          </cell>
          <cell r="Z182">
            <v>0</v>
          </cell>
          <cell r="AB182">
            <v>0</v>
          </cell>
          <cell r="AC182">
            <v>548068</v>
          </cell>
          <cell r="AD182">
            <v>408736</v>
          </cell>
          <cell r="AF182">
            <v>0</v>
          </cell>
          <cell r="AG182">
            <v>198777</v>
          </cell>
          <cell r="AH182">
            <v>140643</v>
          </cell>
        </row>
        <row r="183">
          <cell r="H183">
            <v>290000</v>
          </cell>
          <cell r="I183" t="str">
            <v>6625</v>
          </cell>
          <cell r="L183" t="str">
            <v>Est Lbr - Education Transport Canteen  Allowance</v>
          </cell>
          <cell r="M183" t="e">
            <v>#N/A</v>
          </cell>
          <cell r="N183" t="e">
            <v>#REF!</v>
          </cell>
          <cell r="O183" t="str">
            <v>E</v>
          </cell>
          <cell r="P183">
            <v>0</v>
          </cell>
          <cell r="Q183">
            <v>706056</v>
          </cell>
          <cell r="R183">
            <v>58931</v>
          </cell>
          <cell r="T183">
            <v>0</v>
          </cell>
          <cell r="U183">
            <v>0</v>
          </cell>
          <cell r="V183">
            <v>0</v>
          </cell>
          <cell r="X183">
            <v>0</v>
          </cell>
          <cell r="Y183">
            <v>0</v>
          </cell>
          <cell r="Z183">
            <v>0</v>
          </cell>
          <cell r="AB183">
            <v>0</v>
          </cell>
          <cell r="AC183">
            <v>65072</v>
          </cell>
          <cell r="AD183">
            <v>58931</v>
          </cell>
          <cell r="AF183">
            <v>0</v>
          </cell>
          <cell r="AG183">
            <v>640984</v>
          </cell>
          <cell r="AH183">
            <v>0</v>
          </cell>
        </row>
        <row r="184">
          <cell r="H184">
            <v>291000</v>
          </cell>
          <cell r="I184" t="str">
            <v>6630</v>
          </cell>
          <cell r="L184" t="str">
            <v>Est Lbr - Special Allowance</v>
          </cell>
          <cell r="M184" t="e">
            <v>#N/A</v>
          </cell>
          <cell r="N184" t="e">
            <v>#REF!</v>
          </cell>
          <cell r="O184" t="str">
            <v>E</v>
          </cell>
          <cell r="P184">
            <v>0</v>
          </cell>
          <cell r="Q184">
            <v>445626</v>
          </cell>
          <cell r="R184">
            <v>232998</v>
          </cell>
          <cell r="T184">
            <v>0</v>
          </cell>
          <cell r="U184">
            <v>0</v>
          </cell>
          <cell r="V184">
            <v>0</v>
          </cell>
          <cell r="X184">
            <v>0</v>
          </cell>
          <cell r="Y184">
            <v>0</v>
          </cell>
          <cell r="Z184">
            <v>0</v>
          </cell>
          <cell r="AB184">
            <v>0</v>
          </cell>
          <cell r="AC184">
            <v>0</v>
          </cell>
          <cell r="AD184">
            <v>0</v>
          </cell>
          <cell r="AF184">
            <v>0</v>
          </cell>
          <cell r="AG184">
            <v>445626</v>
          </cell>
          <cell r="AH184">
            <v>232998</v>
          </cell>
        </row>
        <row r="185">
          <cell r="H185">
            <v>292000</v>
          </cell>
          <cell r="I185" t="str">
            <v>6631</v>
          </cell>
          <cell r="L185" t="str">
            <v>Est Lbr - Plating &amp; Night Shift Allowance</v>
          </cell>
          <cell r="M185" t="e">
            <v>#N/A</v>
          </cell>
          <cell r="N185" t="e">
            <v>#REF!</v>
          </cell>
          <cell r="O185" t="str">
            <v>E</v>
          </cell>
          <cell r="P185">
            <v>0</v>
          </cell>
          <cell r="Q185">
            <v>0</v>
          </cell>
          <cell r="R185">
            <v>0</v>
          </cell>
          <cell r="T185">
            <v>0</v>
          </cell>
          <cell r="U185">
            <v>0</v>
          </cell>
          <cell r="V185">
            <v>0</v>
          </cell>
          <cell r="X185">
            <v>0</v>
          </cell>
          <cell r="Y185">
            <v>0</v>
          </cell>
          <cell r="Z185">
            <v>0</v>
          </cell>
          <cell r="AB185">
            <v>0</v>
          </cell>
          <cell r="AC185">
            <v>0</v>
          </cell>
          <cell r="AD185">
            <v>0</v>
          </cell>
          <cell r="AF185">
            <v>0</v>
          </cell>
          <cell r="AG185">
            <v>0</v>
          </cell>
          <cell r="AH185">
            <v>0</v>
          </cell>
        </row>
        <row r="186">
          <cell r="H186">
            <v>293000</v>
          </cell>
          <cell r="I186" t="str">
            <v>6635</v>
          </cell>
          <cell r="L186" t="str">
            <v>Est Lbr - Shift Allowance</v>
          </cell>
          <cell r="M186" t="e">
            <v>#N/A</v>
          </cell>
          <cell r="N186" t="e">
            <v>#REF!</v>
          </cell>
          <cell r="O186" t="str">
            <v>E</v>
          </cell>
          <cell r="P186">
            <v>0</v>
          </cell>
          <cell r="Q186">
            <v>0</v>
          </cell>
          <cell r="R186">
            <v>0</v>
          </cell>
          <cell r="T186">
            <v>0</v>
          </cell>
          <cell r="U186">
            <v>0</v>
          </cell>
          <cell r="V186">
            <v>0</v>
          </cell>
          <cell r="X186">
            <v>0</v>
          </cell>
          <cell r="Y186">
            <v>0</v>
          </cell>
          <cell r="Z186">
            <v>0</v>
          </cell>
          <cell r="AB186">
            <v>0</v>
          </cell>
          <cell r="AC186">
            <v>0</v>
          </cell>
          <cell r="AD186">
            <v>0</v>
          </cell>
          <cell r="AF186">
            <v>0</v>
          </cell>
          <cell r="AG186">
            <v>0</v>
          </cell>
          <cell r="AH186">
            <v>0</v>
          </cell>
        </row>
        <row r="187">
          <cell r="H187">
            <v>294000</v>
          </cell>
          <cell r="I187" t="str">
            <v>6636</v>
          </cell>
          <cell r="L187" t="str">
            <v>Est Lbr - Medical Allowance</v>
          </cell>
          <cell r="M187" t="e">
            <v>#N/A</v>
          </cell>
          <cell r="N187" t="e">
            <v>#REF!</v>
          </cell>
          <cell r="O187" t="str">
            <v>E</v>
          </cell>
          <cell r="P187">
            <v>0</v>
          </cell>
          <cell r="Q187">
            <v>0</v>
          </cell>
          <cell r="R187">
            <v>0</v>
          </cell>
          <cell r="T187">
            <v>0</v>
          </cell>
          <cell r="U187">
            <v>0</v>
          </cell>
          <cell r="V187">
            <v>0</v>
          </cell>
          <cell r="X187">
            <v>0</v>
          </cell>
          <cell r="Y187">
            <v>0</v>
          </cell>
          <cell r="Z187">
            <v>0</v>
          </cell>
          <cell r="AB187">
            <v>0</v>
          </cell>
          <cell r="AC187">
            <v>0</v>
          </cell>
          <cell r="AD187">
            <v>0</v>
          </cell>
          <cell r="AF187">
            <v>0</v>
          </cell>
          <cell r="AG187">
            <v>0</v>
          </cell>
          <cell r="AH187">
            <v>0</v>
          </cell>
        </row>
        <row r="188">
          <cell r="H188">
            <v>295000</v>
          </cell>
          <cell r="I188" t="str">
            <v>6645</v>
          </cell>
          <cell r="L188" t="str">
            <v>Est Lbr - Overtime</v>
          </cell>
          <cell r="M188" t="e">
            <v>#N/A</v>
          </cell>
          <cell r="N188" t="e">
            <v>#REF!</v>
          </cell>
          <cell r="O188" t="str">
            <v>E</v>
          </cell>
          <cell r="P188">
            <v>0</v>
          </cell>
          <cell r="Q188">
            <v>1579978</v>
          </cell>
          <cell r="R188">
            <v>1093886</v>
          </cell>
          <cell r="T188">
            <v>0</v>
          </cell>
          <cell r="U188">
            <v>0</v>
          </cell>
          <cell r="V188">
            <v>0</v>
          </cell>
          <cell r="X188">
            <v>0</v>
          </cell>
          <cell r="Y188">
            <v>0</v>
          </cell>
          <cell r="Z188">
            <v>0</v>
          </cell>
          <cell r="AB188">
            <v>0</v>
          </cell>
          <cell r="AC188">
            <v>0</v>
          </cell>
          <cell r="AD188">
            <v>0</v>
          </cell>
          <cell r="AF188">
            <v>0</v>
          </cell>
          <cell r="AG188">
            <v>1579978</v>
          </cell>
          <cell r="AH188">
            <v>1093886</v>
          </cell>
        </row>
        <row r="189">
          <cell r="G189">
            <v>13233</v>
          </cell>
          <cell r="H189">
            <v>296000</v>
          </cell>
          <cell r="I189" t="str">
            <v>6650</v>
          </cell>
          <cell r="L189" t="str">
            <v>Est Lbr - Lta</v>
          </cell>
          <cell r="M189" t="str">
            <v>LEAVE TRAVEL ASSISTANCE (WORKERS) (6650)</v>
          </cell>
          <cell r="N189" t="e">
            <v>#REF!</v>
          </cell>
          <cell r="O189" t="str">
            <v>E</v>
          </cell>
          <cell r="P189">
            <v>0</v>
          </cell>
          <cell r="Q189">
            <v>2515087</v>
          </cell>
          <cell r="R189">
            <v>2382150</v>
          </cell>
          <cell r="T189">
            <v>0</v>
          </cell>
          <cell r="U189">
            <v>1292400</v>
          </cell>
          <cell r="V189">
            <v>1261600</v>
          </cell>
          <cell r="X189">
            <v>0</v>
          </cell>
          <cell r="Y189">
            <v>953195</v>
          </cell>
          <cell r="Z189">
            <v>934800</v>
          </cell>
          <cell r="AB189">
            <v>0</v>
          </cell>
          <cell r="AC189">
            <v>190075</v>
          </cell>
          <cell r="AD189">
            <v>140175</v>
          </cell>
          <cell r="AF189">
            <v>0</v>
          </cell>
          <cell r="AG189">
            <v>79417</v>
          </cell>
          <cell r="AH189">
            <v>45575</v>
          </cell>
        </row>
        <row r="190">
          <cell r="H190">
            <v>297000</v>
          </cell>
          <cell r="I190" t="str">
            <v>6651</v>
          </cell>
          <cell r="L190" t="str">
            <v>Est Lbr - Relocation Allow</v>
          </cell>
          <cell r="M190" t="e">
            <v>#N/A</v>
          </cell>
          <cell r="N190" t="e">
            <v>#REF!</v>
          </cell>
          <cell r="O190" t="str">
            <v>E</v>
          </cell>
          <cell r="P190">
            <v>0</v>
          </cell>
          <cell r="Q190">
            <v>233435</v>
          </cell>
          <cell r="R190">
            <v>148701</v>
          </cell>
          <cell r="T190">
            <v>0</v>
          </cell>
          <cell r="U190">
            <v>0</v>
          </cell>
          <cell r="V190">
            <v>0</v>
          </cell>
          <cell r="X190">
            <v>0</v>
          </cell>
          <cell r="Y190">
            <v>0</v>
          </cell>
          <cell r="Z190">
            <v>0</v>
          </cell>
          <cell r="AB190">
            <v>0</v>
          </cell>
          <cell r="AC190">
            <v>233435</v>
          </cell>
          <cell r="AD190">
            <v>148701</v>
          </cell>
          <cell r="AF190">
            <v>0</v>
          </cell>
          <cell r="AG190">
            <v>0</v>
          </cell>
          <cell r="AH190">
            <v>0</v>
          </cell>
        </row>
        <row r="191">
          <cell r="H191">
            <v>298000</v>
          </cell>
          <cell r="I191" t="str">
            <v>0066</v>
          </cell>
          <cell r="L191" t="str">
            <v>Est - Lbr Re-Location  Allowance</v>
          </cell>
          <cell r="M191" t="e">
            <v>#N/A</v>
          </cell>
          <cell r="N191" t="e">
            <v>#REF!</v>
          </cell>
          <cell r="O191" t="str">
            <v>E</v>
          </cell>
          <cell r="Q191">
            <v>0</v>
          </cell>
          <cell r="R191">
            <v>0</v>
          </cell>
          <cell r="U191">
            <v>0</v>
          </cell>
          <cell r="V191">
            <v>0</v>
          </cell>
          <cell r="Y191">
            <v>0</v>
          </cell>
          <cell r="Z191">
            <v>0</v>
          </cell>
          <cell r="AC191">
            <v>0</v>
          </cell>
          <cell r="AD191">
            <v>0</v>
          </cell>
          <cell r="AG191">
            <v>0</v>
          </cell>
          <cell r="AH191">
            <v>0</v>
          </cell>
        </row>
        <row r="192">
          <cell r="H192">
            <v>299000</v>
          </cell>
          <cell r="I192" t="str">
            <v>6652</v>
          </cell>
          <cell r="L192" t="str">
            <v>Est Lbr - Prpduction Incentive</v>
          </cell>
          <cell r="M192" t="e">
            <v>#N/A</v>
          </cell>
          <cell r="N192" t="e">
            <v>#REF!</v>
          </cell>
          <cell r="O192" t="str">
            <v>E</v>
          </cell>
          <cell r="P192">
            <v>0</v>
          </cell>
          <cell r="Q192">
            <v>635594</v>
          </cell>
          <cell r="R192">
            <v>662130</v>
          </cell>
          <cell r="T192">
            <v>0</v>
          </cell>
          <cell r="U192">
            <v>0</v>
          </cell>
          <cell r="V192">
            <v>0</v>
          </cell>
          <cell r="X192">
            <v>0</v>
          </cell>
          <cell r="Y192">
            <v>0</v>
          </cell>
          <cell r="Z192">
            <v>0</v>
          </cell>
          <cell r="AB192">
            <v>0</v>
          </cell>
          <cell r="AC192">
            <v>635594</v>
          </cell>
          <cell r="AD192">
            <v>662130</v>
          </cell>
          <cell r="AF192">
            <v>0</v>
          </cell>
          <cell r="AG192">
            <v>0</v>
          </cell>
          <cell r="AH192">
            <v>0</v>
          </cell>
        </row>
        <row r="193">
          <cell r="H193">
            <v>300000</v>
          </cell>
          <cell r="I193" t="str">
            <v>6653</v>
          </cell>
          <cell r="L193" t="str">
            <v>Est Lbr - Attendance Bonus</v>
          </cell>
          <cell r="M193" t="e">
            <v>#N/A</v>
          </cell>
          <cell r="N193" t="e">
            <v>#REF!</v>
          </cell>
          <cell r="O193" t="str">
            <v>E</v>
          </cell>
          <cell r="P193">
            <v>0</v>
          </cell>
          <cell r="Q193">
            <v>73000</v>
          </cell>
          <cell r="R193">
            <v>68000</v>
          </cell>
          <cell r="T193">
            <v>0</v>
          </cell>
          <cell r="U193">
            <v>0</v>
          </cell>
          <cell r="V193">
            <v>0</v>
          </cell>
          <cell r="X193">
            <v>0</v>
          </cell>
          <cell r="Y193">
            <v>0</v>
          </cell>
          <cell r="Z193">
            <v>0</v>
          </cell>
          <cell r="AB193">
            <v>0</v>
          </cell>
          <cell r="AC193">
            <v>73000</v>
          </cell>
          <cell r="AD193">
            <v>68000</v>
          </cell>
          <cell r="AF193">
            <v>0</v>
          </cell>
          <cell r="AG193">
            <v>0</v>
          </cell>
          <cell r="AH193">
            <v>0</v>
          </cell>
        </row>
        <row r="194">
          <cell r="H194">
            <v>301000</v>
          </cell>
          <cell r="I194" t="str">
            <v>6654</v>
          </cell>
          <cell r="L194" t="str">
            <v>Est Lbr - Multi Machine Maint Allow</v>
          </cell>
          <cell r="M194" t="e">
            <v>#N/A</v>
          </cell>
          <cell r="N194" t="e">
            <v>#REF!</v>
          </cell>
          <cell r="O194" t="str">
            <v>E</v>
          </cell>
          <cell r="P194">
            <v>0</v>
          </cell>
          <cell r="Q194">
            <v>0</v>
          </cell>
          <cell r="R194">
            <v>0</v>
          </cell>
          <cell r="T194">
            <v>0</v>
          </cell>
          <cell r="U194">
            <v>0</v>
          </cell>
          <cell r="V194">
            <v>0</v>
          </cell>
          <cell r="X194">
            <v>0</v>
          </cell>
          <cell r="Y194">
            <v>0</v>
          </cell>
          <cell r="Z194">
            <v>0</v>
          </cell>
          <cell r="AB194">
            <v>0</v>
          </cell>
          <cell r="AC194">
            <v>0</v>
          </cell>
          <cell r="AD194">
            <v>0</v>
          </cell>
          <cell r="AF194">
            <v>0</v>
          </cell>
          <cell r="AG194">
            <v>0</v>
          </cell>
          <cell r="AH194">
            <v>0</v>
          </cell>
        </row>
        <row r="195">
          <cell r="H195">
            <v>302000</v>
          </cell>
          <cell r="I195" t="str">
            <v>6655</v>
          </cell>
          <cell r="L195" t="str">
            <v>Est Lbr - Bonus</v>
          </cell>
          <cell r="M195" t="e">
            <v>#N/A</v>
          </cell>
          <cell r="N195" t="e">
            <v>#REF!</v>
          </cell>
          <cell r="O195" t="str">
            <v>E</v>
          </cell>
          <cell r="P195">
            <v>0</v>
          </cell>
          <cell r="Q195">
            <v>419403</v>
          </cell>
          <cell r="R195">
            <v>389009</v>
          </cell>
          <cell r="T195">
            <v>0</v>
          </cell>
          <cell r="U195">
            <v>0</v>
          </cell>
          <cell r="V195">
            <v>0</v>
          </cell>
          <cell r="X195">
            <v>0</v>
          </cell>
          <cell r="Y195">
            <v>0</v>
          </cell>
          <cell r="Z195">
            <v>0</v>
          </cell>
          <cell r="AB195">
            <v>0</v>
          </cell>
          <cell r="AC195">
            <v>318549</v>
          </cell>
          <cell r="AD195">
            <v>293312</v>
          </cell>
          <cell r="AF195">
            <v>0</v>
          </cell>
          <cell r="AG195">
            <v>100854</v>
          </cell>
          <cell r="AH195">
            <v>95697</v>
          </cell>
        </row>
        <row r="196">
          <cell r="G196">
            <v>13235</v>
          </cell>
          <cell r="H196">
            <v>303000</v>
          </cell>
          <cell r="I196" t="str">
            <v>6660</v>
          </cell>
          <cell r="L196" t="str">
            <v>Est Lbr - Exgratia</v>
          </cell>
          <cell r="M196" t="str">
            <v>EXGRATIA (WORKERS) (6660)</v>
          </cell>
          <cell r="N196" t="e">
            <v>#REF!</v>
          </cell>
          <cell r="O196" t="str">
            <v>E</v>
          </cell>
          <cell r="P196">
            <v>0</v>
          </cell>
          <cell r="Q196">
            <v>4912524</v>
          </cell>
          <cell r="R196">
            <v>3785399</v>
          </cell>
          <cell r="T196">
            <v>0</v>
          </cell>
          <cell r="U196">
            <v>3515206</v>
          </cell>
          <cell r="V196">
            <v>3499022</v>
          </cell>
          <cell r="X196">
            <v>0</v>
          </cell>
          <cell r="Y196">
            <v>1397318</v>
          </cell>
          <cell r="Z196">
            <v>286377</v>
          </cell>
          <cell r="AB196">
            <v>0</v>
          </cell>
          <cell r="AC196">
            <v>0</v>
          </cell>
          <cell r="AD196">
            <v>0</v>
          </cell>
          <cell r="AF196">
            <v>0</v>
          </cell>
          <cell r="AG196">
            <v>0</v>
          </cell>
          <cell r="AH196">
            <v>0</v>
          </cell>
        </row>
        <row r="197">
          <cell r="H197">
            <v>304000</v>
          </cell>
          <cell r="I197" t="str">
            <v>6693</v>
          </cell>
          <cell r="L197" t="str">
            <v>Est Lbr - Multi Machine Manning Allow. (Wages)</v>
          </cell>
          <cell r="M197" t="e">
            <v>#N/A</v>
          </cell>
          <cell r="N197" t="e">
            <v>#REF!</v>
          </cell>
          <cell r="O197" t="str">
            <v>E</v>
          </cell>
          <cell r="Q197">
            <v>0</v>
          </cell>
          <cell r="R197">
            <v>0</v>
          </cell>
          <cell r="U197">
            <v>0</v>
          </cell>
          <cell r="V197">
            <v>0</v>
          </cell>
          <cell r="Y197">
            <v>0</v>
          </cell>
          <cell r="Z197">
            <v>0</v>
          </cell>
          <cell r="AC197">
            <v>0</v>
          </cell>
          <cell r="AD197">
            <v>0</v>
          </cell>
          <cell r="AG197">
            <v>0</v>
          </cell>
          <cell r="AH197">
            <v>0</v>
          </cell>
        </row>
        <row r="198">
          <cell r="H198">
            <v>305000</v>
          </cell>
          <cell r="I198" t="str">
            <v>6694</v>
          </cell>
          <cell r="L198" t="str">
            <v>Est Lbr - Medical Allow (Wages)</v>
          </cell>
          <cell r="M198" t="e">
            <v>#N/A</v>
          </cell>
          <cell r="N198" t="e">
            <v>#REF!</v>
          </cell>
          <cell r="O198" t="str">
            <v>E</v>
          </cell>
          <cell r="Q198">
            <v>0</v>
          </cell>
          <cell r="R198">
            <v>0</v>
          </cell>
          <cell r="U198">
            <v>0</v>
          </cell>
          <cell r="V198">
            <v>0</v>
          </cell>
          <cell r="Y198">
            <v>0</v>
          </cell>
          <cell r="Z198">
            <v>0</v>
          </cell>
          <cell r="AC198">
            <v>0</v>
          </cell>
          <cell r="AD198">
            <v>0</v>
          </cell>
          <cell r="AG198">
            <v>0</v>
          </cell>
          <cell r="AH198">
            <v>0</v>
          </cell>
        </row>
        <row r="199">
          <cell r="H199">
            <v>306000</v>
          </cell>
          <cell r="I199" t="str">
            <v>6696</v>
          </cell>
          <cell r="L199" t="str">
            <v>Est Lbr Medical Allowance</v>
          </cell>
          <cell r="M199" t="e">
            <v>#N/A</v>
          </cell>
          <cell r="N199" t="e">
            <v>#REF!</v>
          </cell>
          <cell r="O199" t="str">
            <v>E</v>
          </cell>
          <cell r="Q199">
            <v>0</v>
          </cell>
          <cell r="R199">
            <v>0</v>
          </cell>
          <cell r="U199">
            <v>0</v>
          </cell>
          <cell r="V199">
            <v>0</v>
          </cell>
          <cell r="Y199">
            <v>0</v>
          </cell>
          <cell r="Z199">
            <v>0</v>
          </cell>
          <cell r="AC199">
            <v>0</v>
          </cell>
          <cell r="AD199">
            <v>0</v>
          </cell>
          <cell r="AG199">
            <v>0</v>
          </cell>
          <cell r="AH199">
            <v>0</v>
          </cell>
        </row>
        <row r="200">
          <cell r="H200">
            <v>307000</v>
          </cell>
          <cell r="I200" t="str">
            <v>6710</v>
          </cell>
          <cell r="L200" t="str">
            <v>Est Cas -  Basic</v>
          </cell>
          <cell r="M200" t="e">
            <v>#N/A</v>
          </cell>
          <cell r="N200" t="e">
            <v>#REF!</v>
          </cell>
          <cell r="O200" t="str">
            <v>E</v>
          </cell>
          <cell r="P200">
            <v>0</v>
          </cell>
          <cell r="Q200">
            <v>0</v>
          </cell>
          <cell r="R200">
            <v>0</v>
          </cell>
          <cell r="T200">
            <v>0</v>
          </cell>
          <cell r="U200">
            <v>0</v>
          </cell>
          <cell r="V200">
            <v>0</v>
          </cell>
          <cell r="X200">
            <v>0</v>
          </cell>
          <cell r="Y200">
            <v>0</v>
          </cell>
          <cell r="Z200">
            <v>0</v>
          </cell>
          <cell r="AB200">
            <v>0</v>
          </cell>
          <cell r="AC200">
            <v>0</v>
          </cell>
          <cell r="AD200">
            <v>0</v>
          </cell>
          <cell r="AF200">
            <v>0</v>
          </cell>
          <cell r="AG200">
            <v>0</v>
          </cell>
          <cell r="AH200">
            <v>0</v>
          </cell>
        </row>
        <row r="201">
          <cell r="H201">
            <v>308000</v>
          </cell>
          <cell r="I201" t="str">
            <v>6720</v>
          </cell>
          <cell r="L201" t="str">
            <v>Est Cas - House Rent Allowance</v>
          </cell>
          <cell r="M201" t="e">
            <v>#N/A</v>
          </cell>
          <cell r="N201" t="e">
            <v>#REF!</v>
          </cell>
          <cell r="O201" t="str">
            <v>E</v>
          </cell>
          <cell r="P201">
            <v>0</v>
          </cell>
          <cell r="Q201">
            <v>0</v>
          </cell>
          <cell r="R201">
            <v>0</v>
          </cell>
          <cell r="T201">
            <v>0</v>
          </cell>
          <cell r="U201">
            <v>0</v>
          </cell>
          <cell r="V201">
            <v>0</v>
          </cell>
          <cell r="X201">
            <v>0</v>
          </cell>
          <cell r="Y201">
            <v>0</v>
          </cell>
          <cell r="Z201">
            <v>0</v>
          </cell>
          <cell r="AB201">
            <v>0</v>
          </cell>
          <cell r="AC201">
            <v>0</v>
          </cell>
          <cell r="AD201">
            <v>0</v>
          </cell>
          <cell r="AF201">
            <v>0</v>
          </cell>
          <cell r="AG201">
            <v>0</v>
          </cell>
          <cell r="AH201">
            <v>0</v>
          </cell>
        </row>
        <row r="202">
          <cell r="H202">
            <v>309000</v>
          </cell>
          <cell r="I202" t="str">
            <v>6730</v>
          </cell>
          <cell r="L202" t="str">
            <v>Est Cas - Overtime</v>
          </cell>
          <cell r="M202" t="e">
            <v>#N/A</v>
          </cell>
          <cell r="N202" t="e">
            <v>#REF!</v>
          </cell>
          <cell r="O202" t="str">
            <v>E</v>
          </cell>
          <cell r="P202">
            <v>0</v>
          </cell>
          <cell r="Q202">
            <v>0</v>
          </cell>
          <cell r="R202">
            <v>0</v>
          </cell>
          <cell r="T202">
            <v>0</v>
          </cell>
          <cell r="U202">
            <v>0</v>
          </cell>
          <cell r="V202">
            <v>0</v>
          </cell>
          <cell r="X202">
            <v>0</v>
          </cell>
          <cell r="Y202">
            <v>0</v>
          </cell>
          <cell r="Z202">
            <v>0</v>
          </cell>
          <cell r="AB202">
            <v>0</v>
          </cell>
          <cell r="AC202">
            <v>0</v>
          </cell>
          <cell r="AD202">
            <v>0</v>
          </cell>
          <cell r="AF202">
            <v>0</v>
          </cell>
          <cell r="AG202">
            <v>0</v>
          </cell>
          <cell r="AH202">
            <v>0</v>
          </cell>
        </row>
        <row r="203">
          <cell r="H203">
            <v>310000</v>
          </cell>
          <cell r="I203" t="str">
            <v>6740</v>
          </cell>
          <cell r="L203" t="str">
            <v>Est Cas - Bonus</v>
          </cell>
          <cell r="M203" t="e">
            <v>#N/A</v>
          </cell>
          <cell r="N203" t="e">
            <v>#REF!</v>
          </cell>
          <cell r="O203" t="str">
            <v>E</v>
          </cell>
          <cell r="Q203">
            <v>0</v>
          </cell>
          <cell r="R203">
            <v>0</v>
          </cell>
          <cell r="U203">
            <v>0</v>
          </cell>
          <cell r="V203">
            <v>0</v>
          </cell>
          <cell r="Y203">
            <v>0</v>
          </cell>
          <cell r="Z203">
            <v>0</v>
          </cell>
          <cell r="AC203">
            <v>0</v>
          </cell>
          <cell r="AD203">
            <v>0</v>
          </cell>
          <cell r="AG203">
            <v>0</v>
          </cell>
          <cell r="AH203">
            <v>0</v>
          </cell>
        </row>
        <row r="204">
          <cell r="H204">
            <v>311000</v>
          </cell>
          <cell r="I204" t="str">
            <v>6492</v>
          </cell>
          <cell r="L204" t="str">
            <v>Est-Labour-Mediclaim Service Expenses</v>
          </cell>
          <cell r="M204" t="e">
            <v>#N/A</v>
          </cell>
          <cell r="N204" t="e">
            <v>#REF!</v>
          </cell>
          <cell r="O204" t="str">
            <v>E</v>
          </cell>
          <cell r="Q204">
            <v>0</v>
          </cell>
          <cell r="R204">
            <v>0</v>
          </cell>
          <cell r="U204">
            <v>0</v>
          </cell>
          <cell r="V204">
            <v>0</v>
          </cell>
          <cell r="Y204">
            <v>0</v>
          </cell>
          <cell r="Z204">
            <v>0</v>
          </cell>
          <cell r="AC204">
            <v>0</v>
          </cell>
          <cell r="AD204">
            <v>0</v>
          </cell>
          <cell r="AG204">
            <v>0</v>
          </cell>
          <cell r="AH204">
            <v>0</v>
          </cell>
        </row>
        <row r="205">
          <cell r="G205">
            <v>13300</v>
          </cell>
          <cell r="H205">
            <v>312000</v>
          </cell>
          <cell r="I205" t="str">
            <v>6695</v>
          </cell>
          <cell r="L205" t="str">
            <v>Est Lbr - Medical Expenses</v>
          </cell>
          <cell r="M205" t="str">
            <v>MEDICAL EXPENSES (WORKERS) (6695)</v>
          </cell>
          <cell r="N205" t="e">
            <v>#REF!</v>
          </cell>
          <cell r="O205" t="str">
            <v>E</v>
          </cell>
          <cell r="Q205">
            <v>2137409</v>
          </cell>
          <cell r="R205">
            <v>3054744</v>
          </cell>
          <cell r="U205">
            <v>1412306</v>
          </cell>
          <cell r="V205">
            <v>1885347</v>
          </cell>
          <cell r="Y205">
            <v>514070</v>
          </cell>
          <cell r="Z205">
            <v>1029082</v>
          </cell>
          <cell r="AC205">
            <v>190075</v>
          </cell>
          <cell r="AD205">
            <v>140175</v>
          </cell>
          <cell r="AG205">
            <v>20958</v>
          </cell>
          <cell r="AH205">
            <v>140</v>
          </cell>
        </row>
        <row r="206">
          <cell r="G206">
            <v>13301</v>
          </cell>
          <cell r="H206">
            <v>313000</v>
          </cell>
          <cell r="L206" t="str">
            <v>Mediclaim - (Workers)</v>
          </cell>
          <cell r="M206" t="str">
            <v>MEDICLAIM (WORKERS)</v>
          </cell>
          <cell r="N206" t="e">
            <v>#REF!</v>
          </cell>
          <cell r="O206" t="str">
            <v>E</v>
          </cell>
          <cell r="Q206">
            <v>1451604</v>
          </cell>
          <cell r="R206">
            <v>1121818</v>
          </cell>
          <cell r="U206">
            <v>822674</v>
          </cell>
          <cell r="V206">
            <v>736749</v>
          </cell>
          <cell r="Y206">
            <v>628930</v>
          </cell>
          <cell r="Z206">
            <v>385069</v>
          </cell>
          <cell r="AC206">
            <v>0</v>
          </cell>
          <cell r="AD206">
            <v>0</v>
          </cell>
          <cell r="AG206">
            <v>0</v>
          </cell>
          <cell r="AH206">
            <v>0</v>
          </cell>
        </row>
        <row r="207">
          <cell r="H207">
            <v>315000</v>
          </cell>
          <cell r="I207" t="str">
            <v>7396</v>
          </cell>
          <cell r="L207" t="str">
            <v>Attendant Wages At Resi.</v>
          </cell>
          <cell r="M207" t="e">
            <v>#N/A</v>
          </cell>
          <cell r="N207" t="e">
            <v>#REF!</v>
          </cell>
          <cell r="O207" t="str">
            <v>E</v>
          </cell>
          <cell r="Q207">
            <v>0</v>
          </cell>
          <cell r="R207">
            <v>0</v>
          </cell>
          <cell r="U207">
            <v>0</v>
          </cell>
          <cell r="V207">
            <v>0</v>
          </cell>
          <cell r="Y207">
            <v>0</v>
          </cell>
          <cell r="Z207">
            <v>0</v>
          </cell>
          <cell r="AC207">
            <v>0</v>
          </cell>
          <cell r="AD207">
            <v>0</v>
          </cell>
          <cell r="AG207">
            <v>0</v>
          </cell>
          <cell r="AH207">
            <v>0</v>
          </cell>
        </row>
        <row r="208">
          <cell r="H208">
            <v>316000</v>
          </cell>
          <cell r="I208" t="str">
            <v>7426</v>
          </cell>
          <cell r="L208" t="str">
            <v>Admn Charges On Dlif</v>
          </cell>
          <cell r="M208" t="e">
            <v>#N/A</v>
          </cell>
          <cell r="N208" t="e">
            <v>#REF!</v>
          </cell>
          <cell r="O208" t="str">
            <v>E</v>
          </cell>
          <cell r="Q208">
            <v>24325</v>
          </cell>
          <cell r="R208">
            <v>17639</v>
          </cell>
          <cell r="U208">
            <v>0</v>
          </cell>
          <cell r="V208">
            <v>0</v>
          </cell>
          <cell r="Y208">
            <v>0</v>
          </cell>
          <cell r="Z208">
            <v>0</v>
          </cell>
          <cell r="AC208">
            <v>24325</v>
          </cell>
          <cell r="AD208">
            <v>17639</v>
          </cell>
          <cell r="AG208">
            <v>0</v>
          </cell>
          <cell r="AH208">
            <v>0</v>
          </cell>
        </row>
        <row r="209">
          <cell r="H209">
            <v>317000</v>
          </cell>
          <cell r="L209" t="str">
            <v>Excess Provision trf from Contribution</v>
          </cell>
          <cell r="O209" t="str">
            <v>E</v>
          </cell>
          <cell r="Q209">
            <v>0</v>
          </cell>
          <cell r="R209">
            <v>0</v>
          </cell>
          <cell r="T209">
            <v>0</v>
          </cell>
          <cell r="U209">
            <v>0</v>
          </cell>
          <cell r="V209">
            <v>0</v>
          </cell>
          <cell r="X209">
            <v>0</v>
          </cell>
          <cell r="Y209">
            <v>0</v>
          </cell>
          <cell r="Z209">
            <v>0</v>
          </cell>
          <cell r="AB209">
            <v>0</v>
          </cell>
          <cell r="AF209">
            <v>0</v>
          </cell>
        </row>
        <row r="210">
          <cell r="H210">
            <v>318000</v>
          </cell>
          <cell r="K210" t="str">
            <v>Workmen</v>
          </cell>
          <cell r="M210" t="e">
            <v>#N/A</v>
          </cell>
          <cell r="N210" t="e">
            <v>#REF!</v>
          </cell>
          <cell r="O210" t="str">
            <v>E</v>
          </cell>
          <cell r="P210">
            <v>0</v>
          </cell>
          <cell r="Q210">
            <v>96181902</v>
          </cell>
          <cell r="R210">
            <v>81398332</v>
          </cell>
          <cell r="T210">
            <v>0</v>
          </cell>
          <cell r="U210">
            <v>57350338</v>
          </cell>
          <cell r="V210">
            <v>46847691</v>
          </cell>
          <cell r="X210">
            <v>0</v>
          </cell>
          <cell r="Y210">
            <v>28316671</v>
          </cell>
          <cell r="Z210">
            <v>26767216</v>
          </cell>
          <cell r="AB210">
            <v>0</v>
          </cell>
          <cell r="AC210">
            <v>5807120</v>
          </cell>
          <cell r="AD210">
            <v>5025705</v>
          </cell>
          <cell r="AF210">
            <v>0</v>
          </cell>
          <cell r="AG210">
            <v>4707773</v>
          </cell>
          <cell r="AH210">
            <v>2757720</v>
          </cell>
        </row>
        <row r="211">
          <cell r="H211">
            <v>319000</v>
          </cell>
          <cell r="K211" t="str">
            <v>Others</v>
          </cell>
          <cell r="M211" t="e">
            <v>#N/A</v>
          </cell>
          <cell r="N211" t="e">
            <v>#REF!</v>
          </cell>
          <cell r="O211" t="str">
            <v>E</v>
          </cell>
        </row>
        <row r="212">
          <cell r="G212">
            <v>13213</v>
          </cell>
          <cell r="H212">
            <v>320000</v>
          </cell>
          <cell r="I212" t="str">
            <v>6676</v>
          </cell>
          <cell r="L212" t="str">
            <v>Managerial Remuneration</v>
          </cell>
          <cell r="M212" t="str">
            <v>MANAGERIAL REMUNERATION (6676)</v>
          </cell>
          <cell r="N212" t="e">
            <v>#REF!</v>
          </cell>
          <cell r="O212" t="str">
            <v>E</v>
          </cell>
          <cell r="P212">
            <v>0</v>
          </cell>
          <cell r="Q212">
            <v>0</v>
          </cell>
          <cell r="R212">
            <v>0</v>
          </cell>
          <cell r="T212">
            <v>0</v>
          </cell>
          <cell r="U212">
            <v>0</v>
          </cell>
          <cell r="V212">
            <v>0</v>
          </cell>
          <cell r="X212">
            <v>0</v>
          </cell>
          <cell r="Y212">
            <v>0</v>
          </cell>
          <cell r="Z212">
            <v>0</v>
          </cell>
          <cell r="AB212">
            <v>0</v>
          </cell>
          <cell r="AC212">
            <v>0</v>
          </cell>
          <cell r="AD212">
            <v>0</v>
          </cell>
          <cell r="AF212">
            <v>0</v>
          </cell>
          <cell r="AG212">
            <v>0</v>
          </cell>
          <cell r="AH212">
            <v>0</v>
          </cell>
        </row>
        <row r="213">
          <cell r="G213">
            <v>13308</v>
          </cell>
          <cell r="H213">
            <v>321000</v>
          </cell>
          <cell r="I213" t="str">
            <v>6780</v>
          </cell>
          <cell r="L213" t="str">
            <v>Contract Labour Exp.A/C</v>
          </cell>
          <cell r="M213" t="str">
            <v>CONTRACT LABOUR EXPENSES (6780)</v>
          </cell>
          <cell r="N213" t="e">
            <v>#REF!</v>
          </cell>
          <cell r="O213" t="str">
            <v>E</v>
          </cell>
          <cell r="P213">
            <v>0</v>
          </cell>
          <cell r="Q213">
            <v>17702535</v>
          </cell>
          <cell r="R213">
            <v>15157395</v>
          </cell>
          <cell r="T213">
            <v>0</v>
          </cell>
          <cell r="U213">
            <v>8568295</v>
          </cell>
          <cell r="V213">
            <v>7987516</v>
          </cell>
          <cell r="X213">
            <v>0</v>
          </cell>
          <cell r="Y213">
            <v>115588</v>
          </cell>
          <cell r="Z213">
            <v>0</v>
          </cell>
          <cell r="AB213">
            <v>0</v>
          </cell>
          <cell r="AC213">
            <v>2705511</v>
          </cell>
          <cell r="AD213">
            <v>2288444</v>
          </cell>
          <cell r="AF213">
            <v>0</v>
          </cell>
          <cell r="AG213">
            <v>6313141</v>
          </cell>
          <cell r="AH213">
            <v>4881435</v>
          </cell>
        </row>
        <row r="214">
          <cell r="H214">
            <v>322000</v>
          </cell>
          <cell r="L214">
            <v>0</v>
          </cell>
          <cell r="M214" t="e">
            <v>#N/A</v>
          </cell>
          <cell r="N214" t="e">
            <v>#REF!</v>
          </cell>
          <cell r="O214" t="str">
            <v>E</v>
          </cell>
          <cell r="U214">
            <v>0</v>
          </cell>
          <cell r="V214">
            <v>0</v>
          </cell>
          <cell r="Y214">
            <v>0</v>
          </cell>
          <cell r="Z214">
            <v>0</v>
          </cell>
        </row>
        <row r="215">
          <cell r="H215">
            <v>323000</v>
          </cell>
          <cell r="L215">
            <v>0</v>
          </cell>
          <cell r="M215" t="e">
            <v>#N/A</v>
          </cell>
          <cell r="N215" t="e">
            <v>#REF!</v>
          </cell>
          <cell r="O215" t="str">
            <v>E</v>
          </cell>
        </row>
        <row r="216">
          <cell r="H216">
            <v>324000</v>
          </cell>
          <cell r="K216" t="str">
            <v>Others</v>
          </cell>
          <cell r="M216" t="e">
            <v>#N/A</v>
          </cell>
          <cell r="N216" t="e">
            <v>#REF!</v>
          </cell>
          <cell r="O216" t="str">
            <v>E</v>
          </cell>
          <cell r="P216">
            <v>0</v>
          </cell>
          <cell r="Q216">
            <v>17702535</v>
          </cell>
          <cell r="R216">
            <v>15157395</v>
          </cell>
          <cell r="T216">
            <v>0</v>
          </cell>
          <cell r="U216">
            <v>8568295</v>
          </cell>
          <cell r="V216">
            <v>7987516</v>
          </cell>
          <cell r="X216">
            <v>0</v>
          </cell>
          <cell r="Y216">
            <v>115588</v>
          </cell>
          <cell r="Z216">
            <v>0</v>
          </cell>
          <cell r="AB216">
            <v>0</v>
          </cell>
          <cell r="AC216">
            <v>2705511</v>
          </cell>
          <cell r="AD216">
            <v>2288444</v>
          </cell>
          <cell r="AF216">
            <v>0</v>
          </cell>
          <cell r="AG216">
            <v>6313141</v>
          </cell>
          <cell r="AH216">
            <v>4881435</v>
          </cell>
        </row>
        <row r="217">
          <cell r="J217" t="str">
            <v>Salaries , Wages, Bonus etc.- Officers</v>
          </cell>
          <cell r="M217" t="e">
            <v>#N/A</v>
          </cell>
          <cell r="N217" t="e">
            <v>#REF!</v>
          </cell>
          <cell r="O217" t="str">
            <v>E</v>
          </cell>
          <cell r="P217">
            <v>0</v>
          </cell>
          <cell r="Q217">
            <v>202085744</v>
          </cell>
          <cell r="R217">
            <v>170569605</v>
          </cell>
          <cell r="T217">
            <v>0</v>
          </cell>
          <cell r="U217">
            <v>115033590</v>
          </cell>
          <cell r="V217">
            <v>94774099</v>
          </cell>
          <cell r="X217">
            <v>0</v>
          </cell>
          <cell r="Y217">
            <v>54526878</v>
          </cell>
          <cell r="Z217">
            <v>50117047</v>
          </cell>
          <cell r="AB217">
            <v>0</v>
          </cell>
          <cell r="AC217">
            <v>15247417</v>
          </cell>
          <cell r="AD217">
            <v>12548263</v>
          </cell>
          <cell r="AF217">
            <v>0</v>
          </cell>
          <cell r="AG217">
            <v>17277859</v>
          </cell>
          <cell r="AH217">
            <v>13130196</v>
          </cell>
        </row>
        <row r="218">
          <cell r="O218" t="str">
            <v>E</v>
          </cell>
        </row>
        <row r="219">
          <cell r="H219">
            <v>326000</v>
          </cell>
          <cell r="J219" t="str">
            <v>Contribution To Provident &amp; Other Funds</v>
          </cell>
          <cell r="M219" t="e">
            <v>#N/A</v>
          </cell>
          <cell r="N219" t="e">
            <v>#REF!</v>
          </cell>
          <cell r="O219" t="str">
            <v>E</v>
          </cell>
        </row>
        <row r="220">
          <cell r="H220">
            <v>327000</v>
          </cell>
          <cell r="K220" t="str">
            <v>Officers</v>
          </cell>
          <cell r="M220" t="e">
            <v>#N/A</v>
          </cell>
          <cell r="N220" t="e">
            <v>#REF!</v>
          </cell>
          <cell r="O220" t="str">
            <v>E</v>
          </cell>
        </row>
        <row r="221">
          <cell r="G221">
            <v>13245</v>
          </cell>
          <cell r="H221">
            <v>328000</v>
          </cell>
          <cell r="I221" t="str">
            <v>6455</v>
          </cell>
          <cell r="L221" t="str">
            <v>Est Off - Providend Fund</v>
          </cell>
          <cell r="M221" t="str">
            <v>PROVIDEND FUND (OFFICERS) (6455)</v>
          </cell>
          <cell r="N221" t="e">
            <v>#REF!</v>
          </cell>
          <cell r="O221" t="str">
            <v>E</v>
          </cell>
          <cell r="Q221">
            <v>4398959</v>
          </cell>
          <cell r="R221">
            <v>3756878</v>
          </cell>
          <cell r="U221">
            <v>2617842</v>
          </cell>
          <cell r="V221">
            <v>2200571</v>
          </cell>
          <cell r="Y221">
            <v>1715861</v>
          </cell>
          <cell r="Z221">
            <v>1437901</v>
          </cell>
          <cell r="AC221">
            <v>0</v>
          </cell>
          <cell r="AD221">
            <v>0</v>
          </cell>
          <cell r="AG221">
            <v>65256</v>
          </cell>
          <cell r="AH221">
            <v>118406</v>
          </cell>
        </row>
        <row r="222">
          <cell r="H222">
            <v>329000</v>
          </cell>
          <cell r="I222" t="str">
            <v>6460</v>
          </cell>
          <cell r="L222" t="str">
            <v>Est Off - Family Pension Fund</v>
          </cell>
          <cell r="M222" t="e">
            <v>#N/A</v>
          </cell>
          <cell r="N222" t="e">
            <v>#REF!</v>
          </cell>
          <cell r="O222" t="str">
            <v>E</v>
          </cell>
          <cell r="Q222">
            <v>145217</v>
          </cell>
          <cell r="R222">
            <v>201882</v>
          </cell>
          <cell r="U222">
            <v>0</v>
          </cell>
          <cell r="V222">
            <v>0</v>
          </cell>
          <cell r="Y222">
            <v>0</v>
          </cell>
          <cell r="Z222">
            <v>0</v>
          </cell>
          <cell r="AC222">
            <v>0</v>
          </cell>
          <cell r="AD222">
            <v>0</v>
          </cell>
          <cell r="AG222">
            <v>145217</v>
          </cell>
          <cell r="AH222">
            <v>201882</v>
          </cell>
        </row>
        <row r="223">
          <cell r="G223">
            <v>13247</v>
          </cell>
          <cell r="H223">
            <v>330000</v>
          </cell>
          <cell r="I223" t="str">
            <v>6470</v>
          </cell>
          <cell r="L223" t="str">
            <v>Est Off - Deposit Link Insurance Fund</v>
          </cell>
          <cell r="M223" t="str">
            <v>DEPOSIT LINK INSURANCE FUND (OFFICERS) (7425/7426)</v>
          </cell>
          <cell r="N223" t="e">
            <v>#REF!</v>
          </cell>
          <cell r="O223" t="str">
            <v>E</v>
          </cell>
          <cell r="Q223">
            <v>253539</v>
          </cell>
          <cell r="R223">
            <v>178756</v>
          </cell>
          <cell r="U223">
            <v>193281</v>
          </cell>
          <cell r="V223">
            <v>132286</v>
          </cell>
          <cell r="Y223">
            <v>51542</v>
          </cell>
          <cell r="Z223">
            <v>34827</v>
          </cell>
          <cell r="AC223">
            <v>0</v>
          </cell>
          <cell r="AD223">
            <v>0</v>
          </cell>
          <cell r="AG223">
            <v>8716</v>
          </cell>
          <cell r="AH223">
            <v>11643</v>
          </cell>
        </row>
        <row r="224">
          <cell r="G224">
            <v>13250</v>
          </cell>
          <cell r="H224">
            <v>331000</v>
          </cell>
          <cell r="I224" t="str">
            <v>6475</v>
          </cell>
          <cell r="L224" t="str">
            <v>Est Off - Esic</v>
          </cell>
          <cell r="M224" t="str">
            <v>ESIC OFFICERS</v>
          </cell>
          <cell r="N224" t="e">
            <v>#REF!</v>
          </cell>
          <cell r="O224" t="str">
            <v>E</v>
          </cell>
          <cell r="Q224">
            <v>1844</v>
          </cell>
          <cell r="R224">
            <v>127630</v>
          </cell>
          <cell r="U224">
            <v>1844</v>
          </cell>
          <cell r="V224">
            <v>0</v>
          </cell>
          <cell r="Y224">
            <v>0</v>
          </cell>
          <cell r="Z224">
            <v>0</v>
          </cell>
          <cell r="AC224">
            <v>0</v>
          </cell>
          <cell r="AD224">
            <v>0</v>
          </cell>
          <cell r="AG224">
            <v>0</v>
          </cell>
          <cell r="AH224">
            <v>127630</v>
          </cell>
        </row>
        <row r="225">
          <cell r="G225">
            <v>13249</v>
          </cell>
          <cell r="H225">
            <v>332000</v>
          </cell>
          <cell r="I225" t="str">
            <v>6480</v>
          </cell>
          <cell r="L225" t="str">
            <v>Est Off - Superannuation</v>
          </cell>
          <cell r="M225" t="str">
            <v>SUPERANNUATION (OFFICERS) (6480)</v>
          </cell>
          <cell r="N225" t="e">
            <v>#REF!</v>
          </cell>
          <cell r="O225" t="str">
            <v>E</v>
          </cell>
          <cell r="Q225">
            <v>3799465</v>
          </cell>
          <cell r="R225">
            <v>3116421</v>
          </cell>
          <cell r="U225">
            <v>2419661</v>
          </cell>
          <cell r="V225">
            <v>1999811</v>
          </cell>
          <cell r="Y225">
            <v>1379804</v>
          </cell>
          <cell r="Z225">
            <v>1116610</v>
          </cell>
          <cell r="AC225">
            <v>0</v>
          </cell>
          <cell r="AD225">
            <v>0</v>
          </cell>
          <cell r="AG225">
            <v>0</v>
          </cell>
          <cell r="AH225">
            <v>0</v>
          </cell>
        </row>
        <row r="226">
          <cell r="H226">
            <v>333000</v>
          </cell>
          <cell r="O226" t="str">
            <v>E</v>
          </cell>
          <cell r="Q226">
            <v>0</v>
          </cell>
          <cell r="R226">
            <v>0</v>
          </cell>
          <cell r="AC226">
            <v>0</v>
          </cell>
          <cell r="AG226">
            <v>0</v>
          </cell>
        </row>
        <row r="227">
          <cell r="H227">
            <v>334000</v>
          </cell>
          <cell r="K227" t="str">
            <v>Officers</v>
          </cell>
          <cell r="M227" t="e">
            <v>#N/A</v>
          </cell>
          <cell r="N227" t="e">
            <v>#REF!</v>
          </cell>
          <cell r="O227" t="str">
            <v>E</v>
          </cell>
          <cell r="P227">
            <v>0</v>
          </cell>
          <cell r="Q227">
            <v>8599024</v>
          </cell>
          <cell r="R227">
            <v>7381567</v>
          </cell>
          <cell r="T227">
            <v>0</v>
          </cell>
          <cell r="U227">
            <v>5232628</v>
          </cell>
          <cell r="V227">
            <v>4332668</v>
          </cell>
          <cell r="X227">
            <v>0</v>
          </cell>
          <cell r="Y227">
            <v>3147207</v>
          </cell>
          <cell r="Z227">
            <v>2589338</v>
          </cell>
          <cell r="AB227">
            <v>0</v>
          </cell>
          <cell r="AC227">
            <v>0</v>
          </cell>
          <cell r="AD227">
            <v>0</v>
          </cell>
          <cell r="AF227">
            <v>0</v>
          </cell>
          <cell r="AG227">
            <v>219189</v>
          </cell>
          <cell r="AH227">
            <v>459561</v>
          </cell>
        </row>
        <row r="228">
          <cell r="H228">
            <v>335000</v>
          </cell>
          <cell r="K228" t="str">
            <v>Staff</v>
          </cell>
          <cell r="M228" t="e">
            <v>#N/A</v>
          </cell>
          <cell r="N228" t="e">
            <v>#REF!</v>
          </cell>
          <cell r="O228" t="str">
            <v>E</v>
          </cell>
        </row>
        <row r="229">
          <cell r="G229">
            <v>13257</v>
          </cell>
          <cell r="H229">
            <v>336000</v>
          </cell>
          <cell r="I229" t="str">
            <v>6570</v>
          </cell>
          <cell r="L229" t="str">
            <v>Est Staff - Providend Fund</v>
          </cell>
          <cell r="M229" t="str">
            <v>PROVIDEND FUND (STAFF) (6570)</v>
          </cell>
          <cell r="N229" t="e">
            <v>#REF!</v>
          </cell>
          <cell r="O229" t="str">
            <v>E</v>
          </cell>
          <cell r="Q229">
            <v>257213</v>
          </cell>
          <cell r="R229">
            <v>237740</v>
          </cell>
          <cell r="U229">
            <v>63384</v>
          </cell>
          <cell r="V229">
            <v>78690</v>
          </cell>
          <cell r="Y229">
            <v>0</v>
          </cell>
          <cell r="Z229">
            <v>0</v>
          </cell>
          <cell r="AC229">
            <v>193829</v>
          </cell>
          <cell r="AD229">
            <v>159050</v>
          </cell>
          <cell r="AG229">
            <v>0</v>
          </cell>
          <cell r="AH229">
            <v>0</v>
          </cell>
        </row>
        <row r="230">
          <cell r="H230">
            <v>337000</v>
          </cell>
          <cell r="I230" t="str">
            <v>6575</v>
          </cell>
          <cell r="L230" t="str">
            <v>Est Staff - Family Pension Fund</v>
          </cell>
          <cell r="M230" t="e">
            <v>#N/A</v>
          </cell>
          <cell r="N230" t="e">
            <v>#REF!</v>
          </cell>
          <cell r="O230" t="str">
            <v>E</v>
          </cell>
          <cell r="Q230">
            <v>0</v>
          </cell>
          <cell r="R230">
            <v>0</v>
          </cell>
          <cell r="U230">
            <v>0</v>
          </cell>
          <cell r="V230">
            <v>0</v>
          </cell>
          <cell r="Y230">
            <v>0</v>
          </cell>
          <cell r="Z230">
            <v>0</v>
          </cell>
          <cell r="AC230">
            <v>0</v>
          </cell>
          <cell r="AD230">
            <v>0</v>
          </cell>
          <cell r="AG230">
            <v>0</v>
          </cell>
          <cell r="AH230">
            <v>0</v>
          </cell>
        </row>
        <row r="231">
          <cell r="H231">
            <v>338000</v>
          </cell>
          <cell r="L231" t="str">
            <v>Deposit Link Insurance Fund (Staff)</v>
          </cell>
          <cell r="M231" t="e">
            <v>#N/A</v>
          </cell>
          <cell r="N231" t="e">
            <v>#REF!</v>
          </cell>
          <cell r="O231" t="str">
            <v>E</v>
          </cell>
          <cell r="Q231">
            <v>0</v>
          </cell>
          <cell r="R231">
            <v>0</v>
          </cell>
          <cell r="U231">
            <v>0</v>
          </cell>
          <cell r="V231">
            <v>0</v>
          </cell>
          <cell r="Y231">
            <v>0</v>
          </cell>
          <cell r="Z231">
            <v>0</v>
          </cell>
          <cell r="AC231">
            <v>0</v>
          </cell>
          <cell r="AD231">
            <v>0</v>
          </cell>
          <cell r="AG231">
            <v>0</v>
          </cell>
          <cell r="AH231">
            <v>0</v>
          </cell>
        </row>
        <row r="232">
          <cell r="G232">
            <v>13261</v>
          </cell>
          <cell r="H232">
            <v>339000</v>
          </cell>
          <cell r="I232" t="str">
            <v>6590</v>
          </cell>
          <cell r="L232" t="str">
            <v>Est Staff - Esic</v>
          </cell>
          <cell r="M232" t="str">
            <v>ESIC (STAFF) (6590)</v>
          </cell>
          <cell r="N232" t="e">
            <v>#REF!</v>
          </cell>
          <cell r="O232" t="str">
            <v>E</v>
          </cell>
          <cell r="Q232">
            <v>11755</v>
          </cell>
          <cell r="R232">
            <v>16808</v>
          </cell>
          <cell r="U232">
            <v>11004</v>
          </cell>
          <cell r="V232">
            <v>8407</v>
          </cell>
          <cell r="Y232">
            <v>751</v>
          </cell>
          <cell r="Z232">
            <v>8401</v>
          </cell>
          <cell r="AC232">
            <v>0</v>
          </cell>
          <cell r="AD232">
            <v>0</v>
          </cell>
          <cell r="AG232">
            <v>0</v>
          </cell>
          <cell r="AH232">
            <v>0</v>
          </cell>
        </row>
        <row r="233">
          <cell r="H233">
            <v>340000</v>
          </cell>
          <cell r="O233" t="str">
            <v>E</v>
          </cell>
          <cell r="Q233">
            <v>0</v>
          </cell>
          <cell r="R233">
            <v>0</v>
          </cell>
        </row>
        <row r="234">
          <cell r="H234">
            <v>341000</v>
          </cell>
          <cell r="K234" t="str">
            <v>Staff</v>
          </cell>
          <cell r="M234" t="e">
            <v>#N/A</v>
          </cell>
          <cell r="N234" t="e">
            <v>#REF!</v>
          </cell>
          <cell r="O234" t="str">
            <v>E</v>
          </cell>
          <cell r="P234">
            <v>0</v>
          </cell>
          <cell r="Q234">
            <v>268968</v>
          </cell>
          <cell r="R234">
            <v>254548</v>
          </cell>
          <cell r="T234">
            <v>0</v>
          </cell>
          <cell r="U234">
            <v>74388</v>
          </cell>
          <cell r="V234">
            <v>87097</v>
          </cell>
          <cell r="X234">
            <v>0</v>
          </cell>
          <cell r="Y234">
            <v>751</v>
          </cell>
          <cell r="Z234">
            <v>8401</v>
          </cell>
          <cell r="AB234">
            <v>0</v>
          </cell>
          <cell r="AC234">
            <v>193829</v>
          </cell>
          <cell r="AD234">
            <v>159050</v>
          </cell>
          <cell r="AF234">
            <v>0</v>
          </cell>
          <cell r="AG234">
            <v>0</v>
          </cell>
          <cell r="AH234">
            <v>0</v>
          </cell>
        </row>
        <row r="235">
          <cell r="H235">
            <v>342000</v>
          </cell>
          <cell r="K235" t="str">
            <v>Workmen</v>
          </cell>
          <cell r="M235" t="e">
            <v>#N/A</v>
          </cell>
          <cell r="N235" t="e">
            <v>#REF!</v>
          </cell>
          <cell r="O235" t="str">
            <v>E</v>
          </cell>
        </row>
        <row r="236">
          <cell r="G236">
            <v>13269</v>
          </cell>
          <cell r="H236">
            <v>343000</v>
          </cell>
          <cell r="I236" t="str">
            <v>6670</v>
          </cell>
          <cell r="L236" t="str">
            <v>Est Lbr - Providend Fund</v>
          </cell>
          <cell r="M236" t="str">
            <v>PROVIDEND FUND (WORKERS) (6670)</v>
          </cell>
          <cell r="N236" t="e">
            <v>#REF!</v>
          </cell>
          <cell r="O236" t="str">
            <v>E</v>
          </cell>
          <cell r="Q236">
            <v>5258854</v>
          </cell>
          <cell r="R236">
            <v>5202605</v>
          </cell>
          <cell r="U236">
            <v>3268369</v>
          </cell>
          <cell r="V236">
            <v>3192396</v>
          </cell>
          <cell r="Y236">
            <v>1506706</v>
          </cell>
          <cell r="Z236">
            <v>1681687</v>
          </cell>
          <cell r="AC236">
            <v>423344</v>
          </cell>
          <cell r="AD236">
            <v>328522</v>
          </cell>
          <cell r="AG236">
            <v>60435</v>
          </cell>
          <cell r="AH236">
            <v>0</v>
          </cell>
        </row>
        <row r="237">
          <cell r="H237">
            <v>344000</v>
          </cell>
          <cell r="I237" t="str">
            <v>6675</v>
          </cell>
          <cell r="L237" t="str">
            <v>Est Lbr - Family Pension Fund</v>
          </cell>
          <cell r="M237" t="e">
            <v>#N/A</v>
          </cell>
          <cell r="N237" t="e">
            <v>#REF!</v>
          </cell>
          <cell r="O237" t="str">
            <v>E</v>
          </cell>
          <cell r="Q237">
            <v>137009</v>
          </cell>
          <cell r="R237">
            <v>0</v>
          </cell>
          <cell r="U237">
            <v>0</v>
          </cell>
          <cell r="V237">
            <v>0</v>
          </cell>
          <cell r="Y237">
            <v>0</v>
          </cell>
          <cell r="Z237">
            <v>0</v>
          </cell>
          <cell r="AC237">
            <v>0</v>
          </cell>
          <cell r="AD237">
            <v>0</v>
          </cell>
          <cell r="AG237">
            <v>137009</v>
          </cell>
          <cell r="AH237">
            <v>0</v>
          </cell>
        </row>
        <row r="238">
          <cell r="G238">
            <v>13298</v>
          </cell>
          <cell r="H238">
            <v>345000</v>
          </cell>
          <cell r="I238" t="str">
            <v>6680</v>
          </cell>
          <cell r="L238" t="str">
            <v>Est Lbr - Maharashatra Labour Welfare Fund</v>
          </cell>
          <cell r="M238" t="str">
            <v>MAHARASHATRA LABOUR WELFARE FUND (6680)</v>
          </cell>
          <cell r="N238" t="e">
            <v>#REF!</v>
          </cell>
          <cell r="O238" t="str">
            <v>E</v>
          </cell>
          <cell r="Q238">
            <v>13320</v>
          </cell>
          <cell r="R238">
            <v>14670</v>
          </cell>
          <cell r="U238">
            <v>9576</v>
          </cell>
          <cell r="V238">
            <v>9900</v>
          </cell>
          <cell r="Y238">
            <v>3744</v>
          </cell>
          <cell r="Z238">
            <v>4770</v>
          </cell>
          <cell r="AC238">
            <v>0</v>
          </cell>
          <cell r="AD238">
            <v>0</v>
          </cell>
          <cell r="AG238">
            <v>0</v>
          </cell>
          <cell r="AH238">
            <v>0</v>
          </cell>
        </row>
        <row r="239">
          <cell r="H239">
            <v>346000</v>
          </cell>
          <cell r="I239" t="str">
            <v>6685</v>
          </cell>
          <cell r="L239" t="str">
            <v>Est Lbr - Deposit Link Insurance Fund</v>
          </cell>
          <cell r="M239" t="e">
            <v>#N/A</v>
          </cell>
          <cell r="N239" t="e">
            <v>#REF!</v>
          </cell>
          <cell r="O239" t="str">
            <v>E</v>
          </cell>
          <cell r="Q239">
            <v>8226</v>
          </cell>
          <cell r="R239">
            <v>0</v>
          </cell>
          <cell r="U239">
            <v>0</v>
          </cell>
          <cell r="V239">
            <v>0</v>
          </cell>
          <cell r="Y239">
            <v>0</v>
          </cell>
          <cell r="Z239">
            <v>0</v>
          </cell>
          <cell r="AC239">
            <v>0</v>
          </cell>
          <cell r="AD239">
            <v>0</v>
          </cell>
          <cell r="AG239">
            <v>8226</v>
          </cell>
          <cell r="AH239">
            <v>0</v>
          </cell>
        </row>
        <row r="240">
          <cell r="G240">
            <v>13273</v>
          </cell>
          <cell r="H240">
            <v>347000</v>
          </cell>
          <cell r="I240" t="str">
            <v>6690</v>
          </cell>
          <cell r="L240" t="str">
            <v>Est Lbr - Esic</v>
          </cell>
          <cell r="M240" t="str">
            <v>ESIC (WORKERS) (6690)</v>
          </cell>
          <cell r="N240" t="e">
            <v>#REF!</v>
          </cell>
          <cell r="O240" t="str">
            <v>E</v>
          </cell>
          <cell r="Q240">
            <v>195535</v>
          </cell>
          <cell r="R240">
            <v>17494</v>
          </cell>
          <cell r="U240">
            <v>12545</v>
          </cell>
          <cell r="V240">
            <v>17494</v>
          </cell>
          <cell r="Y240">
            <v>0</v>
          </cell>
          <cell r="Z240">
            <v>0</v>
          </cell>
          <cell r="AC240">
            <v>0</v>
          </cell>
          <cell r="AD240">
            <v>0</v>
          </cell>
          <cell r="AG240">
            <v>182990</v>
          </cell>
          <cell r="AH240">
            <v>0</v>
          </cell>
        </row>
        <row r="241">
          <cell r="H241">
            <v>348000</v>
          </cell>
          <cell r="I241" t="str">
            <v>6750</v>
          </cell>
          <cell r="L241" t="str">
            <v>Est  Cas - Providend Fund</v>
          </cell>
          <cell r="M241" t="e">
            <v>#N/A</v>
          </cell>
          <cell r="N241" t="e">
            <v>#REF!</v>
          </cell>
          <cell r="O241" t="str">
            <v>E</v>
          </cell>
          <cell r="Q241">
            <v>0</v>
          </cell>
          <cell r="R241">
            <v>0</v>
          </cell>
          <cell r="U241">
            <v>0</v>
          </cell>
          <cell r="V241">
            <v>0</v>
          </cell>
          <cell r="Y241">
            <v>0</v>
          </cell>
          <cell r="Z241">
            <v>0</v>
          </cell>
          <cell r="AC241">
            <v>0</v>
          </cell>
          <cell r="AD241">
            <v>0</v>
          </cell>
          <cell r="AG241">
            <v>0</v>
          </cell>
          <cell r="AH241">
            <v>0</v>
          </cell>
        </row>
        <row r="242">
          <cell r="H242">
            <v>349000</v>
          </cell>
          <cell r="I242" t="str">
            <v>6765</v>
          </cell>
          <cell r="L242" t="str">
            <v>Est Cas Mlwf</v>
          </cell>
          <cell r="M242" t="e">
            <v>#N/A</v>
          </cell>
          <cell r="N242" t="e">
            <v>#REF!</v>
          </cell>
          <cell r="O242" t="str">
            <v>E</v>
          </cell>
          <cell r="Q242">
            <v>0</v>
          </cell>
          <cell r="R242">
            <v>0</v>
          </cell>
          <cell r="U242">
            <v>0</v>
          </cell>
          <cell r="V242">
            <v>0</v>
          </cell>
          <cell r="Y242">
            <v>0</v>
          </cell>
          <cell r="Z242">
            <v>0</v>
          </cell>
          <cell r="AC242">
            <v>0</v>
          </cell>
          <cell r="AD242">
            <v>0</v>
          </cell>
          <cell r="AG242">
            <v>0</v>
          </cell>
          <cell r="AH242">
            <v>0</v>
          </cell>
        </row>
        <row r="243">
          <cell r="H243">
            <v>350000</v>
          </cell>
          <cell r="I243" t="str">
            <v>6775</v>
          </cell>
          <cell r="L243" t="str">
            <v>Est Cas - Esic</v>
          </cell>
          <cell r="M243" t="e">
            <v>#N/A</v>
          </cell>
          <cell r="N243" t="e">
            <v>#REF!</v>
          </cell>
          <cell r="O243" t="str">
            <v>E</v>
          </cell>
          <cell r="Q243">
            <v>0</v>
          </cell>
          <cell r="R243">
            <v>0</v>
          </cell>
          <cell r="U243">
            <v>0</v>
          </cell>
          <cell r="V243">
            <v>0</v>
          </cell>
          <cell r="Y243">
            <v>0</v>
          </cell>
          <cell r="Z243">
            <v>0</v>
          </cell>
          <cell r="AC243">
            <v>0</v>
          </cell>
          <cell r="AD243">
            <v>0</v>
          </cell>
          <cell r="AG243">
            <v>0</v>
          </cell>
          <cell r="AH243">
            <v>0</v>
          </cell>
        </row>
        <row r="244">
          <cell r="H244">
            <v>351000</v>
          </cell>
          <cell r="O244" t="str">
            <v>E</v>
          </cell>
          <cell r="Q244">
            <v>0</v>
          </cell>
          <cell r="R244">
            <v>0</v>
          </cell>
          <cell r="AC244">
            <v>0</v>
          </cell>
          <cell r="AG244">
            <v>0</v>
          </cell>
        </row>
        <row r="245">
          <cell r="H245">
            <v>352000</v>
          </cell>
          <cell r="K245" t="str">
            <v>Workmen</v>
          </cell>
          <cell r="M245" t="e">
            <v>#N/A</v>
          </cell>
          <cell r="N245" t="e">
            <v>#REF!</v>
          </cell>
          <cell r="O245" t="str">
            <v>E</v>
          </cell>
          <cell r="P245">
            <v>0</v>
          </cell>
          <cell r="Q245">
            <v>5612944</v>
          </cell>
          <cell r="R245">
            <v>5234769</v>
          </cell>
          <cell r="T245">
            <v>0</v>
          </cell>
          <cell r="U245">
            <v>3290490</v>
          </cell>
          <cell r="V245">
            <v>3219790</v>
          </cell>
          <cell r="X245">
            <v>0</v>
          </cell>
          <cell r="Y245">
            <v>1510450</v>
          </cell>
          <cell r="Z245">
            <v>1686457</v>
          </cell>
          <cell r="AB245">
            <v>0</v>
          </cell>
          <cell r="AC245">
            <v>423344</v>
          </cell>
          <cell r="AD245">
            <v>328522</v>
          </cell>
          <cell r="AF245">
            <v>0</v>
          </cell>
          <cell r="AG245">
            <v>388660</v>
          </cell>
          <cell r="AH245">
            <v>0</v>
          </cell>
        </row>
        <row r="246">
          <cell r="H246">
            <v>353000</v>
          </cell>
          <cell r="K246" t="str">
            <v>Gratuity</v>
          </cell>
          <cell r="M246" t="e">
            <v>#N/A</v>
          </cell>
          <cell r="N246" t="e">
            <v>#REF!</v>
          </cell>
          <cell r="O246" t="str">
            <v>E</v>
          </cell>
        </row>
        <row r="247">
          <cell r="G247">
            <v>13243</v>
          </cell>
          <cell r="H247">
            <v>354000</v>
          </cell>
          <cell r="I247" t="str">
            <v>6450</v>
          </cell>
          <cell r="L247" t="str">
            <v>Est Off - Gratuity</v>
          </cell>
          <cell r="M247" t="str">
            <v>GRATUITY (OFFICERS) (6450)</v>
          </cell>
          <cell r="N247" t="e">
            <v>#REF!</v>
          </cell>
          <cell r="O247" t="str">
            <v>E</v>
          </cell>
          <cell r="Q247">
            <v>1128326</v>
          </cell>
          <cell r="R247">
            <v>2752423</v>
          </cell>
          <cell r="U247">
            <v>648373</v>
          </cell>
          <cell r="V247">
            <v>1033262</v>
          </cell>
          <cell r="Y247">
            <v>429310</v>
          </cell>
          <cell r="Z247">
            <v>1719161</v>
          </cell>
          <cell r="AC247">
            <v>23502</v>
          </cell>
          <cell r="AD247">
            <v>0</v>
          </cell>
          <cell r="AG247">
            <v>27141</v>
          </cell>
          <cell r="AH247">
            <v>0</v>
          </cell>
        </row>
        <row r="248">
          <cell r="G248">
            <v>13255</v>
          </cell>
          <cell r="H248">
            <v>355000</v>
          </cell>
          <cell r="I248" t="str">
            <v>6565</v>
          </cell>
          <cell r="L248" t="str">
            <v>Est Staff - Gratuity</v>
          </cell>
          <cell r="M248" t="str">
            <v>GRATUITY (STAFF) (6565)</v>
          </cell>
          <cell r="N248" t="e">
            <v>#REF!</v>
          </cell>
          <cell r="O248" t="str">
            <v>E</v>
          </cell>
          <cell r="Q248">
            <v>20951</v>
          </cell>
          <cell r="R248">
            <v>-723106</v>
          </cell>
          <cell r="U248">
            <v>20951</v>
          </cell>
          <cell r="V248">
            <v>-165259</v>
          </cell>
          <cell r="Y248">
            <v>0</v>
          </cell>
          <cell r="Z248">
            <v>0</v>
          </cell>
          <cell r="AC248">
            <v>0</v>
          </cell>
          <cell r="AD248">
            <v>-557847</v>
          </cell>
          <cell r="AG248">
            <v>0</v>
          </cell>
          <cell r="AH248">
            <v>0</v>
          </cell>
        </row>
        <row r="249">
          <cell r="G249">
            <v>13267</v>
          </cell>
          <cell r="H249">
            <v>356000</v>
          </cell>
          <cell r="I249" t="str">
            <v>6665</v>
          </cell>
          <cell r="L249" t="str">
            <v>Est Lbr - Gratuity</v>
          </cell>
          <cell r="M249" t="str">
            <v>GRATUITY (WORKERS) (6665)</v>
          </cell>
          <cell r="N249" t="e">
            <v>#REF!</v>
          </cell>
          <cell r="O249" t="str">
            <v>E</v>
          </cell>
          <cell r="Q249">
            <v>5709942</v>
          </cell>
          <cell r="R249">
            <v>4731262</v>
          </cell>
          <cell r="U249">
            <v>4562737</v>
          </cell>
          <cell r="V249">
            <v>2628914</v>
          </cell>
          <cell r="Y249">
            <v>940069</v>
          </cell>
          <cell r="Z249">
            <v>2236739</v>
          </cell>
          <cell r="AC249">
            <v>207136</v>
          </cell>
          <cell r="AD249">
            <v>0</v>
          </cell>
          <cell r="AG249">
            <v>0</v>
          </cell>
          <cell r="AH249">
            <v>-134391</v>
          </cell>
        </row>
        <row r="250">
          <cell r="H250">
            <v>357000</v>
          </cell>
          <cell r="L250" t="str">
            <v>Sub-Total</v>
          </cell>
          <cell r="M250" t="e">
            <v>#N/A</v>
          </cell>
          <cell r="N250" t="e">
            <v>#REF!</v>
          </cell>
          <cell r="O250" t="str">
            <v>E</v>
          </cell>
          <cell r="P250">
            <v>0</v>
          </cell>
          <cell r="Q250">
            <v>6859219</v>
          </cell>
          <cell r="R250">
            <v>6760579</v>
          </cell>
          <cell r="T250">
            <v>0</v>
          </cell>
          <cell r="U250">
            <v>5232061</v>
          </cell>
          <cell r="V250">
            <v>3496917</v>
          </cell>
          <cell r="X250">
            <v>0</v>
          </cell>
          <cell r="Y250">
            <v>1369379</v>
          </cell>
          <cell r="Z250">
            <v>3955900</v>
          </cell>
          <cell r="AB250">
            <v>0</v>
          </cell>
          <cell r="AC250">
            <v>230638</v>
          </cell>
          <cell r="AD250">
            <v>-557847</v>
          </cell>
          <cell r="AF250">
            <v>0</v>
          </cell>
          <cell r="AG250">
            <v>27141</v>
          </cell>
          <cell r="AH250">
            <v>-134391</v>
          </cell>
        </row>
        <row r="251">
          <cell r="H251">
            <v>358000</v>
          </cell>
          <cell r="K251" t="str">
            <v>Compensated Absences</v>
          </cell>
          <cell r="M251" t="e">
            <v>#N/A</v>
          </cell>
          <cell r="N251" t="e">
            <v>#REF!</v>
          </cell>
          <cell r="O251" t="str">
            <v>E</v>
          </cell>
        </row>
        <row r="252">
          <cell r="H252">
            <v>359000</v>
          </cell>
          <cell r="I252" t="str">
            <v>6430</v>
          </cell>
          <cell r="L252" t="str">
            <v>Est Off - Encashment Of Leave</v>
          </cell>
          <cell r="M252" t="e">
            <v>#N/A</v>
          </cell>
          <cell r="N252" t="e">
            <v>#REF!</v>
          </cell>
          <cell r="O252" t="str">
            <v>E</v>
          </cell>
          <cell r="Q252">
            <v>0</v>
          </cell>
          <cell r="R252">
            <v>0</v>
          </cell>
          <cell r="U252">
            <v>0</v>
          </cell>
          <cell r="V252">
            <v>0</v>
          </cell>
          <cell r="Y252">
            <v>0</v>
          </cell>
          <cell r="Z252">
            <v>0</v>
          </cell>
          <cell r="AC252">
            <v>0</v>
          </cell>
          <cell r="AD252">
            <v>0</v>
          </cell>
          <cell r="AG252">
            <v>0</v>
          </cell>
          <cell r="AH252">
            <v>0</v>
          </cell>
        </row>
        <row r="253">
          <cell r="H253">
            <v>360000</v>
          </cell>
          <cell r="I253" t="str">
            <v>6540</v>
          </cell>
          <cell r="L253" t="str">
            <v>Est Staff - Encashment Of Leave</v>
          </cell>
          <cell r="M253" t="e">
            <v>#N/A</v>
          </cell>
          <cell r="N253" t="e">
            <v>#REF!</v>
          </cell>
          <cell r="O253" t="str">
            <v>E</v>
          </cell>
          <cell r="P253">
            <v>0</v>
          </cell>
          <cell r="Q253">
            <v>198317</v>
          </cell>
          <cell r="R253">
            <v>193761</v>
          </cell>
          <cell r="T253">
            <v>0</v>
          </cell>
          <cell r="U253">
            <v>0</v>
          </cell>
          <cell r="V253">
            <v>0</v>
          </cell>
          <cell r="X253">
            <v>0</v>
          </cell>
          <cell r="Y253">
            <v>0</v>
          </cell>
          <cell r="Z253">
            <v>0</v>
          </cell>
          <cell r="AB253">
            <v>0</v>
          </cell>
          <cell r="AC253">
            <v>80025</v>
          </cell>
          <cell r="AD253">
            <v>185151</v>
          </cell>
          <cell r="AF253">
            <v>0</v>
          </cell>
          <cell r="AG253">
            <v>118292</v>
          </cell>
          <cell r="AH253">
            <v>8610</v>
          </cell>
        </row>
        <row r="254">
          <cell r="H254">
            <v>361000</v>
          </cell>
          <cell r="I254" t="str">
            <v>6640</v>
          </cell>
          <cell r="L254" t="str">
            <v>Est Lbr - Encashment Of Leave</v>
          </cell>
          <cell r="M254" t="e">
            <v>#N/A</v>
          </cell>
          <cell r="N254" t="e">
            <v>#REF!</v>
          </cell>
          <cell r="O254" t="str">
            <v>E</v>
          </cell>
          <cell r="P254">
            <v>0</v>
          </cell>
          <cell r="Q254">
            <v>129413</v>
          </cell>
          <cell r="R254">
            <v>265271</v>
          </cell>
          <cell r="T254">
            <v>0</v>
          </cell>
          <cell r="U254">
            <v>0</v>
          </cell>
          <cell r="V254">
            <v>0</v>
          </cell>
          <cell r="X254">
            <v>0</v>
          </cell>
          <cell r="Y254">
            <v>0</v>
          </cell>
          <cell r="Z254">
            <v>0</v>
          </cell>
          <cell r="AB254">
            <v>0</v>
          </cell>
          <cell r="AC254">
            <v>126663</v>
          </cell>
          <cell r="AD254">
            <v>157564</v>
          </cell>
          <cell r="AF254">
            <v>0</v>
          </cell>
          <cell r="AG254">
            <v>2750</v>
          </cell>
          <cell r="AH254">
            <v>107707</v>
          </cell>
        </row>
        <row r="255">
          <cell r="H255">
            <v>362000</v>
          </cell>
          <cell r="I255">
            <v>0</v>
          </cell>
          <cell r="L255" t="str">
            <v>Excess Provision trf to Salary expenses</v>
          </cell>
          <cell r="M255" t="e">
            <v>#N/A</v>
          </cell>
          <cell r="N255" t="e">
            <v>#REF!</v>
          </cell>
          <cell r="O255" t="str">
            <v>E</v>
          </cell>
          <cell r="Q255">
            <v>0</v>
          </cell>
          <cell r="R255">
            <v>0</v>
          </cell>
          <cell r="AC255">
            <v>0</v>
          </cell>
          <cell r="AG255">
            <v>0</v>
          </cell>
          <cell r="AH255">
            <v>0</v>
          </cell>
        </row>
        <row r="256">
          <cell r="H256">
            <v>363000</v>
          </cell>
          <cell r="I256">
            <v>0</v>
          </cell>
          <cell r="L256" t="str">
            <v>Sub-Total</v>
          </cell>
          <cell r="M256" t="e">
            <v>#N/A</v>
          </cell>
          <cell r="N256" t="e">
            <v>#REF!</v>
          </cell>
          <cell r="O256" t="str">
            <v>E</v>
          </cell>
          <cell r="P256">
            <v>0</v>
          </cell>
          <cell r="Q256">
            <v>327730</v>
          </cell>
          <cell r="R256">
            <v>459032</v>
          </cell>
          <cell r="T256">
            <v>0</v>
          </cell>
          <cell r="U256">
            <v>0</v>
          </cell>
          <cell r="V256">
            <v>0</v>
          </cell>
          <cell r="X256">
            <v>0</v>
          </cell>
          <cell r="Y256">
            <v>0</v>
          </cell>
          <cell r="Z256">
            <v>0</v>
          </cell>
          <cell r="AB256">
            <v>0</v>
          </cell>
          <cell r="AC256">
            <v>206688</v>
          </cell>
          <cell r="AD256">
            <v>342715</v>
          </cell>
          <cell r="AF256">
            <v>0</v>
          </cell>
          <cell r="AG256">
            <v>121042</v>
          </cell>
          <cell r="AH256">
            <v>116317</v>
          </cell>
        </row>
        <row r="257">
          <cell r="H257">
            <v>364000</v>
          </cell>
          <cell r="J257" t="str">
            <v>Contribution To Provident &amp; Other Funds</v>
          </cell>
          <cell r="M257" t="e">
            <v>#N/A</v>
          </cell>
          <cell r="N257" t="e">
            <v>#REF!</v>
          </cell>
          <cell r="O257" t="str">
            <v>E</v>
          </cell>
          <cell r="Q257">
            <v>21667885</v>
          </cell>
          <cell r="R257">
            <v>20090495</v>
          </cell>
          <cell r="T257">
            <v>0</v>
          </cell>
          <cell r="U257">
            <v>13829567</v>
          </cell>
          <cell r="V257">
            <v>11136472</v>
          </cell>
          <cell r="X257">
            <v>0</v>
          </cell>
          <cell r="Y257">
            <v>6027787</v>
          </cell>
          <cell r="Z257">
            <v>8240096</v>
          </cell>
          <cell r="AB257">
            <v>0</v>
          </cell>
          <cell r="AC257">
            <v>1054499</v>
          </cell>
          <cell r="AD257">
            <v>272440</v>
          </cell>
          <cell r="AF257">
            <v>0</v>
          </cell>
          <cell r="AG257">
            <v>756032</v>
          </cell>
          <cell r="AH257">
            <v>441487</v>
          </cell>
        </row>
        <row r="258">
          <cell r="L258" t="str">
            <v>PF</v>
          </cell>
          <cell r="Q258">
            <v>10459017</v>
          </cell>
          <cell r="R258">
            <v>9577861</v>
          </cell>
        </row>
        <row r="259">
          <cell r="L259" t="str">
            <v>ESIC</v>
          </cell>
          <cell r="Q259">
            <v>209134</v>
          </cell>
          <cell r="R259">
            <v>161932</v>
          </cell>
        </row>
        <row r="260">
          <cell r="Q260">
            <v>3799465</v>
          </cell>
          <cell r="R260">
            <v>3116421</v>
          </cell>
        </row>
        <row r="261">
          <cell r="H261">
            <v>365000</v>
          </cell>
          <cell r="O261" t="str">
            <v>E</v>
          </cell>
        </row>
        <row r="262">
          <cell r="H262">
            <v>366000</v>
          </cell>
          <cell r="J262" t="str">
            <v>Staff Welfare Expenses</v>
          </cell>
          <cell r="M262" t="e">
            <v>#N/A</v>
          </cell>
          <cell r="N262" t="e">
            <v>#REF!</v>
          </cell>
          <cell r="O262" t="str">
            <v>E</v>
          </cell>
        </row>
        <row r="263">
          <cell r="H263">
            <v>367000</v>
          </cell>
          <cell r="K263" t="str">
            <v>Officers</v>
          </cell>
          <cell r="M263" t="e">
            <v>#N/A</v>
          </cell>
          <cell r="N263" t="e">
            <v>#REF!</v>
          </cell>
          <cell r="O263" t="str">
            <v>E</v>
          </cell>
        </row>
        <row r="264">
          <cell r="G264">
            <v>13285</v>
          </cell>
          <cell r="H264">
            <v>368000</v>
          </cell>
          <cell r="I264" t="str">
            <v>6495</v>
          </cell>
          <cell r="L264" t="str">
            <v>Est Off - Office Dress</v>
          </cell>
          <cell r="M264" t="str">
            <v>OFFICE DRESS (OFFICERS) (6495)</v>
          </cell>
          <cell r="N264" t="e">
            <v>#REF!</v>
          </cell>
          <cell r="O264" t="str">
            <v>E</v>
          </cell>
          <cell r="Q264">
            <v>224731</v>
          </cell>
          <cell r="R264">
            <v>211911</v>
          </cell>
          <cell r="U264">
            <v>122808</v>
          </cell>
          <cell r="V264">
            <v>121111</v>
          </cell>
          <cell r="Y264">
            <v>101923</v>
          </cell>
          <cell r="Z264">
            <v>86600</v>
          </cell>
          <cell r="AC264">
            <v>0</v>
          </cell>
          <cell r="AD264">
            <v>0</v>
          </cell>
          <cell r="AG264">
            <v>0</v>
          </cell>
          <cell r="AH264">
            <v>4200</v>
          </cell>
        </row>
        <row r="265">
          <cell r="G265">
            <v>13287</v>
          </cell>
          <cell r="H265">
            <v>369000</v>
          </cell>
          <cell r="I265" t="str">
            <v>6496</v>
          </cell>
          <cell r="L265" t="str">
            <v>Est Off - Soft Furnisings</v>
          </cell>
          <cell r="M265" t="str">
            <v>SOFT FURNISINGS (OFFICERS) (6496)</v>
          </cell>
          <cell r="N265" t="e">
            <v>#REF!</v>
          </cell>
          <cell r="O265" t="str">
            <v>E</v>
          </cell>
          <cell r="Q265">
            <v>20200</v>
          </cell>
          <cell r="R265">
            <v>10098</v>
          </cell>
          <cell r="U265">
            <v>10600</v>
          </cell>
          <cell r="V265">
            <v>4100</v>
          </cell>
          <cell r="Y265">
            <v>9600</v>
          </cell>
          <cell r="Z265">
            <v>5998</v>
          </cell>
          <cell r="AC265">
            <v>0</v>
          </cell>
          <cell r="AD265">
            <v>0</v>
          </cell>
          <cell r="AG265">
            <v>0</v>
          </cell>
          <cell r="AH265">
            <v>0</v>
          </cell>
        </row>
        <row r="266">
          <cell r="H266">
            <v>370000</v>
          </cell>
          <cell r="I266" t="str">
            <v>6500</v>
          </cell>
          <cell r="L266" t="str">
            <v>Est Off - Washing Allowance</v>
          </cell>
          <cell r="M266" t="e">
            <v>#N/A</v>
          </cell>
          <cell r="N266" t="e">
            <v>#REF!</v>
          </cell>
          <cell r="O266" t="str">
            <v>E</v>
          </cell>
          <cell r="Q266">
            <v>0</v>
          </cell>
          <cell r="R266">
            <v>0</v>
          </cell>
          <cell r="U266">
            <v>0</v>
          </cell>
          <cell r="V266">
            <v>0</v>
          </cell>
          <cell r="Y266">
            <v>0</v>
          </cell>
          <cell r="Z266">
            <v>0</v>
          </cell>
          <cell r="AC266">
            <v>0</v>
          </cell>
          <cell r="AD266">
            <v>0</v>
          </cell>
          <cell r="AG266">
            <v>0</v>
          </cell>
          <cell r="AH266">
            <v>0</v>
          </cell>
        </row>
        <row r="267">
          <cell r="H267">
            <v>371000</v>
          </cell>
          <cell r="I267" t="str">
            <v>6505</v>
          </cell>
          <cell r="L267" t="str">
            <v>Est Officers - Canteen</v>
          </cell>
          <cell r="M267" t="e">
            <v>#N/A</v>
          </cell>
          <cell r="N267" t="e">
            <v>#REF!</v>
          </cell>
          <cell r="O267" t="str">
            <v>E</v>
          </cell>
          <cell r="Q267">
            <v>207043</v>
          </cell>
          <cell r="R267">
            <v>140207</v>
          </cell>
          <cell r="U267">
            <v>0</v>
          </cell>
          <cell r="V267">
            <v>0</v>
          </cell>
          <cell r="Y267">
            <v>0</v>
          </cell>
          <cell r="Z267">
            <v>0</v>
          </cell>
          <cell r="AC267">
            <v>0</v>
          </cell>
          <cell r="AD267">
            <v>0</v>
          </cell>
          <cell r="AG267">
            <v>207043</v>
          </cell>
          <cell r="AH267">
            <v>140207</v>
          </cell>
        </row>
        <row r="268">
          <cell r="H268">
            <v>372000</v>
          </cell>
          <cell r="L268">
            <v>0</v>
          </cell>
          <cell r="M268" t="e">
            <v>#N/A</v>
          </cell>
          <cell r="N268" t="e">
            <v>#REF!</v>
          </cell>
          <cell r="O268" t="str">
            <v>E</v>
          </cell>
        </row>
        <row r="269">
          <cell r="H269">
            <v>373000</v>
          </cell>
          <cell r="K269" t="str">
            <v>Officers</v>
          </cell>
          <cell r="M269" t="e">
            <v>#N/A</v>
          </cell>
          <cell r="N269" t="e">
            <v>#REF!</v>
          </cell>
          <cell r="O269" t="str">
            <v>E</v>
          </cell>
          <cell r="P269">
            <v>0</v>
          </cell>
          <cell r="Q269">
            <v>451974</v>
          </cell>
          <cell r="R269">
            <v>362216</v>
          </cell>
          <cell r="T269">
            <v>0</v>
          </cell>
          <cell r="U269">
            <v>133408</v>
          </cell>
          <cell r="V269">
            <v>125211</v>
          </cell>
          <cell r="X269">
            <v>0</v>
          </cell>
          <cell r="Y269">
            <v>111523</v>
          </cell>
          <cell r="Z269">
            <v>92598</v>
          </cell>
          <cell r="AB269">
            <v>0</v>
          </cell>
          <cell r="AC269">
            <v>0</v>
          </cell>
          <cell r="AD269">
            <v>0</v>
          </cell>
          <cell r="AF269">
            <v>0</v>
          </cell>
          <cell r="AG269">
            <v>207043</v>
          </cell>
          <cell r="AH269">
            <v>144407</v>
          </cell>
        </row>
        <row r="270">
          <cell r="H270">
            <v>374000</v>
          </cell>
          <cell r="K270" t="str">
            <v>Welfare- Staff</v>
          </cell>
          <cell r="M270" t="e">
            <v>#N/A</v>
          </cell>
          <cell r="N270" t="e">
            <v>#REF!</v>
          </cell>
          <cell r="O270" t="str">
            <v>E</v>
          </cell>
        </row>
        <row r="271">
          <cell r="H271">
            <v>375000</v>
          </cell>
          <cell r="I271" t="str">
            <v>6600</v>
          </cell>
          <cell r="L271" t="str">
            <v>Est Staff - Canteen</v>
          </cell>
          <cell r="M271" t="e">
            <v>#N/A</v>
          </cell>
          <cell r="N271" t="e">
            <v>#REF!</v>
          </cell>
          <cell r="O271" t="str">
            <v>E</v>
          </cell>
          <cell r="Q271">
            <v>0</v>
          </cell>
          <cell r="R271">
            <v>147092</v>
          </cell>
          <cell r="U271">
            <v>0</v>
          </cell>
          <cell r="V271">
            <v>0</v>
          </cell>
          <cell r="Y271">
            <v>0</v>
          </cell>
          <cell r="Z271">
            <v>0</v>
          </cell>
          <cell r="AC271">
            <v>0</v>
          </cell>
          <cell r="AD271">
            <v>0</v>
          </cell>
          <cell r="AG271">
            <v>0</v>
          </cell>
          <cell r="AH271">
            <v>147092</v>
          </cell>
        </row>
        <row r="272">
          <cell r="G272">
            <v>13291</v>
          </cell>
          <cell r="H272">
            <v>369000</v>
          </cell>
          <cell r="L272" t="str">
            <v>Est Staff - Office Dress</v>
          </cell>
          <cell r="M272" t="e">
            <v>#N/A</v>
          </cell>
          <cell r="N272" t="e">
            <v>#REF!</v>
          </cell>
          <cell r="O272" t="str">
            <v>E</v>
          </cell>
          <cell r="Q272">
            <v>10800</v>
          </cell>
          <cell r="R272">
            <v>0</v>
          </cell>
          <cell r="U272">
            <v>10800</v>
          </cell>
          <cell r="V272">
            <v>0</v>
          </cell>
          <cell r="Y272">
            <v>0</v>
          </cell>
          <cell r="Z272">
            <v>0</v>
          </cell>
          <cell r="AC272">
            <v>0</v>
          </cell>
          <cell r="AD272">
            <v>0</v>
          </cell>
          <cell r="AG272">
            <v>0</v>
          </cell>
          <cell r="AH272">
            <v>0</v>
          </cell>
        </row>
        <row r="273">
          <cell r="H273">
            <v>376000</v>
          </cell>
          <cell r="L273">
            <v>0</v>
          </cell>
          <cell r="M273" t="e">
            <v>#N/A</v>
          </cell>
          <cell r="N273" t="e">
            <v>#REF!</v>
          </cell>
          <cell r="O273" t="str">
            <v>E</v>
          </cell>
        </row>
        <row r="274">
          <cell r="H274">
            <v>377000</v>
          </cell>
          <cell r="K274" t="str">
            <v>Welfare- Staff</v>
          </cell>
          <cell r="M274" t="e">
            <v>#N/A</v>
          </cell>
          <cell r="N274" t="e">
            <v>#REF!</v>
          </cell>
          <cell r="O274" t="str">
            <v>E</v>
          </cell>
          <cell r="P274">
            <v>0</v>
          </cell>
          <cell r="Q274">
            <v>10800</v>
          </cell>
          <cell r="R274">
            <v>147092</v>
          </cell>
          <cell r="T274">
            <v>0</v>
          </cell>
          <cell r="U274">
            <v>10800</v>
          </cell>
          <cell r="V274">
            <v>0</v>
          </cell>
          <cell r="X274">
            <v>0</v>
          </cell>
          <cell r="Y274">
            <v>0</v>
          </cell>
          <cell r="Z274">
            <v>0</v>
          </cell>
          <cell r="AB274">
            <v>0</v>
          </cell>
          <cell r="AC274">
            <v>0</v>
          </cell>
          <cell r="AD274">
            <v>0</v>
          </cell>
          <cell r="AF274">
            <v>0</v>
          </cell>
          <cell r="AG274">
            <v>0</v>
          </cell>
          <cell r="AH274">
            <v>147092</v>
          </cell>
        </row>
        <row r="275">
          <cell r="H275">
            <v>378000</v>
          </cell>
          <cell r="K275" t="str">
            <v>Welfare- Workmen</v>
          </cell>
          <cell r="M275" t="e">
            <v>#N/A</v>
          </cell>
          <cell r="N275" t="e">
            <v>#REF!</v>
          </cell>
          <cell r="O275" t="str">
            <v>E</v>
          </cell>
        </row>
        <row r="276">
          <cell r="H276">
            <v>379000</v>
          </cell>
          <cell r="I276" t="str">
            <v>6700</v>
          </cell>
          <cell r="L276" t="str">
            <v>Est Lbr - Uniform Exp.</v>
          </cell>
          <cell r="M276" t="e">
            <v>#N/A</v>
          </cell>
          <cell r="N276" t="e">
            <v>#REF!</v>
          </cell>
          <cell r="O276" t="str">
            <v>E</v>
          </cell>
          <cell r="Q276">
            <v>63482</v>
          </cell>
          <cell r="R276">
            <v>43318</v>
          </cell>
          <cell r="U276">
            <v>0</v>
          </cell>
          <cell r="V276">
            <v>0</v>
          </cell>
          <cell r="Y276">
            <v>0</v>
          </cell>
          <cell r="Z276">
            <v>0</v>
          </cell>
          <cell r="AC276">
            <v>63482</v>
          </cell>
          <cell r="AD276">
            <v>43318</v>
          </cell>
          <cell r="AG276">
            <v>0</v>
          </cell>
          <cell r="AH276">
            <v>0</v>
          </cell>
        </row>
        <row r="277">
          <cell r="H277">
            <v>380000</v>
          </cell>
          <cell r="L277">
            <v>0</v>
          </cell>
          <cell r="M277" t="e">
            <v>#N/A</v>
          </cell>
          <cell r="N277" t="e">
            <v>#REF!</v>
          </cell>
          <cell r="O277" t="str">
            <v>E</v>
          </cell>
        </row>
        <row r="278">
          <cell r="H278">
            <v>381000</v>
          </cell>
          <cell r="K278" t="str">
            <v>Welfare- Workmen</v>
          </cell>
          <cell r="M278" t="e">
            <v>#N/A</v>
          </cell>
          <cell r="N278" t="e">
            <v>#REF!</v>
          </cell>
          <cell r="O278" t="str">
            <v>E</v>
          </cell>
          <cell r="P278">
            <v>0</v>
          </cell>
          <cell r="Q278">
            <v>63482</v>
          </cell>
          <cell r="R278">
            <v>43318</v>
          </cell>
          <cell r="T278">
            <v>0</v>
          </cell>
          <cell r="U278">
            <v>0</v>
          </cell>
          <cell r="V278">
            <v>0</v>
          </cell>
          <cell r="X278">
            <v>0</v>
          </cell>
          <cell r="Y278">
            <v>0</v>
          </cell>
          <cell r="Z278">
            <v>0</v>
          </cell>
          <cell r="AB278">
            <v>0</v>
          </cell>
          <cell r="AC278">
            <v>63482</v>
          </cell>
          <cell r="AD278">
            <v>43318</v>
          </cell>
          <cell r="AF278">
            <v>0</v>
          </cell>
          <cell r="AG278">
            <v>0</v>
          </cell>
          <cell r="AH278">
            <v>0</v>
          </cell>
        </row>
        <row r="279">
          <cell r="H279">
            <v>382000</v>
          </cell>
          <cell r="K279" t="str">
            <v>Common Expenses</v>
          </cell>
          <cell r="M279" t="e">
            <v>#N/A</v>
          </cell>
          <cell r="N279" t="e">
            <v>#REF!</v>
          </cell>
          <cell r="O279" t="str">
            <v>E</v>
          </cell>
        </row>
        <row r="280">
          <cell r="G280">
            <v>13314</v>
          </cell>
          <cell r="H280">
            <v>383000</v>
          </cell>
          <cell r="I280" t="str">
            <v>7000</v>
          </cell>
          <cell r="L280" t="str">
            <v>Welfare -Canteen  - Lunch/Dinner</v>
          </cell>
          <cell r="M280" t="str">
            <v>CANTEEN EXPENSES</v>
          </cell>
          <cell r="N280" t="e">
            <v>#REF!</v>
          </cell>
          <cell r="O280" t="str">
            <v>E</v>
          </cell>
          <cell r="Q280">
            <v>8921712</v>
          </cell>
          <cell r="R280">
            <v>6929292</v>
          </cell>
          <cell r="U280">
            <v>5853956</v>
          </cell>
          <cell r="V280">
            <v>4744578</v>
          </cell>
          <cell r="Y280">
            <v>2675943</v>
          </cell>
          <cell r="Z280">
            <v>1928376</v>
          </cell>
          <cell r="AC280">
            <v>382021</v>
          </cell>
          <cell r="AD280">
            <v>247161</v>
          </cell>
          <cell r="AG280">
            <v>9792</v>
          </cell>
          <cell r="AH280">
            <v>9177</v>
          </cell>
        </row>
        <row r="281">
          <cell r="H281">
            <v>384000</v>
          </cell>
          <cell r="I281" t="str">
            <v>7005</v>
          </cell>
          <cell r="L281" t="str">
            <v>Welfare - Canteen Exp - Tea, Milk, Sugar</v>
          </cell>
          <cell r="M281" t="e">
            <v>#N/A</v>
          </cell>
          <cell r="N281" t="e">
            <v>#REF!</v>
          </cell>
          <cell r="O281" t="str">
            <v>E</v>
          </cell>
          <cell r="Q281">
            <v>705574</v>
          </cell>
          <cell r="R281">
            <v>606212</v>
          </cell>
          <cell r="U281">
            <v>0</v>
          </cell>
          <cell r="V281">
            <v>0</v>
          </cell>
          <cell r="Y281">
            <v>0</v>
          </cell>
          <cell r="Z281">
            <v>0</v>
          </cell>
          <cell r="AC281">
            <v>381822</v>
          </cell>
          <cell r="AD281">
            <v>321846</v>
          </cell>
          <cell r="AG281">
            <v>323752</v>
          </cell>
          <cell r="AH281">
            <v>284366</v>
          </cell>
        </row>
        <row r="282">
          <cell r="H282">
            <v>385000</v>
          </cell>
          <cell r="I282" t="str">
            <v>7010</v>
          </cell>
          <cell r="L282" t="str">
            <v>Welfare - Canteen Exp - Cooking Fuel</v>
          </cell>
          <cell r="M282" t="e">
            <v>#N/A</v>
          </cell>
          <cell r="N282" t="e">
            <v>#REF!</v>
          </cell>
          <cell r="O282" t="str">
            <v>E</v>
          </cell>
          <cell r="Q282">
            <v>0</v>
          </cell>
          <cell r="R282">
            <v>0</v>
          </cell>
          <cell r="U282">
            <v>0</v>
          </cell>
          <cell r="V282">
            <v>0</v>
          </cell>
          <cell r="Y282">
            <v>0</v>
          </cell>
          <cell r="Z282">
            <v>0</v>
          </cell>
          <cell r="AC282">
            <v>0</v>
          </cell>
          <cell r="AD282">
            <v>0</v>
          </cell>
          <cell r="AG282">
            <v>0</v>
          </cell>
          <cell r="AH282">
            <v>0</v>
          </cell>
        </row>
        <row r="283">
          <cell r="H283">
            <v>386000</v>
          </cell>
          <cell r="I283" t="str">
            <v>7015</v>
          </cell>
          <cell r="L283" t="str">
            <v>Welfare - Canteen Exp - Guest/Others</v>
          </cell>
          <cell r="M283" t="e">
            <v>#N/A</v>
          </cell>
          <cell r="N283" t="e">
            <v>#REF!</v>
          </cell>
          <cell r="O283" t="str">
            <v>E</v>
          </cell>
          <cell r="Q283">
            <v>32803</v>
          </cell>
          <cell r="R283">
            <v>0</v>
          </cell>
          <cell r="U283">
            <v>0</v>
          </cell>
          <cell r="V283">
            <v>0</v>
          </cell>
          <cell r="Y283">
            <v>0</v>
          </cell>
          <cell r="Z283">
            <v>0</v>
          </cell>
          <cell r="AC283">
            <v>0</v>
          </cell>
          <cell r="AD283">
            <v>0</v>
          </cell>
          <cell r="AG283">
            <v>32803</v>
          </cell>
          <cell r="AH283">
            <v>0</v>
          </cell>
        </row>
        <row r="284">
          <cell r="G284">
            <v>13316</v>
          </cell>
          <cell r="H284">
            <v>387000</v>
          </cell>
          <cell r="I284" t="str">
            <v>7020</v>
          </cell>
          <cell r="L284" t="str">
            <v>Welfare - First Aid</v>
          </cell>
          <cell r="M284" t="str">
            <v>WELFARE - FIRST AID (7020)</v>
          </cell>
          <cell r="N284" t="e">
            <v>#REF!</v>
          </cell>
          <cell r="O284" t="str">
            <v>E</v>
          </cell>
          <cell r="Q284">
            <v>114255</v>
          </cell>
          <cell r="R284">
            <v>138445</v>
          </cell>
          <cell r="U284">
            <v>81999</v>
          </cell>
          <cell r="V284">
            <v>87694</v>
          </cell>
          <cell r="Y284">
            <v>20984</v>
          </cell>
          <cell r="Z284">
            <v>42966</v>
          </cell>
          <cell r="AC284">
            <v>2257</v>
          </cell>
          <cell r="AD284">
            <v>2362</v>
          </cell>
          <cell r="AG284">
            <v>9015</v>
          </cell>
          <cell r="AH284">
            <v>5423</v>
          </cell>
        </row>
        <row r="285">
          <cell r="H285">
            <v>388000</v>
          </cell>
          <cell r="I285" t="str">
            <v>7030</v>
          </cell>
          <cell r="L285" t="str">
            <v>Welfare - Uniform Washing</v>
          </cell>
          <cell r="M285" t="e">
            <v>#N/A</v>
          </cell>
          <cell r="N285" t="e">
            <v>#REF!</v>
          </cell>
          <cell r="O285" t="str">
            <v>E</v>
          </cell>
          <cell r="Q285">
            <v>0</v>
          </cell>
          <cell r="R285">
            <v>0</v>
          </cell>
          <cell r="U285">
            <v>0</v>
          </cell>
          <cell r="V285">
            <v>0</v>
          </cell>
          <cell r="Y285">
            <v>0</v>
          </cell>
          <cell r="Z285">
            <v>0</v>
          </cell>
          <cell r="AC285">
            <v>0</v>
          </cell>
          <cell r="AD285">
            <v>0</v>
          </cell>
          <cell r="AG285">
            <v>0</v>
          </cell>
          <cell r="AH285">
            <v>0</v>
          </cell>
        </row>
        <row r="286">
          <cell r="G286">
            <v>13318</v>
          </cell>
          <cell r="H286">
            <v>389000</v>
          </cell>
          <cell r="I286" t="str">
            <v>7040</v>
          </cell>
          <cell r="L286" t="str">
            <v>Welfare Jeep Bus Car Hire Charges</v>
          </cell>
          <cell r="M286" t="str">
            <v>WELFARE - TRANSPORT (JEEP/ BUS HIRE) EXP. (7040)</v>
          </cell>
          <cell r="N286" t="e">
            <v>#REF!</v>
          </cell>
          <cell r="O286" t="str">
            <v>E</v>
          </cell>
          <cell r="Q286">
            <v>5533637</v>
          </cell>
          <cell r="R286">
            <v>5655994</v>
          </cell>
          <cell r="U286">
            <v>2509117</v>
          </cell>
          <cell r="V286">
            <v>2555344</v>
          </cell>
          <cell r="Y286">
            <v>3024520</v>
          </cell>
          <cell r="Z286">
            <v>3100650</v>
          </cell>
          <cell r="AC286">
            <v>0</v>
          </cell>
          <cell r="AD286">
            <v>0</v>
          </cell>
          <cell r="AG286">
            <v>0</v>
          </cell>
          <cell r="AH286">
            <v>0</v>
          </cell>
        </row>
        <row r="287">
          <cell r="H287">
            <v>390000</v>
          </cell>
          <cell r="I287" t="str">
            <v>7045</v>
          </cell>
          <cell r="L287" t="str">
            <v>Puja (Festival) Expenses</v>
          </cell>
          <cell r="M287" t="e">
            <v>#N/A</v>
          </cell>
          <cell r="N287" t="e">
            <v>#REF!</v>
          </cell>
          <cell r="O287" t="str">
            <v>E</v>
          </cell>
          <cell r="Q287">
            <v>58508</v>
          </cell>
          <cell r="R287">
            <v>52151</v>
          </cell>
          <cell r="U287">
            <v>0</v>
          </cell>
          <cell r="V287">
            <v>0</v>
          </cell>
          <cell r="Y287">
            <v>0</v>
          </cell>
          <cell r="Z287">
            <v>0</v>
          </cell>
          <cell r="AC287">
            <v>51610</v>
          </cell>
          <cell r="AD287">
            <v>46182</v>
          </cell>
          <cell r="AG287">
            <v>6898</v>
          </cell>
          <cell r="AH287">
            <v>5969</v>
          </cell>
        </row>
        <row r="288">
          <cell r="G288">
            <v>13320</v>
          </cell>
          <cell r="H288">
            <v>391000</v>
          </cell>
          <cell r="I288" t="str">
            <v>7050</v>
          </cell>
          <cell r="L288" t="str">
            <v>Welfare - Others</v>
          </cell>
          <cell r="M288" t="str">
            <v>WELFARE - OTHERS (7050)</v>
          </cell>
          <cell r="N288" t="e">
            <v>#REF!</v>
          </cell>
          <cell r="O288" t="str">
            <v>E</v>
          </cell>
          <cell r="Q288">
            <v>2429002</v>
          </cell>
          <cell r="R288">
            <v>3013246</v>
          </cell>
          <cell r="U288">
            <v>1784669</v>
          </cell>
          <cell r="V288">
            <v>2308338</v>
          </cell>
          <cell r="Y288">
            <v>588205</v>
          </cell>
          <cell r="Z288">
            <v>615417</v>
          </cell>
          <cell r="AC288">
            <v>0</v>
          </cell>
          <cell r="AD288">
            <v>0</v>
          </cell>
          <cell r="AG288">
            <v>56128</v>
          </cell>
          <cell r="AH288">
            <v>89491</v>
          </cell>
        </row>
        <row r="289">
          <cell r="H289">
            <v>392000</v>
          </cell>
          <cell r="I289" t="str">
            <v>7661</v>
          </cell>
          <cell r="L289" t="str">
            <v>Welfare - Guest House Exp</v>
          </cell>
          <cell r="M289" t="e">
            <v>#N/A</v>
          </cell>
          <cell r="N289" t="e">
            <v>#REF!</v>
          </cell>
          <cell r="O289" t="str">
            <v>E</v>
          </cell>
          <cell r="Q289">
            <v>147160</v>
          </cell>
          <cell r="R289">
            <v>156959</v>
          </cell>
          <cell r="U289">
            <v>0</v>
          </cell>
          <cell r="V289">
            <v>0</v>
          </cell>
          <cell r="Y289">
            <v>0</v>
          </cell>
          <cell r="Z289">
            <v>0</v>
          </cell>
          <cell r="AC289">
            <v>0</v>
          </cell>
          <cell r="AD289">
            <v>0</v>
          </cell>
          <cell r="AG289">
            <v>147160</v>
          </cell>
          <cell r="AH289">
            <v>156959</v>
          </cell>
        </row>
        <row r="290">
          <cell r="H290">
            <v>393000</v>
          </cell>
          <cell r="L290">
            <v>0</v>
          </cell>
          <cell r="M290" t="e">
            <v>#N/A</v>
          </cell>
          <cell r="N290" t="e">
            <v>#REF!</v>
          </cell>
          <cell r="O290" t="str">
            <v>E</v>
          </cell>
        </row>
        <row r="291">
          <cell r="H291">
            <v>394000</v>
          </cell>
          <cell r="K291" t="str">
            <v>Common Expenses</v>
          </cell>
          <cell r="M291" t="e">
            <v>#N/A</v>
          </cell>
          <cell r="N291" t="e">
            <v>#REF!</v>
          </cell>
          <cell r="O291" t="str">
            <v>E</v>
          </cell>
          <cell r="P291">
            <v>0</v>
          </cell>
          <cell r="Q291">
            <v>17942651</v>
          </cell>
          <cell r="R291">
            <v>16552299</v>
          </cell>
          <cell r="T291">
            <v>0</v>
          </cell>
          <cell r="U291">
            <v>10229741</v>
          </cell>
          <cell r="V291">
            <v>9695954</v>
          </cell>
          <cell r="X291">
            <v>0</v>
          </cell>
          <cell r="Y291">
            <v>6309652</v>
          </cell>
          <cell r="Z291">
            <v>5687409</v>
          </cell>
          <cell r="AB291">
            <v>0</v>
          </cell>
          <cell r="AC291">
            <v>817710</v>
          </cell>
          <cell r="AD291">
            <v>617551</v>
          </cell>
          <cell r="AF291">
            <v>0</v>
          </cell>
          <cell r="AG291">
            <v>585548</v>
          </cell>
          <cell r="AH291">
            <v>551385</v>
          </cell>
        </row>
        <row r="292">
          <cell r="H292">
            <v>395000</v>
          </cell>
          <cell r="J292" t="str">
            <v>Staff Welfare Expenses</v>
          </cell>
          <cell r="M292" t="e">
            <v>#N/A</v>
          </cell>
          <cell r="N292" t="e">
            <v>#REF!</v>
          </cell>
          <cell r="O292" t="str">
            <v>E</v>
          </cell>
          <cell r="P292">
            <v>0</v>
          </cell>
          <cell r="Q292">
            <v>18468907</v>
          </cell>
          <cell r="R292">
            <v>17104925</v>
          </cell>
          <cell r="T292">
            <v>0</v>
          </cell>
          <cell r="U292">
            <v>10373949</v>
          </cell>
          <cell r="V292">
            <v>9821165</v>
          </cell>
          <cell r="X292">
            <v>0</v>
          </cell>
          <cell r="Y292">
            <v>6421175</v>
          </cell>
          <cell r="Z292">
            <v>5780007</v>
          </cell>
          <cell r="AB292">
            <v>0</v>
          </cell>
          <cell r="AC292">
            <v>881192</v>
          </cell>
          <cell r="AD292">
            <v>660869</v>
          </cell>
          <cell r="AF292">
            <v>0</v>
          </cell>
          <cell r="AG292">
            <v>792591</v>
          </cell>
          <cell r="AH292">
            <v>842884</v>
          </cell>
        </row>
        <row r="293">
          <cell r="H293">
            <v>396000</v>
          </cell>
          <cell r="L293">
            <v>0</v>
          </cell>
          <cell r="O293" t="str">
            <v>E</v>
          </cell>
        </row>
        <row r="294">
          <cell r="G294">
            <v>0</v>
          </cell>
          <cell r="H294">
            <v>397000</v>
          </cell>
          <cell r="I294">
            <v>0</v>
          </cell>
          <cell r="J294" t="str">
            <v>EMPLOYEE BENEFITS EXPENSES</v>
          </cell>
          <cell r="M294" t="e">
            <v>#N/A</v>
          </cell>
          <cell r="N294" t="e">
            <v>#REF!</v>
          </cell>
          <cell r="O294" t="str">
            <v>E</v>
          </cell>
          <cell r="P294" t="e">
            <v>#REF!</v>
          </cell>
          <cell r="Q294">
            <v>242222536</v>
          </cell>
          <cell r="R294">
            <v>207765025</v>
          </cell>
          <cell r="T294">
            <v>0</v>
          </cell>
          <cell r="U294">
            <v>139237106</v>
          </cell>
          <cell r="V294">
            <v>115731736</v>
          </cell>
          <cell r="X294">
            <v>0</v>
          </cell>
          <cell r="Y294">
            <v>66975840</v>
          </cell>
          <cell r="Z294">
            <v>64137150</v>
          </cell>
          <cell r="AB294">
            <v>0</v>
          </cell>
          <cell r="AC294">
            <v>17183108</v>
          </cell>
          <cell r="AD294">
            <v>13481572</v>
          </cell>
          <cell r="AF294">
            <v>0</v>
          </cell>
          <cell r="AG294">
            <v>18826482</v>
          </cell>
          <cell r="AH294">
            <v>14414567</v>
          </cell>
        </row>
        <row r="295">
          <cell r="H295">
            <v>398000</v>
          </cell>
          <cell r="M295" t="e">
            <v>#N/A</v>
          </cell>
          <cell r="N295" t="e">
            <v>#REF!</v>
          </cell>
          <cell r="O295" t="str">
            <v>E</v>
          </cell>
          <cell r="Q295">
            <v>0</v>
          </cell>
          <cell r="R295">
            <v>0</v>
          </cell>
        </row>
        <row r="296">
          <cell r="H296">
            <v>400000</v>
          </cell>
          <cell r="J296" t="str">
            <v>FINANCE COST</v>
          </cell>
          <cell r="M296" t="e">
            <v>#N/A</v>
          </cell>
          <cell r="N296" t="e">
            <v>#REF!</v>
          </cell>
          <cell r="O296" t="str">
            <v>E</v>
          </cell>
        </row>
        <row r="297">
          <cell r="H297">
            <v>401000</v>
          </cell>
          <cell r="K297" t="str">
            <v>Interest On Borrowings</v>
          </cell>
          <cell r="M297" t="e">
            <v>#N/A</v>
          </cell>
          <cell r="N297" t="e">
            <v>#REF!</v>
          </cell>
          <cell r="O297" t="str">
            <v>E</v>
          </cell>
        </row>
        <row r="298">
          <cell r="H298">
            <v>402000</v>
          </cell>
          <cell r="K298" t="str">
            <v>From Banks</v>
          </cell>
          <cell r="O298" t="str">
            <v>E</v>
          </cell>
        </row>
        <row r="299">
          <cell r="G299">
            <v>13853</v>
          </cell>
          <cell r="H299">
            <v>403000</v>
          </cell>
          <cell r="I299" t="str">
            <v>7610</v>
          </cell>
          <cell r="L299" t="str">
            <v>Interest On Cash Credit</v>
          </cell>
          <cell r="M299" t="str">
            <v>INTEREST ON WORKING CAPITAL (7610,15,20,25)</v>
          </cell>
          <cell r="N299" t="e">
            <v>#REF!</v>
          </cell>
          <cell r="O299" t="str">
            <v>E</v>
          </cell>
          <cell r="Q299">
            <v>31593785</v>
          </cell>
          <cell r="R299">
            <v>25749685</v>
          </cell>
          <cell r="U299">
            <v>31561256</v>
          </cell>
          <cell r="V299">
            <v>25714409</v>
          </cell>
          <cell r="Y299">
            <v>1910</v>
          </cell>
          <cell r="Z299">
            <v>35276</v>
          </cell>
          <cell r="AC299">
            <v>0</v>
          </cell>
          <cell r="AD299">
            <v>0</v>
          </cell>
          <cell r="AG299">
            <v>30619</v>
          </cell>
          <cell r="AH299">
            <v>0</v>
          </cell>
        </row>
        <row r="300">
          <cell r="H300">
            <v>404000</v>
          </cell>
          <cell r="I300" t="str">
            <v>7615</v>
          </cell>
          <cell r="L300" t="str">
            <v>Interest On Packing Credit</v>
          </cell>
          <cell r="M300" t="e">
            <v>#N/A</v>
          </cell>
          <cell r="N300" t="e">
            <v>#REF!</v>
          </cell>
          <cell r="O300" t="str">
            <v>E</v>
          </cell>
          <cell r="Q300">
            <v>0</v>
          </cell>
          <cell r="R300">
            <v>0</v>
          </cell>
          <cell r="U300">
            <v>0</v>
          </cell>
          <cell r="V300">
            <v>0</v>
          </cell>
          <cell r="Y300">
            <v>0</v>
          </cell>
          <cell r="Z300">
            <v>0</v>
          </cell>
          <cell r="AC300">
            <v>0</v>
          </cell>
          <cell r="AD300">
            <v>0</v>
          </cell>
          <cell r="AG300">
            <v>0</v>
          </cell>
          <cell r="AH300">
            <v>0</v>
          </cell>
        </row>
        <row r="301">
          <cell r="H301">
            <v>405000</v>
          </cell>
          <cell r="I301" t="str">
            <v>7625</v>
          </cell>
          <cell r="L301" t="str">
            <v>Interest On Demand Loan</v>
          </cell>
          <cell r="M301" t="e">
            <v>#N/A</v>
          </cell>
          <cell r="N301" t="e">
            <v>#REF!</v>
          </cell>
          <cell r="O301" t="str">
            <v>E</v>
          </cell>
          <cell r="Q301">
            <v>3888</v>
          </cell>
          <cell r="R301">
            <v>0</v>
          </cell>
          <cell r="U301">
            <v>0</v>
          </cell>
          <cell r="V301">
            <v>0</v>
          </cell>
          <cell r="Y301">
            <v>0</v>
          </cell>
          <cell r="Z301">
            <v>0</v>
          </cell>
          <cell r="AC301">
            <v>0</v>
          </cell>
          <cell r="AD301">
            <v>0</v>
          </cell>
          <cell r="AG301">
            <v>3888</v>
          </cell>
          <cell r="AH301">
            <v>0</v>
          </cell>
        </row>
        <row r="302">
          <cell r="G302">
            <v>13854</v>
          </cell>
          <cell r="H302">
            <v>406000</v>
          </cell>
          <cell r="I302" t="str">
            <v>7630</v>
          </cell>
          <cell r="L302" t="str">
            <v>Interest On Loan - Fcl/Vysya Bank</v>
          </cell>
          <cell r="M302" t="str">
            <v>INTEREST ON TERM LOAN (7630)</v>
          </cell>
          <cell r="N302" t="e">
            <v>#REF!</v>
          </cell>
          <cell r="O302" t="str">
            <v>E</v>
          </cell>
          <cell r="P302">
            <v>0</v>
          </cell>
          <cell r="Q302">
            <v>9041525</v>
          </cell>
          <cell r="R302">
            <v>16348435</v>
          </cell>
          <cell r="T302">
            <v>0</v>
          </cell>
          <cell r="U302">
            <v>8881215</v>
          </cell>
          <cell r="V302">
            <v>14999073</v>
          </cell>
          <cell r="X302">
            <v>0</v>
          </cell>
          <cell r="Y302">
            <v>0</v>
          </cell>
          <cell r="Z302">
            <v>324863</v>
          </cell>
          <cell r="AB302">
            <v>0</v>
          </cell>
          <cell r="AC302">
            <v>0</v>
          </cell>
          <cell r="AD302">
            <v>0</v>
          </cell>
          <cell r="AF302">
            <v>0</v>
          </cell>
          <cell r="AG302">
            <v>160310</v>
          </cell>
          <cell r="AH302">
            <v>1024499</v>
          </cell>
        </row>
        <row r="303">
          <cell r="H303">
            <v>407000</v>
          </cell>
          <cell r="K303" t="str">
            <v>Interest On Borrowings</v>
          </cell>
          <cell r="M303" t="e">
            <v>#N/A</v>
          </cell>
          <cell r="N303" t="e">
            <v>#REF!</v>
          </cell>
          <cell r="O303" t="str">
            <v>E</v>
          </cell>
          <cell r="P303">
            <v>0</v>
          </cell>
          <cell r="Q303">
            <v>40639198</v>
          </cell>
          <cell r="R303">
            <v>42098120</v>
          </cell>
          <cell r="T303">
            <v>0</v>
          </cell>
          <cell r="U303">
            <v>40442471</v>
          </cell>
          <cell r="V303">
            <v>40713482</v>
          </cell>
          <cell r="X303">
            <v>0</v>
          </cell>
          <cell r="Y303">
            <v>1910</v>
          </cell>
          <cell r="Z303">
            <v>360139</v>
          </cell>
          <cell r="AB303">
            <v>0</v>
          </cell>
          <cell r="AC303">
            <v>0</v>
          </cell>
          <cell r="AD303">
            <v>0</v>
          </cell>
          <cell r="AF303">
            <v>0</v>
          </cell>
          <cell r="AG303">
            <v>194817</v>
          </cell>
          <cell r="AH303">
            <v>1024499</v>
          </cell>
        </row>
        <row r="304">
          <cell r="H304">
            <v>408000</v>
          </cell>
          <cell r="K304" t="str">
            <v>From Others</v>
          </cell>
          <cell r="M304" t="e">
            <v>#N/A</v>
          </cell>
          <cell r="N304" t="e">
            <v>#REF!</v>
          </cell>
          <cell r="O304" t="str">
            <v>E</v>
          </cell>
        </row>
        <row r="305">
          <cell r="H305">
            <v>409000</v>
          </cell>
          <cell r="I305" t="str">
            <v>7620</v>
          </cell>
          <cell r="L305" t="str">
            <v>Int On Bl/ Dimple Drums (2012-13) &amp;Interest On Post Shipment Packing Credit (2011-12)</v>
          </cell>
          <cell r="M305" t="e">
            <v>#N/A</v>
          </cell>
          <cell r="N305" t="e">
            <v>#REF!</v>
          </cell>
          <cell r="O305" t="str">
            <v>E</v>
          </cell>
          <cell r="Q305">
            <v>0</v>
          </cell>
          <cell r="R305">
            <v>0</v>
          </cell>
          <cell r="U305">
            <v>0</v>
          </cell>
          <cell r="V305">
            <v>0</v>
          </cell>
          <cell r="Y305">
            <v>0</v>
          </cell>
          <cell r="Z305">
            <v>0</v>
          </cell>
          <cell r="AC305">
            <v>0</v>
          </cell>
          <cell r="AD305">
            <v>0</v>
          </cell>
          <cell r="AG305">
            <v>0</v>
          </cell>
          <cell r="AH305">
            <v>0</v>
          </cell>
        </row>
        <row r="306">
          <cell r="H306">
            <v>410000</v>
          </cell>
          <cell r="L306" t="str">
            <v>Regrouping from Other Interest</v>
          </cell>
          <cell r="M306" t="e">
            <v>#N/A</v>
          </cell>
          <cell r="N306" t="e">
            <v>#REF!</v>
          </cell>
          <cell r="O306" t="str">
            <v>E</v>
          </cell>
          <cell r="Q306">
            <v>0</v>
          </cell>
          <cell r="R306">
            <v>0</v>
          </cell>
          <cell r="Y306">
            <v>0</v>
          </cell>
          <cell r="Z306">
            <v>0</v>
          </cell>
          <cell r="AC306">
            <v>0</v>
          </cell>
          <cell r="AD306">
            <v>0</v>
          </cell>
          <cell r="AG306">
            <v>0</v>
          </cell>
          <cell r="AH306">
            <v>0</v>
          </cell>
        </row>
        <row r="307">
          <cell r="H307">
            <v>411000</v>
          </cell>
          <cell r="L307">
            <v>0</v>
          </cell>
          <cell r="M307" t="e">
            <v>#N/A</v>
          </cell>
          <cell r="N307" t="e">
            <v>#REF!</v>
          </cell>
          <cell r="O307" t="str">
            <v>E</v>
          </cell>
        </row>
        <row r="308">
          <cell r="H308">
            <v>412000</v>
          </cell>
          <cell r="K308" t="str">
            <v>From Others</v>
          </cell>
          <cell r="M308" t="e">
            <v>#N/A</v>
          </cell>
          <cell r="N308" t="e">
            <v>#REF!</v>
          </cell>
          <cell r="O308" t="str">
            <v>E</v>
          </cell>
          <cell r="P308">
            <v>0</v>
          </cell>
          <cell r="Q308">
            <v>0</v>
          </cell>
          <cell r="R308">
            <v>0</v>
          </cell>
          <cell r="T308">
            <v>0</v>
          </cell>
          <cell r="U308">
            <v>0</v>
          </cell>
          <cell r="V308">
            <v>0</v>
          </cell>
          <cell r="X308">
            <v>0</v>
          </cell>
          <cell r="Y308">
            <v>0</v>
          </cell>
          <cell r="Z308">
            <v>0</v>
          </cell>
          <cell r="AB308">
            <v>0</v>
          </cell>
          <cell r="AC308">
            <v>0</v>
          </cell>
          <cell r="AD308">
            <v>0</v>
          </cell>
          <cell r="AF308">
            <v>0</v>
          </cell>
          <cell r="AG308">
            <v>0</v>
          </cell>
          <cell r="AH308">
            <v>0</v>
          </cell>
        </row>
        <row r="309">
          <cell r="H309">
            <v>413000</v>
          </cell>
          <cell r="K309" t="str">
            <v>Other Borrowing Cost</v>
          </cell>
          <cell r="M309" t="e">
            <v>#N/A</v>
          </cell>
          <cell r="N309" t="e">
            <v>#REF!</v>
          </cell>
          <cell r="O309" t="str">
            <v>E</v>
          </cell>
        </row>
        <row r="310">
          <cell r="H310">
            <v>414000</v>
          </cell>
          <cell r="I310" t="str">
            <v>7620</v>
          </cell>
          <cell r="L310" t="str">
            <v>Int On Bl/ Dimple Drums (2012-13) &amp;Interest On Post Shipment Packing Credit (2011-12)</v>
          </cell>
          <cell r="M310" t="e">
            <v>#N/A</v>
          </cell>
          <cell r="N310" t="e">
            <v>#REF!</v>
          </cell>
          <cell r="O310" t="str">
            <v>E</v>
          </cell>
          <cell r="Q310">
            <v>0</v>
          </cell>
          <cell r="R310">
            <v>0</v>
          </cell>
          <cell r="U310">
            <v>0</v>
          </cell>
          <cell r="V310">
            <v>0</v>
          </cell>
          <cell r="Y310">
            <v>0</v>
          </cell>
          <cell r="Z310">
            <v>0</v>
          </cell>
          <cell r="AC310">
            <v>0</v>
          </cell>
          <cell r="AD310">
            <v>0</v>
          </cell>
          <cell r="AG310">
            <v>0</v>
          </cell>
          <cell r="AH310">
            <v>0</v>
          </cell>
        </row>
        <row r="311">
          <cell r="G311">
            <v>13858</v>
          </cell>
          <cell r="H311">
            <v>415000</v>
          </cell>
          <cell r="I311" t="str">
            <v>7645</v>
          </cell>
          <cell r="L311" t="str">
            <v>Interest On Loan Taken From Companies</v>
          </cell>
          <cell r="M311" t="str">
            <v>INTEREST ON CURRENT ACCOUNTS (7645)</v>
          </cell>
          <cell r="N311" t="e">
            <v>#REF!</v>
          </cell>
          <cell r="O311" t="str">
            <v>E</v>
          </cell>
          <cell r="Q311">
            <v>0</v>
          </cell>
          <cell r="R311">
            <v>0</v>
          </cell>
          <cell r="U311">
            <v>-31426000</v>
          </cell>
          <cell r="V311">
            <v>-39520501</v>
          </cell>
          <cell r="Y311">
            <v>19216000</v>
          </cell>
          <cell r="Z311">
            <v>28038000</v>
          </cell>
          <cell r="AC311">
            <v>6390000</v>
          </cell>
          <cell r="AD311">
            <v>6701000</v>
          </cell>
          <cell r="AG311">
            <v>5820000</v>
          </cell>
          <cell r="AH311">
            <v>4781501</v>
          </cell>
        </row>
        <row r="312">
          <cell r="G312">
            <v>13855</v>
          </cell>
          <cell r="H312">
            <v>416000</v>
          </cell>
          <cell r="I312" t="str">
            <v>7640</v>
          </cell>
          <cell r="L312" t="str">
            <v>Other Interest</v>
          </cell>
          <cell r="M312" t="str">
            <v>OTHER INTEREST (7640)</v>
          </cell>
          <cell r="N312" t="e">
            <v>#REF!</v>
          </cell>
          <cell r="O312" t="str">
            <v>E</v>
          </cell>
          <cell r="P312">
            <v>0</v>
          </cell>
          <cell r="Q312">
            <v>574497</v>
          </cell>
          <cell r="R312">
            <v>4464007</v>
          </cell>
          <cell r="T312">
            <v>0</v>
          </cell>
          <cell r="U312">
            <v>193403</v>
          </cell>
          <cell r="V312">
            <v>4433169</v>
          </cell>
          <cell r="X312">
            <v>0</v>
          </cell>
          <cell r="Y312">
            <v>292341</v>
          </cell>
          <cell r="Z312">
            <v>88951</v>
          </cell>
          <cell r="AB312">
            <v>0</v>
          </cell>
          <cell r="AC312">
            <v>33453</v>
          </cell>
          <cell r="AD312">
            <v>-97501</v>
          </cell>
          <cell r="AF312">
            <v>0</v>
          </cell>
          <cell r="AG312">
            <v>55300</v>
          </cell>
          <cell r="AH312">
            <v>39388</v>
          </cell>
        </row>
        <row r="313">
          <cell r="H313" t="str">
            <v>FOR BL ROW TO BE DELETED INSERTED FOR MIS</v>
          </cell>
          <cell r="O313" t="str">
            <v>E</v>
          </cell>
          <cell r="Q313">
            <v>0</v>
          </cell>
          <cell r="R313">
            <v>0</v>
          </cell>
          <cell r="V313">
            <v>0</v>
          </cell>
          <cell r="Y313">
            <v>0</v>
          </cell>
          <cell r="Z313">
            <v>0</v>
          </cell>
          <cell r="AC313">
            <v>0</v>
          </cell>
          <cell r="AD313">
            <v>0</v>
          </cell>
          <cell r="AG313">
            <v>0</v>
          </cell>
          <cell r="AH313">
            <v>0</v>
          </cell>
        </row>
        <row r="314">
          <cell r="H314">
            <v>417000</v>
          </cell>
          <cell r="L314" t="str">
            <v>Regrouping to Others</v>
          </cell>
          <cell r="M314" t="e">
            <v>#N/A</v>
          </cell>
          <cell r="N314" t="e">
            <v>#REF!</v>
          </cell>
          <cell r="O314" t="str">
            <v>E</v>
          </cell>
          <cell r="Q314">
            <v>0</v>
          </cell>
          <cell r="R314">
            <v>0</v>
          </cell>
        </row>
        <row r="315">
          <cell r="H315">
            <v>418000</v>
          </cell>
          <cell r="K315" t="str">
            <v>Other Borrowing Cost</v>
          </cell>
          <cell r="M315" t="e">
            <v>#N/A</v>
          </cell>
          <cell r="N315" t="e">
            <v>#REF!</v>
          </cell>
          <cell r="O315" t="str">
            <v>E</v>
          </cell>
          <cell r="P315">
            <v>0</v>
          </cell>
          <cell r="Q315">
            <v>574497</v>
          </cell>
          <cell r="R315">
            <v>4464007</v>
          </cell>
          <cell r="T315">
            <v>0</v>
          </cell>
          <cell r="U315">
            <v>-31232597</v>
          </cell>
          <cell r="V315">
            <v>-35087332</v>
          </cell>
          <cell r="X315">
            <v>0</v>
          </cell>
          <cell r="Y315">
            <v>19508341</v>
          </cell>
          <cell r="Z315">
            <v>28126951</v>
          </cell>
          <cell r="AB315">
            <v>0</v>
          </cell>
          <cell r="AC315">
            <v>6423453</v>
          </cell>
          <cell r="AD315">
            <v>6603499</v>
          </cell>
          <cell r="AF315">
            <v>0</v>
          </cell>
          <cell r="AG315">
            <v>5875300</v>
          </cell>
          <cell r="AH315">
            <v>4820889</v>
          </cell>
        </row>
        <row r="316">
          <cell r="H316">
            <v>419000</v>
          </cell>
          <cell r="O316" t="str">
            <v>E</v>
          </cell>
        </row>
        <row r="317">
          <cell r="G317">
            <v>0</v>
          </cell>
          <cell r="H317">
            <v>420000</v>
          </cell>
          <cell r="I317">
            <v>0</v>
          </cell>
          <cell r="J317" t="str">
            <v>FINANCE COST</v>
          </cell>
          <cell r="M317" t="e">
            <v>#N/A</v>
          </cell>
          <cell r="N317" t="e">
            <v>#REF!</v>
          </cell>
          <cell r="O317" t="str">
            <v>E</v>
          </cell>
          <cell r="P317">
            <v>0</v>
          </cell>
          <cell r="Q317">
            <v>41213695</v>
          </cell>
          <cell r="R317">
            <v>46562127</v>
          </cell>
          <cell r="T317">
            <v>0</v>
          </cell>
          <cell r="U317">
            <v>9209874</v>
          </cell>
          <cell r="V317">
            <v>5626150</v>
          </cell>
          <cell r="X317">
            <v>0</v>
          </cell>
          <cell r="Y317">
            <v>19510251</v>
          </cell>
          <cell r="Z317">
            <v>28487090</v>
          </cell>
          <cell r="AB317">
            <v>0</v>
          </cell>
          <cell r="AC317">
            <v>6423453</v>
          </cell>
          <cell r="AD317">
            <v>6603499</v>
          </cell>
          <cell r="AF317">
            <v>0</v>
          </cell>
          <cell r="AG317">
            <v>6070117</v>
          </cell>
          <cell r="AH317">
            <v>5845388</v>
          </cell>
        </row>
        <row r="318">
          <cell r="M318" t="e">
            <v>#N/A</v>
          </cell>
          <cell r="N318" t="e">
            <v>#REF!</v>
          </cell>
          <cell r="O318" t="str">
            <v>E</v>
          </cell>
          <cell r="Q318">
            <v>0</v>
          </cell>
          <cell r="R318">
            <v>0</v>
          </cell>
        </row>
        <row r="319">
          <cell r="H319">
            <v>421000</v>
          </cell>
          <cell r="J319" t="str">
            <v>DEPRECIATION AND AMORTISATION EXPENSES</v>
          </cell>
          <cell r="M319" t="e">
            <v>#N/A</v>
          </cell>
          <cell r="N319" t="e">
            <v>#REF!</v>
          </cell>
          <cell r="O319" t="str">
            <v>E</v>
          </cell>
        </row>
        <row r="320">
          <cell r="G320">
            <v>13887</v>
          </cell>
          <cell r="H320">
            <v>422000</v>
          </cell>
          <cell r="I320" t="str">
            <v>7700</v>
          </cell>
          <cell r="L320" t="str">
            <v>Depreciation - Tangible Assets</v>
          </cell>
          <cell r="M320" t="str">
            <v>DEPRECIATION - ENABLING ASSETS (7700)</v>
          </cell>
          <cell r="N320" t="e">
            <v>#REF!</v>
          </cell>
          <cell r="O320" t="str">
            <v>E</v>
          </cell>
          <cell r="Q320">
            <v>55326302</v>
          </cell>
          <cell r="R320">
            <v>65844938</v>
          </cell>
          <cell r="U320">
            <v>25606991</v>
          </cell>
          <cell r="V320">
            <v>26510141</v>
          </cell>
          <cell r="Y320">
            <v>14867119</v>
          </cell>
          <cell r="Z320">
            <v>25347177</v>
          </cell>
          <cell r="AC320">
            <v>6574928</v>
          </cell>
          <cell r="AD320">
            <v>6214631</v>
          </cell>
          <cell r="AG320">
            <v>8277264</v>
          </cell>
          <cell r="AH320">
            <v>7772989</v>
          </cell>
        </row>
        <row r="321">
          <cell r="H321">
            <v>423000</v>
          </cell>
          <cell r="L321" t="str">
            <v>Depreciation - Intangible Assets</v>
          </cell>
          <cell r="O321" t="str">
            <v>E</v>
          </cell>
          <cell r="Q321">
            <v>0</v>
          </cell>
          <cell r="R321">
            <v>0</v>
          </cell>
        </row>
        <row r="322">
          <cell r="H322">
            <v>424000</v>
          </cell>
          <cell r="L322" t="str">
            <v>Total</v>
          </cell>
          <cell r="M322" t="e">
            <v>#N/A</v>
          </cell>
          <cell r="N322" t="e">
            <v>#REF!</v>
          </cell>
          <cell r="O322" t="str">
            <v>E</v>
          </cell>
          <cell r="P322">
            <v>0</v>
          </cell>
          <cell r="Q322">
            <v>55326302</v>
          </cell>
          <cell r="R322">
            <v>65844938</v>
          </cell>
          <cell r="T322">
            <v>0</v>
          </cell>
          <cell r="U322">
            <v>25606991</v>
          </cell>
          <cell r="V322">
            <v>26510141</v>
          </cell>
          <cell r="X322">
            <v>0</v>
          </cell>
          <cell r="Y322">
            <v>14867119</v>
          </cell>
          <cell r="Z322">
            <v>25347177</v>
          </cell>
          <cell r="AB322">
            <v>0</v>
          </cell>
          <cell r="AC322">
            <v>6574928</v>
          </cell>
          <cell r="AD322">
            <v>6214631</v>
          </cell>
          <cell r="AF322">
            <v>0</v>
          </cell>
          <cell r="AG322">
            <v>8277264</v>
          </cell>
          <cell r="AH322">
            <v>7772989</v>
          </cell>
        </row>
        <row r="323">
          <cell r="H323">
            <v>424000</v>
          </cell>
          <cell r="M323" t="e">
            <v>#N/A</v>
          </cell>
          <cell r="N323" t="e">
            <v>#REF!</v>
          </cell>
          <cell r="O323" t="str">
            <v>E</v>
          </cell>
          <cell r="Q323">
            <v>0</v>
          </cell>
          <cell r="R323">
            <v>0</v>
          </cell>
        </row>
        <row r="324">
          <cell r="H324">
            <v>425000</v>
          </cell>
          <cell r="J324" t="str">
            <v>OTHER EXPENSES</v>
          </cell>
          <cell r="M324" t="e">
            <v>#N/A</v>
          </cell>
          <cell r="N324" t="e">
            <v>#REF!</v>
          </cell>
          <cell r="O324" t="str">
            <v>E</v>
          </cell>
        </row>
        <row r="325">
          <cell r="H325">
            <v>426000</v>
          </cell>
          <cell r="J325" t="str">
            <v>Consumption of stores,spares &amp; others</v>
          </cell>
          <cell r="M325" t="e">
            <v>#N/A</v>
          </cell>
          <cell r="N325" t="e">
            <v>#REF!</v>
          </cell>
          <cell r="O325" t="str">
            <v>E</v>
          </cell>
        </row>
        <row r="326">
          <cell r="G326">
            <v>13110</v>
          </cell>
          <cell r="H326">
            <v>427000</v>
          </cell>
          <cell r="I326" t="str">
            <v>6055</v>
          </cell>
          <cell r="L326" t="str">
            <v>Op.Stock - Stores Spares &amp; Consum</v>
          </cell>
          <cell r="M326" t="str">
            <v>OPENING STOCK OF STORES SPARES</v>
          </cell>
          <cell r="N326" t="e">
            <v>#REF!</v>
          </cell>
          <cell r="O326" t="str">
            <v>E</v>
          </cell>
          <cell r="P326">
            <v>0</v>
          </cell>
          <cell r="Q326">
            <v>52744464</v>
          </cell>
          <cell r="R326">
            <v>48233047</v>
          </cell>
          <cell r="T326">
            <v>0</v>
          </cell>
          <cell r="U326">
            <v>32054425</v>
          </cell>
          <cell r="V326">
            <v>28633548</v>
          </cell>
          <cell r="X326">
            <v>0</v>
          </cell>
          <cell r="Y326">
            <v>18723177</v>
          </cell>
          <cell r="Z326">
            <v>17890136</v>
          </cell>
          <cell r="AB326">
            <v>0</v>
          </cell>
          <cell r="AC326">
            <v>554252</v>
          </cell>
          <cell r="AD326">
            <v>366372</v>
          </cell>
          <cell r="AF326">
            <v>0</v>
          </cell>
          <cell r="AG326">
            <v>1412610</v>
          </cell>
          <cell r="AH326">
            <v>1342991</v>
          </cell>
        </row>
        <row r="327">
          <cell r="G327">
            <v>15071</v>
          </cell>
          <cell r="H327">
            <v>428000</v>
          </cell>
          <cell r="I327" t="str">
            <v>6060</v>
          </cell>
          <cell r="L327" t="str">
            <v>Purchase A/C -  Spare Parts { Local }</v>
          </cell>
          <cell r="M327" t="str">
            <v>PURCHASE A/C - STORES, SPARES CONSUMABLES STOCK</v>
          </cell>
          <cell r="N327" t="e">
            <v>#REF!</v>
          </cell>
          <cell r="O327" t="str">
            <v>E</v>
          </cell>
          <cell r="P327">
            <v>0</v>
          </cell>
          <cell r="Q327">
            <v>65330026</v>
          </cell>
          <cell r="R327">
            <v>58508375</v>
          </cell>
          <cell r="T327">
            <v>0</v>
          </cell>
          <cell r="U327">
            <v>39820694</v>
          </cell>
          <cell r="V327">
            <v>38512757</v>
          </cell>
          <cell r="X327">
            <v>0</v>
          </cell>
          <cell r="Y327">
            <v>21269776</v>
          </cell>
          <cell r="Z327">
            <v>18209236</v>
          </cell>
          <cell r="AB327">
            <v>0</v>
          </cell>
          <cell r="AC327">
            <v>1574261</v>
          </cell>
          <cell r="AD327">
            <v>326950</v>
          </cell>
          <cell r="AF327">
            <v>0</v>
          </cell>
          <cell r="AG327">
            <v>2665295</v>
          </cell>
          <cell r="AH327">
            <v>1459432</v>
          </cell>
        </row>
        <row r="328">
          <cell r="H328">
            <v>429000</v>
          </cell>
          <cell r="I328" t="str">
            <v>6070</v>
          </cell>
          <cell r="L328" t="str">
            <v>Purchase A/C -  Spare Parts { Imported)</v>
          </cell>
          <cell r="M328" t="e">
            <v>#N/A</v>
          </cell>
          <cell r="N328" t="e">
            <v>#REF!</v>
          </cell>
          <cell r="O328" t="str">
            <v>E</v>
          </cell>
          <cell r="P328">
            <v>0</v>
          </cell>
          <cell r="Q328">
            <v>201120</v>
          </cell>
          <cell r="R328">
            <v>252215</v>
          </cell>
          <cell r="T328">
            <v>0</v>
          </cell>
          <cell r="U328">
            <v>0</v>
          </cell>
          <cell r="V328">
            <v>0</v>
          </cell>
          <cell r="X328">
            <v>0</v>
          </cell>
          <cell r="Y328">
            <v>0</v>
          </cell>
          <cell r="Z328">
            <v>0</v>
          </cell>
          <cell r="AB328">
            <v>0</v>
          </cell>
          <cell r="AC328">
            <v>110757</v>
          </cell>
          <cell r="AD328">
            <v>206758</v>
          </cell>
          <cell r="AF328">
            <v>0</v>
          </cell>
          <cell r="AG328">
            <v>90363</v>
          </cell>
          <cell r="AH328">
            <v>45457</v>
          </cell>
        </row>
        <row r="329">
          <cell r="H329">
            <v>430000</v>
          </cell>
          <cell r="I329" t="str">
            <v>6090</v>
          </cell>
          <cell r="L329" t="str">
            <v>Purchase A/C -  Consumables  { Local }</v>
          </cell>
          <cell r="M329" t="e">
            <v>#N/A</v>
          </cell>
          <cell r="N329" t="e">
            <v>#REF!</v>
          </cell>
          <cell r="O329" t="str">
            <v>E</v>
          </cell>
          <cell r="P329">
            <v>0</v>
          </cell>
          <cell r="Q329">
            <v>2948106</v>
          </cell>
          <cell r="R329">
            <v>2198819</v>
          </cell>
          <cell r="T329">
            <v>0</v>
          </cell>
          <cell r="U329">
            <v>0</v>
          </cell>
          <cell r="V329">
            <v>0</v>
          </cell>
          <cell r="X329">
            <v>0</v>
          </cell>
          <cell r="Y329">
            <v>0</v>
          </cell>
          <cell r="Z329">
            <v>0</v>
          </cell>
          <cell r="AB329">
            <v>0</v>
          </cell>
          <cell r="AC329">
            <v>771092</v>
          </cell>
          <cell r="AD329">
            <v>552087</v>
          </cell>
          <cell r="AF329">
            <v>0</v>
          </cell>
          <cell r="AG329">
            <v>2177014</v>
          </cell>
          <cell r="AH329">
            <v>1646732</v>
          </cell>
        </row>
        <row r="330">
          <cell r="G330">
            <v>13115</v>
          </cell>
          <cell r="H330">
            <v>431000</v>
          </cell>
          <cell r="I330" t="str">
            <v>6250</v>
          </cell>
          <cell r="L330" t="str">
            <v>Other Manufacturing Exp/ Services</v>
          </cell>
          <cell r="M330" t="str">
            <v>OTHER MANUFACTURING EXP/ SERVICES (6250)</v>
          </cell>
          <cell r="N330" t="e">
            <v>#REF!</v>
          </cell>
          <cell r="O330" t="str">
            <v>E</v>
          </cell>
          <cell r="P330">
            <v>0</v>
          </cell>
          <cell r="Q330">
            <v>24885712</v>
          </cell>
          <cell r="R330">
            <v>17042596</v>
          </cell>
          <cell r="T330">
            <v>0</v>
          </cell>
          <cell r="U330">
            <v>1314078</v>
          </cell>
          <cell r="V330">
            <v>1381430</v>
          </cell>
          <cell r="X330">
            <v>0</v>
          </cell>
          <cell r="Y330">
            <v>22857344</v>
          </cell>
          <cell r="Z330">
            <v>15050021</v>
          </cell>
          <cell r="AB330">
            <v>0</v>
          </cell>
          <cell r="AC330">
            <v>0</v>
          </cell>
          <cell r="AD330">
            <v>22588</v>
          </cell>
          <cell r="AF330">
            <v>0</v>
          </cell>
          <cell r="AG330">
            <v>714290</v>
          </cell>
          <cell r="AH330">
            <v>588557</v>
          </cell>
        </row>
        <row r="331">
          <cell r="G331">
            <v>13117</v>
          </cell>
          <cell r="H331">
            <v>432000</v>
          </cell>
          <cell r="I331" t="str">
            <v>8985</v>
          </cell>
          <cell r="L331" t="str">
            <v>Cl. St. - Store Spares &amp; Consum - P&amp;L</v>
          </cell>
          <cell r="M331" t="str">
            <v>CLOSING STOCK OF STORES SPARES (P&amp;L)</v>
          </cell>
          <cell r="N331" t="e">
            <v>#REF!</v>
          </cell>
          <cell r="O331" t="str">
            <v>E</v>
          </cell>
          <cell r="P331">
            <v>0</v>
          </cell>
          <cell r="Q331">
            <v>-58030210</v>
          </cell>
          <cell r="R331">
            <v>-52744464</v>
          </cell>
          <cell r="T331">
            <v>0</v>
          </cell>
          <cell r="U331">
            <v>-36709707</v>
          </cell>
          <cell r="V331">
            <v>-32054425</v>
          </cell>
          <cell r="X331">
            <v>0</v>
          </cell>
          <cell r="Y331">
            <v>-19624499</v>
          </cell>
          <cell r="Z331">
            <v>-18723177</v>
          </cell>
          <cell r="AB331">
            <v>0</v>
          </cell>
          <cell r="AC331">
            <v>-239038</v>
          </cell>
          <cell r="AD331">
            <v>-554252</v>
          </cell>
          <cell r="AF331">
            <v>0</v>
          </cell>
          <cell r="AG331">
            <v>-1456966</v>
          </cell>
          <cell r="AH331">
            <v>-1412610</v>
          </cell>
        </row>
        <row r="332">
          <cell r="H332">
            <v>433000</v>
          </cell>
          <cell r="L332" t="str">
            <v>Other Manufacturing Exp/ Services</v>
          </cell>
          <cell r="M332" t="e">
            <v>#N/A</v>
          </cell>
          <cell r="N332" t="e">
            <v>#REF!</v>
          </cell>
          <cell r="O332" t="str">
            <v>E</v>
          </cell>
          <cell r="P332">
            <v>0</v>
          </cell>
          <cell r="Q332">
            <v>0</v>
          </cell>
          <cell r="R332">
            <v>0</v>
          </cell>
          <cell r="T332">
            <v>0</v>
          </cell>
          <cell r="U332">
            <v>0</v>
          </cell>
          <cell r="V332">
            <v>0</v>
          </cell>
          <cell r="X332">
            <v>0</v>
          </cell>
          <cell r="Y332">
            <v>0</v>
          </cell>
          <cell r="Z332">
            <v>0</v>
          </cell>
          <cell r="AB332">
            <v>0</v>
          </cell>
          <cell r="AC332">
            <v>0</v>
          </cell>
          <cell r="AD332">
            <v>0</v>
          </cell>
          <cell r="AF332">
            <v>0</v>
          </cell>
          <cell r="AG332">
            <v>0</v>
          </cell>
          <cell r="AH332">
            <v>0</v>
          </cell>
        </row>
        <row r="333">
          <cell r="H333">
            <v>434000</v>
          </cell>
          <cell r="J333" t="str">
            <v>Consumption of stores,spares &amp; others</v>
          </cell>
          <cell r="M333" t="e">
            <v>#N/A</v>
          </cell>
          <cell r="N333" t="e">
            <v>#REF!</v>
          </cell>
          <cell r="O333" t="str">
            <v>E</v>
          </cell>
          <cell r="P333">
            <v>0</v>
          </cell>
          <cell r="Q333">
            <v>88079218</v>
          </cell>
          <cell r="R333">
            <v>73490588</v>
          </cell>
          <cell r="T333">
            <v>0</v>
          </cell>
          <cell r="U333">
            <v>36479490</v>
          </cell>
          <cell r="V333">
            <v>36473310</v>
          </cell>
          <cell r="X333">
            <v>0</v>
          </cell>
          <cell r="Y333">
            <v>43225798</v>
          </cell>
          <cell r="Z333">
            <v>32426216</v>
          </cell>
          <cell r="AB333">
            <v>0</v>
          </cell>
          <cell r="AC333">
            <v>2771324</v>
          </cell>
          <cell r="AD333">
            <v>920503</v>
          </cell>
          <cell r="AF333">
            <v>0</v>
          </cell>
          <cell r="AG333">
            <v>5602606</v>
          </cell>
          <cell r="AH333">
            <v>3670559</v>
          </cell>
        </row>
        <row r="334">
          <cell r="H334">
            <v>435000</v>
          </cell>
          <cell r="J334" t="str">
            <v>Power &amp; Fuel</v>
          </cell>
          <cell r="M334" t="e">
            <v>#N/A</v>
          </cell>
          <cell r="N334" t="e">
            <v>#REF!</v>
          </cell>
          <cell r="O334" t="str">
            <v>E</v>
          </cell>
          <cell r="Q334">
            <v>0</v>
          </cell>
          <cell r="R334">
            <v>0</v>
          </cell>
        </row>
        <row r="335">
          <cell r="G335">
            <v>13121</v>
          </cell>
          <cell r="H335">
            <v>436000</v>
          </cell>
          <cell r="I335" t="str">
            <v>6210</v>
          </cell>
          <cell r="L335" t="str">
            <v>Power &amp; Fuel / Factory</v>
          </cell>
          <cell r="M335" t="str">
            <v>POWER (FACTORY) (6210)</v>
          </cell>
          <cell r="N335" t="e">
            <v>#REF!</v>
          </cell>
          <cell r="O335" t="str">
            <v>E</v>
          </cell>
          <cell r="Q335">
            <v>158653575</v>
          </cell>
          <cell r="R335">
            <v>154490651</v>
          </cell>
          <cell r="U335">
            <v>29956083</v>
          </cell>
          <cell r="V335">
            <v>33387578</v>
          </cell>
          <cell r="Y335">
            <v>84631439</v>
          </cell>
          <cell r="Z335">
            <v>87048206</v>
          </cell>
          <cell r="AC335">
            <v>23210440</v>
          </cell>
          <cell r="AD335">
            <v>18901336</v>
          </cell>
          <cell r="AG335">
            <v>20855613</v>
          </cell>
          <cell r="AH335">
            <v>15153531</v>
          </cell>
        </row>
        <row r="336">
          <cell r="G336">
            <v>13384</v>
          </cell>
          <cell r="H336">
            <v>437000</v>
          </cell>
          <cell r="I336" t="str">
            <v>6220</v>
          </cell>
          <cell r="L336" t="str">
            <v>Water</v>
          </cell>
          <cell r="M336" t="str">
            <v>WATER (6220)</v>
          </cell>
          <cell r="N336" t="e">
            <v>#REF!</v>
          </cell>
          <cell r="O336" t="str">
            <v>E</v>
          </cell>
          <cell r="P336">
            <v>0</v>
          </cell>
          <cell r="Q336">
            <v>3047968</v>
          </cell>
          <cell r="R336">
            <v>3198430</v>
          </cell>
          <cell r="T336">
            <v>0</v>
          </cell>
          <cell r="U336">
            <v>1404688</v>
          </cell>
          <cell r="V336">
            <v>2009109</v>
          </cell>
          <cell r="X336">
            <v>0</v>
          </cell>
          <cell r="Y336">
            <v>1459705</v>
          </cell>
          <cell r="Z336">
            <v>1034191</v>
          </cell>
          <cell r="AB336">
            <v>0</v>
          </cell>
          <cell r="AC336">
            <v>183575</v>
          </cell>
          <cell r="AD336">
            <v>155130</v>
          </cell>
          <cell r="AF336">
            <v>0</v>
          </cell>
          <cell r="AG336">
            <v>0</v>
          </cell>
          <cell r="AH336">
            <v>0</v>
          </cell>
        </row>
        <row r="337">
          <cell r="G337">
            <v>13124</v>
          </cell>
          <cell r="H337">
            <v>438000</v>
          </cell>
          <cell r="I337" t="str">
            <v>6211</v>
          </cell>
          <cell r="L337" t="str">
            <v>Power &amp; Fuel - Office</v>
          </cell>
          <cell r="M337" t="str">
            <v>POWER (OFFICE)</v>
          </cell>
          <cell r="N337" t="e">
            <v>#REF!</v>
          </cell>
          <cell r="O337" t="str">
            <v>E</v>
          </cell>
          <cell r="Q337">
            <v>911202</v>
          </cell>
          <cell r="R337">
            <v>869878</v>
          </cell>
          <cell r="U337">
            <v>665848</v>
          </cell>
          <cell r="V337">
            <v>807415</v>
          </cell>
          <cell r="Y337">
            <v>18000</v>
          </cell>
          <cell r="Z337">
            <v>18000</v>
          </cell>
          <cell r="AC337">
            <v>227354</v>
          </cell>
          <cell r="AD337">
            <v>44463</v>
          </cell>
          <cell r="AG337">
            <v>0</v>
          </cell>
          <cell r="AH337">
            <v>0</v>
          </cell>
        </row>
        <row r="338">
          <cell r="H338">
            <v>439000</v>
          </cell>
          <cell r="J338" t="str">
            <v>Power &amp; Fuel</v>
          </cell>
          <cell r="M338" t="e">
            <v>#N/A</v>
          </cell>
          <cell r="N338" t="e">
            <v>#REF!</v>
          </cell>
          <cell r="O338" t="str">
            <v>E</v>
          </cell>
          <cell r="P338">
            <v>0</v>
          </cell>
          <cell r="Q338">
            <v>162612745</v>
          </cell>
          <cell r="R338">
            <v>158558959</v>
          </cell>
          <cell r="T338">
            <v>0</v>
          </cell>
          <cell r="U338">
            <v>32026619</v>
          </cell>
          <cell r="V338">
            <v>36204102</v>
          </cell>
          <cell r="X338">
            <v>0</v>
          </cell>
          <cell r="Y338">
            <v>86109144</v>
          </cell>
          <cell r="Z338">
            <v>88100397</v>
          </cell>
          <cell r="AB338">
            <v>0</v>
          </cell>
          <cell r="AC338">
            <v>23621369</v>
          </cell>
          <cell r="AD338">
            <v>19100929</v>
          </cell>
          <cell r="AF338">
            <v>0</v>
          </cell>
          <cell r="AG338">
            <v>20855613</v>
          </cell>
          <cell r="AH338">
            <v>15153531</v>
          </cell>
        </row>
        <row r="339">
          <cell r="H339">
            <v>440000</v>
          </cell>
          <cell r="J339" t="str">
            <v>Screen Printing Charges</v>
          </cell>
          <cell r="M339" t="e">
            <v>#N/A</v>
          </cell>
          <cell r="N339" t="e">
            <v>#REF!</v>
          </cell>
          <cell r="O339" t="str">
            <v>E</v>
          </cell>
          <cell r="Q339">
            <v>0</v>
          </cell>
          <cell r="R339">
            <v>0</v>
          </cell>
        </row>
        <row r="340">
          <cell r="G340">
            <v>13704</v>
          </cell>
          <cell r="H340">
            <v>441000</v>
          </cell>
          <cell r="I340" t="str">
            <v>6230</v>
          </cell>
          <cell r="L340" t="str">
            <v>Screen Printing Charges</v>
          </cell>
          <cell r="M340" t="str">
            <v>SCREEN PRINTING CHARGES (6230)</v>
          </cell>
          <cell r="N340" t="e">
            <v>#REF!</v>
          </cell>
          <cell r="O340" t="str">
            <v>E</v>
          </cell>
          <cell r="Q340">
            <v>20182304</v>
          </cell>
          <cell r="R340">
            <v>17567056</v>
          </cell>
          <cell r="U340">
            <v>0</v>
          </cell>
          <cell r="V340">
            <v>0</v>
          </cell>
          <cell r="Y340">
            <v>18107275</v>
          </cell>
          <cell r="Z340">
            <v>15791566</v>
          </cell>
          <cell r="AC340">
            <v>2075029</v>
          </cell>
          <cell r="AD340">
            <v>1730292</v>
          </cell>
          <cell r="AG340">
            <v>0</v>
          </cell>
          <cell r="AH340">
            <v>45198</v>
          </cell>
        </row>
        <row r="341">
          <cell r="H341">
            <v>442000</v>
          </cell>
          <cell r="L341">
            <v>0</v>
          </cell>
          <cell r="M341" t="e">
            <v>#N/A</v>
          </cell>
          <cell r="N341" t="e">
            <v>#REF!</v>
          </cell>
          <cell r="O341" t="str">
            <v>E</v>
          </cell>
          <cell r="AC341">
            <v>0</v>
          </cell>
          <cell r="AD341">
            <v>0</v>
          </cell>
          <cell r="AG341">
            <v>0</v>
          </cell>
          <cell r="AH341">
            <v>0</v>
          </cell>
        </row>
        <row r="342">
          <cell r="H342">
            <v>443000</v>
          </cell>
          <cell r="J342" t="str">
            <v>Screen Printing Charges</v>
          </cell>
          <cell r="M342" t="e">
            <v>#N/A</v>
          </cell>
          <cell r="N342" t="e">
            <v>#REF!</v>
          </cell>
          <cell r="O342" t="str">
            <v>E</v>
          </cell>
          <cell r="P342">
            <v>0</v>
          </cell>
          <cell r="Q342">
            <v>20182304</v>
          </cell>
          <cell r="R342">
            <v>17567056</v>
          </cell>
          <cell r="T342">
            <v>0</v>
          </cell>
          <cell r="U342">
            <v>0</v>
          </cell>
          <cell r="V342">
            <v>0</v>
          </cell>
          <cell r="X342">
            <v>0</v>
          </cell>
          <cell r="Y342">
            <v>18107275</v>
          </cell>
          <cell r="Z342">
            <v>15791566</v>
          </cell>
          <cell r="AB342">
            <v>0</v>
          </cell>
          <cell r="AC342">
            <v>2075029</v>
          </cell>
          <cell r="AD342">
            <v>1730292</v>
          </cell>
          <cell r="AF342">
            <v>0</v>
          </cell>
          <cell r="AG342">
            <v>0</v>
          </cell>
          <cell r="AH342">
            <v>45198</v>
          </cell>
        </row>
        <row r="343">
          <cell r="H343">
            <v>444000</v>
          </cell>
          <cell r="J343" t="str">
            <v>Repairs</v>
          </cell>
          <cell r="M343" t="e">
            <v>#N/A</v>
          </cell>
          <cell r="N343" t="e">
            <v>#REF!</v>
          </cell>
          <cell r="O343" t="str">
            <v>E</v>
          </cell>
          <cell r="Q343">
            <v>0</v>
          </cell>
          <cell r="R343">
            <v>0</v>
          </cell>
        </row>
        <row r="344">
          <cell r="H344">
            <v>445000</v>
          </cell>
          <cell r="K344" t="str">
            <v>Plant and Machinery</v>
          </cell>
          <cell r="M344" t="e">
            <v>#N/A</v>
          </cell>
          <cell r="N344" t="e">
            <v>#REF!</v>
          </cell>
          <cell r="O344" t="str">
            <v>E</v>
          </cell>
          <cell r="AC344">
            <v>0</v>
          </cell>
          <cell r="AD344">
            <v>0</v>
          </cell>
          <cell r="AG344">
            <v>0</v>
          </cell>
          <cell r="AH344">
            <v>0</v>
          </cell>
        </row>
        <row r="345">
          <cell r="G345">
            <v>13132</v>
          </cell>
          <cell r="H345">
            <v>446000</v>
          </cell>
          <cell r="I345" t="str">
            <v>6310</v>
          </cell>
          <cell r="L345" t="str">
            <v>Repairs &amp; Maint + Plant &amp; Machinery</v>
          </cell>
          <cell r="M345" t="str">
            <v>REPAIRS &amp; MAINT - PLANT &amp; MACHINERY (6310)</v>
          </cell>
          <cell r="N345" t="e">
            <v>#REF!</v>
          </cell>
          <cell r="O345" t="str">
            <v>E</v>
          </cell>
          <cell r="Q345">
            <v>16235915</v>
          </cell>
          <cell r="R345">
            <v>11725239</v>
          </cell>
          <cell r="U345">
            <v>8306592</v>
          </cell>
          <cell r="V345">
            <v>6721099</v>
          </cell>
          <cell r="Y345">
            <v>5903692</v>
          </cell>
          <cell r="Z345">
            <v>3099758</v>
          </cell>
          <cell r="AC345">
            <v>922299</v>
          </cell>
          <cell r="AD345">
            <v>701692</v>
          </cell>
          <cell r="AG345">
            <v>1103332</v>
          </cell>
          <cell r="AH345">
            <v>1202690</v>
          </cell>
        </row>
        <row r="346">
          <cell r="H346">
            <v>447000</v>
          </cell>
          <cell r="L346">
            <v>0</v>
          </cell>
          <cell r="M346" t="e">
            <v>#N/A</v>
          </cell>
          <cell r="N346" t="e">
            <v>#REF!</v>
          </cell>
          <cell r="O346" t="str">
            <v>E</v>
          </cell>
          <cell r="AC346">
            <v>0</v>
          </cell>
          <cell r="AD346">
            <v>0</v>
          </cell>
          <cell r="AG346">
            <v>0</v>
          </cell>
          <cell r="AH346">
            <v>0</v>
          </cell>
        </row>
        <row r="347">
          <cell r="H347">
            <v>448000</v>
          </cell>
          <cell r="K347" t="str">
            <v>Plant and Machinery</v>
          </cell>
          <cell r="M347" t="e">
            <v>#N/A</v>
          </cell>
          <cell r="N347" t="e">
            <v>#REF!</v>
          </cell>
          <cell r="O347" t="str">
            <v>E</v>
          </cell>
          <cell r="P347">
            <v>0</v>
          </cell>
          <cell r="Q347">
            <v>16235915</v>
          </cell>
          <cell r="R347">
            <v>11725239</v>
          </cell>
          <cell r="T347">
            <v>0</v>
          </cell>
          <cell r="U347">
            <v>8306592</v>
          </cell>
          <cell r="V347">
            <v>6721099</v>
          </cell>
          <cell r="X347">
            <v>0</v>
          </cell>
          <cell r="Y347">
            <v>5903692</v>
          </cell>
          <cell r="Z347">
            <v>3099758</v>
          </cell>
          <cell r="AB347">
            <v>0</v>
          </cell>
          <cell r="AC347">
            <v>922299</v>
          </cell>
          <cell r="AD347">
            <v>701692</v>
          </cell>
          <cell r="AF347">
            <v>0</v>
          </cell>
          <cell r="AG347">
            <v>1103332</v>
          </cell>
          <cell r="AH347">
            <v>1202690</v>
          </cell>
        </row>
        <row r="348">
          <cell r="H348">
            <v>449000</v>
          </cell>
          <cell r="K348" t="str">
            <v>Buildings</v>
          </cell>
          <cell r="M348" t="e">
            <v>#N/A</v>
          </cell>
          <cell r="N348" t="e">
            <v>#REF!</v>
          </cell>
          <cell r="O348" t="str">
            <v>E</v>
          </cell>
          <cell r="Q348">
            <v>0</v>
          </cell>
          <cell r="R348">
            <v>0</v>
          </cell>
        </row>
        <row r="349">
          <cell r="G349">
            <v>13137</v>
          </cell>
          <cell r="H349">
            <v>450000</v>
          </cell>
          <cell r="I349" t="str">
            <v>6320</v>
          </cell>
          <cell r="L349" t="str">
            <v>Repairs &amp; Maint + Building/Flat</v>
          </cell>
          <cell r="M349" t="str">
            <v>REPAIRS &amp; MAINT - BUILDING (6320)</v>
          </cell>
          <cell r="N349" t="e">
            <v>#REF!</v>
          </cell>
          <cell r="O349" t="str">
            <v>E</v>
          </cell>
          <cell r="Q349">
            <v>4933591</v>
          </cell>
          <cell r="R349">
            <v>8595988</v>
          </cell>
          <cell r="U349">
            <v>2076844</v>
          </cell>
          <cell r="V349">
            <v>4124189</v>
          </cell>
          <cell r="Y349">
            <v>2669364</v>
          </cell>
          <cell r="Z349">
            <v>3787639</v>
          </cell>
          <cell r="AC349">
            <v>47398</v>
          </cell>
          <cell r="AD349">
            <v>135672</v>
          </cell>
          <cell r="AG349">
            <v>139985</v>
          </cell>
          <cell r="AH349">
            <v>548488</v>
          </cell>
        </row>
        <row r="350">
          <cell r="G350">
            <v>13139</v>
          </cell>
          <cell r="H350">
            <v>451000</v>
          </cell>
          <cell r="I350" t="str">
            <v>7473</v>
          </cell>
          <cell r="L350" t="str">
            <v>Garden Maint.</v>
          </cell>
          <cell r="M350" t="str">
            <v>GARDEN MAINT.(7473)</v>
          </cell>
          <cell r="N350" t="e">
            <v>#REF!</v>
          </cell>
          <cell r="O350" t="str">
            <v>E</v>
          </cell>
          <cell r="Q350">
            <v>204884</v>
          </cell>
          <cell r="R350">
            <v>380920</v>
          </cell>
          <cell r="U350">
            <v>103765</v>
          </cell>
          <cell r="V350">
            <v>152594</v>
          </cell>
          <cell r="Y350">
            <v>240</v>
          </cell>
          <cell r="Z350">
            <v>118700</v>
          </cell>
          <cell r="AC350">
            <v>900</v>
          </cell>
          <cell r="AD350">
            <v>736</v>
          </cell>
          <cell r="AG350">
            <v>99979</v>
          </cell>
          <cell r="AH350">
            <v>108890</v>
          </cell>
        </row>
        <row r="351">
          <cell r="H351">
            <v>452000</v>
          </cell>
          <cell r="K351" t="str">
            <v>Buildings</v>
          </cell>
          <cell r="M351" t="e">
            <v>#N/A</v>
          </cell>
          <cell r="N351" t="e">
            <v>#REF!</v>
          </cell>
          <cell r="O351" t="str">
            <v>E</v>
          </cell>
          <cell r="P351">
            <v>0</v>
          </cell>
          <cell r="Q351">
            <v>5138475</v>
          </cell>
          <cell r="R351">
            <v>8976908</v>
          </cell>
          <cell r="T351">
            <v>0</v>
          </cell>
          <cell r="U351">
            <v>2180609</v>
          </cell>
          <cell r="V351">
            <v>4276783</v>
          </cell>
          <cell r="X351">
            <v>0</v>
          </cell>
          <cell r="Y351">
            <v>2669604</v>
          </cell>
          <cell r="Z351">
            <v>3906339</v>
          </cell>
          <cell r="AB351">
            <v>0</v>
          </cell>
          <cell r="AC351">
            <v>48298</v>
          </cell>
          <cell r="AD351">
            <v>136408</v>
          </cell>
          <cell r="AF351">
            <v>0</v>
          </cell>
          <cell r="AG351">
            <v>239964</v>
          </cell>
          <cell r="AH351">
            <v>657378</v>
          </cell>
        </row>
        <row r="352">
          <cell r="H352">
            <v>453000</v>
          </cell>
          <cell r="K352" t="str">
            <v>Others</v>
          </cell>
          <cell r="M352" t="e">
            <v>#N/A</v>
          </cell>
          <cell r="N352" t="e">
            <v>#REF!</v>
          </cell>
          <cell r="O352" t="str">
            <v>E</v>
          </cell>
          <cell r="Q352">
            <v>0</v>
          </cell>
          <cell r="R352">
            <v>0</v>
          </cell>
        </row>
        <row r="353">
          <cell r="G353">
            <v>13141</v>
          </cell>
          <cell r="H353">
            <v>454000</v>
          </cell>
          <cell r="I353" t="str">
            <v>6315</v>
          </cell>
          <cell r="L353" t="str">
            <v>Repairs To Furniture /Equipment</v>
          </cell>
          <cell r="M353" t="str">
            <v>REPAIRS TO FURNITURE /EQUIPMENT(6315)</v>
          </cell>
          <cell r="N353" t="e">
            <v>#REF!</v>
          </cell>
          <cell r="O353" t="str">
            <v>E</v>
          </cell>
          <cell r="Q353">
            <v>238497</v>
          </cell>
          <cell r="R353">
            <v>106639</v>
          </cell>
          <cell r="U353">
            <v>141137</v>
          </cell>
          <cell r="V353">
            <v>52149</v>
          </cell>
          <cell r="Y353">
            <v>14980</v>
          </cell>
          <cell r="Z353">
            <v>20641</v>
          </cell>
          <cell r="AC353">
            <v>0</v>
          </cell>
          <cell r="AD353">
            <v>0</v>
          </cell>
          <cell r="AG353">
            <v>82380</v>
          </cell>
          <cell r="AH353">
            <v>33849</v>
          </cell>
        </row>
        <row r="354">
          <cell r="G354">
            <v>13146</v>
          </cell>
          <cell r="H354">
            <v>455000</v>
          </cell>
          <cell r="I354" t="str">
            <v>6330</v>
          </cell>
          <cell r="L354" t="str">
            <v>Repairs &amp; Maint - Electricals</v>
          </cell>
          <cell r="M354" t="str">
            <v>REPAIRS &amp; MAINT - ELECTRICALS (6330)</v>
          </cell>
          <cell r="N354" t="e">
            <v>#REF!</v>
          </cell>
          <cell r="O354" t="str">
            <v>E</v>
          </cell>
          <cell r="Q354">
            <v>199814</v>
          </cell>
          <cell r="R354">
            <v>242697</v>
          </cell>
          <cell r="U354">
            <v>2880</v>
          </cell>
          <cell r="V354">
            <v>21551</v>
          </cell>
          <cell r="Y354">
            <v>45106</v>
          </cell>
          <cell r="Z354">
            <v>15273</v>
          </cell>
          <cell r="AC354">
            <v>151528</v>
          </cell>
          <cell r="AD354">
            <v>198241</v>
          </cell>
          <cell r="AG354">
            <v>300</v>
          </cell>
          <cell r="AH354">
            <v>7632</v>
          </cell>
        </row>
        <row r="355">
          <cell r="G355">
            <v>13148</v>
          </cell>
          <cell r="H355">
            <v>456000</v>
          </cell>
          <cell r="I355" t="str">
            <v>6340</v>
          </cell>
          <cell r="L355" t="str">
            <v>Repairs &amp; Maint - Others</v>
          </cell>
          <cell r="M355" t="str">
            <v>REPAIRS &amp; MAINT - OTHERS (6340)</v>
          </cell>
          <cell r="N355" t="e">
            <v>#REF!</v>
          </cell>
          <cell r="O355" t="str">
            <v>E</v>
          </cell>
          <cell r="Q355">
            <v>418945</v>
          </cell>
          <cell r="R355">
            <v>324395</v>
          </cell>
          <cell r="U355">
            <v>227755</v>
          </cell>
          <cell r="V355">
            <v>169834</v>
          </cell>
          <cell r="Y355">
            <v>178034</v>
          </cell>
          <cell r="Z355">
            <v>70227</v>
          </cell>
          <cell r="AC355">
            <v>1200</v>
          </cell>
          <cell r="AD355">
            <v>40470</v>
          </cell>
          <cell r="AG355">
            <v>11956</v>
          </cell>
          <cell r="AH355">
            <v>43864</v>
          </cell>
        </row>
        <row r="356">
          <cell r="H356">
            <v>457000</v>
          </cell>
          <cell r="K356" t="str">
            <v>Others</v>
          </cell>
          <cell r="M356" t="e">
            <v>#N/A</v>
          </cell>
          <cell r="N356" t="e">
            <v>#REF!</v>
          </cell>
          <cell r="O356" t="str">
            <v>E</v>
          </cell>
          <cell r="P356">
            <v>0</v>
          </cell>
          <cell r="Q356">
            <v>857256</v>
          </cell>
          <cell r="R356">
            <v>673731</v>
          </cell>
          <cell r="T356">
            <v>0</v>
          </cell>
          <cell r="U356">
            <v>371772</v>
          </cell>
          <cell r="V356">
            <v>243534</v>
          </cell>
          <cell r="X356">
            <v>0</v>
          </cell>
          <cell r="Y356">
            <v>238120</v>
          </cell>
          <cell r="Z356">
            <v>106141</v>
          </cell>
          <cell r="AB356">
            <v>0</v>
          </cell>
          <cell r="AC356">
            <v>152728</v>
          </cell>
          <cell r="AD356">
            <v>238711</v>
          </cell>
          <cell r="AF356">
            <v>0</v>
          </cell>
          <cell r="AG356">
            <v>94636</v>
          </cell>
          <cell r="AH356">
            <v>85345</v>
          </cell>
        </row>
        <row r="357">
          <cell r="H357">
            <v>458000</v>
          </cell>
          <cell r="J357" t="str">
            <v>Directors Seeting Fees</v>
          </cell>
          <cell r="M357" t="e">
            <v>#N/A</v>
          </cell>
          <cell r="N357" t="e">
            <v>#REF!</v>
          </cell>
          <cell r="O357" t="str">
            <v>E</v>
          </cell>
          <cell r="Q357">
            <v>0</v>
          </cell>
          <cell r="R357">
            <v>0</v>
          </cell>
        </row>
        <row r="358">
          <cell r="G358">
            <v>13470</v>
          </cell>
          <cell r="H358">
            <v>459000</v>
          </cell>
          <cell r="L358" t="str">
            <v>Directors Seeting Fees</v>
          </cell>
          <cell r="M358" t="e">
            <v>#N/A</v>
          </cell>
          <cell r="N358" t="e">
            <v>#REF!</v>
          </cell>
          <cell r="O358" t="str">
            <v>E</v>
          </cell>
          <cell r="Q358">
            <v>200000</v>
          </cell>
          <cell r="R358">
            <v>0</v>
          </cell>
          <cell r="U358">
            <v>200000</v>
          </cell>
          <cell r="V358">
            <v>0</v>
          </cell>
          <cell r="Y358">
            <v>0</v>
          </cell>
          <cell r="Z358">
            <v>0</v>
          </cell>
          <cell r="AC358">
            <v>0</v>
          </cell>
          <cell r="AD358">
            <v>0</v>
          </cell>
          <cell r="AG358">
            <v>0</v>
          </cell>
          <cell r="AH358">
            <v>0</v>
          </cell>
        </row>
        <row r="359">
          <cell r="H359">
            <v>460000</v>
          </cell>
          <cell r="L359">
            <v>0</v>
          </cell>
          <cell r="M359" t="e">
            <v>#N/A</v>
          </cell>
          <cell r="N359" t="e">
            <v>#REF!</v>
          </cell>
          <cell r="O359" t="str">
            <v>E</v>
          </cell>
        </row>
        <row r="360">
          <cell r="H360">
            <v>461000</v>
          </cell>
          <cell r="J360" t="str">
            <v>Directors Seeting Fees</v>
          </cell>
          <cell r="M360" t="e">
            <v>#N/A</v>
          </cell>
          <cell r="N360" t="e">
            <v>#REF!</v>
          </cell>
          <cell r="O360" t="str">
            <v>E</v>
          </cell>
          <cell r="P360">
            <v>0</v>
          </cell>
          <cell r="Q360">
            <v>200000</v>
          </cell>
          <cell r="R360">
            <v>0</v>
          </cell>
          <cell r="T360">
            <v>0</v>
          </cell>
          <cell r="U360">
            <v>200000</v>
          </cell>
          <cell r="V360">
            <v>0</v>
          </cell>
          <cell r="X360">
            <v>0</v>
          </cell>
          <cell r="Y360">
            <v>0</v>
          </cell>
          <cell r="Z360">
            <v>0</v>
          </cell>
          <cell r="AB360">
            <v>0</v>
          </cell>
          <cell r="AC360">
            <v>0</v>
          </cell>
          <cell r="AD360">
            <v>0</v>
          </cell>
          <cell r="AF360">
            <v>0</v>
          </cell>
          <cell r="AG360">
            <v>0</v>
          </cell>
          <cell r="AH360">
            <v>0</v>
          </cell>
        </row>
        <row r="361">
          <cell r="H361">
            <v>458000</v>
          </cell>
          <cell r="J361" t="str">
            <v>Rent</v>
          </cell>
          <cell r="M361" t="e">
            <v>#N/A</v>
          </cell>
          <cell r="N361" t="e">
            <v>#REF!</v>
          </cell>
          <cell r="O361" t="str">
            <v>E</v>
          </cell>
          <cell r="Q361">
            <v>0</v>
          </cell>
          <cell r="R361">
            <v>0</v>
          </cell>
        </row>
        <row r="362">
          <cell r="G362">
            <v>13381</v>
          </cell>
          <cell r="H362">
            <v>459000</v>
          </cell>
          <cell r="I362" t="str">
            <v>7100</v>
          </cell>
          <cell r="L362" t="str">
            <v>Rent</v>
          </cell>
          <cell r="M362" t="str">
            <v>RENT (7100)</v>
          </cell>
          <cell r="N362" t="e">
            <v>#REF!</v>
          </cell>
          <cell r="O362" t="str">
            <v>E</v>
          </cell>
          <cell r="Q362">
            <v>1422342</v>
          </cell>
          <cell r="R362">
            <v>3311245</v>
          </cell>
          <cell r="U362">
            <v>299079</v>
          </cell>
          <cell r="V362">
            <v>517009</v>
          </cell>
          <cell r="Y362">
            <v>593480</v>
          </cell>
          <cell r="Z362">
            <v>802290</v>
          </cell>
          <cell r="AC362">
            <v>134283</v>
          </cell>
          <cell r="AD362">
            <v>821651</v>
          </cell>
          <cell r="AG362">
            <v>395500</v>
          </cell>
          <cell r="AH362">
            <v>1170295</v>
          </cell>
        </row>
        <row r="363">
          <cell r="H363">
            <v>460000</v>
          </cell>
          <cell r="L363">
            <v>0</v>
          </cell>
          <cell r="M363" t="e">
            <v>#N/A</v>
          </cell>
          <cell r="N363" t="e">
            <v>#REF!</v>
          </cell>
          <cell r="O363" t="str">
            <v>E</v>
          </cell>
        </row>
        <row r="364">
          <cell r="H364">
            <v>461000</v>
          </cell>
          <cell r="J364" t="str">
            <v>Rent</v>
          </cell>
          <cell r="M364" t="e">
            <v>#N/A</v>
          </cell>
          <cell r="N364" t="e">
            <v>#REF!</v>
          </cell>
          <cell r="O364" t="str">
            <v>E</v>
          </cell>
          <cell r="P364">
            <v>0</v>
          </cell>
          <cell r="Q364">
            <v>1422342</v>
          </cell>
          <cell r="R364">
            <v>3311245</v>
          </cell>
          <cell r="T364">
            <v>0</v>
          </cell>
          <cell r="U364">
            <v>299079</v>
          </cell>
          <cell r="V364">
            <v>517009</v>
          </cell>
          <cell r="X364">
            <v>0</v>
          </cell>
          <cell r="Y364">
            <v>593480</v>
          </cell>
          <cell r="Z364">
            <v>802290</v>
          </cell>
          <cell r="AB364">
            <v>0</v>
          </cell>
          <cell r="AC364">
            <v>134283</v>
          </cell>
          <cell r="AD364">
            <v>821651</v>
          </cell>
          <cell r="AF364">
            <v>0</v>
          </cell>
          <cell r="AG364">
            <v>395500</v>
          </cell>
          <cell r="AH364">
            <v>1170295</v>
          </cell>
        </row>
        <row r="365">
          <cell r="H365">
            <v>462000</v>
          </cell>
          <cell r="J365" t="str">
            <v>Rates &amp; Taxes</v>
          </cell>
          <cell r="M365" t="e">
            <v>#N/A</v>
          </cell>
          <cell r="N365" t="e">
            <v>#REF!</v>
          </cell>
          <cell r="O365" t="str">
            <v>E</v>
          </cell>
          <cell r="Q365">
            <v>0</v>
          </cell>
          <cell r="R365">
            <v>0</v>
          </cell>
        </row>
        <row r="366">
          <cell r="G366">
            <v>13385</v>
          </cell>
          <cell r="H366">
            <v>463000</v>
          </cell>
          <cell r="I366" t="str">
            <v>7110</v>
          </cell>
          <cell r="L366" t="str">
            <v>Rates &amp; Taxes</v>
          </cell>
          <cell r="M366" t="str">
            <v>RATES &amp; TAXES (7110)</v>
          </cell>
          <cell r="N366" t="e">
            <v>#REF!</v>
          </cell>
          <cell r="O366" t="str">
            <v>E</v>
          </cell>
          <cell r="P366">
            <v>0</v>
          </cell>
          <cell r="Q366">
            <v>8102462</v>
          </cell>
          <cell r="R366">
            <v>4318246</v>
          </cell>
          <cell r="T366">
            <v>0</v>
          </cell>
          <cell r="U366">
            <v>492907</v>
          </cell>
          <cell r="V366">
            <v>3242162</v>
          </cell>
          <cell r="X366">
            <v>0</v>
          </cell>
          <cell r="Y366">
            <v>7144770</v>
          </cell>
          <cell r="Z366">
            <v>828880</v>
          </cell>
          <cell r="AB366">
            <v>0</v>
          </cell>
          <cell r="AC366">
            <v>430131</v>
          </cell>
          <cell r="AD366">
            <v>186281</v>
          </cell>
          <cell r="AF366">
            <v>0</v>
          </cell>
          <cell r="AG366">
            <v>34654</v>
          </cell>
          <cell r="AH366">
            <v>60923</v>
          </cell>
        </row>
        <row r="367">
          <cell r="G367">
            <v>13386</v>
          </cell>
          <cell r="H367">
            <v>464000</v>
          </cell>
          <cell r="I367" t="str">
            <v>7111</v>
          </cell>
          <cell r="L367" t="str">
            <v>Service Tax On Transport</v>
          </cell>
          <cell r="M367" t="str">
            <v>SERVICE TAX ON TRANSPORT (GTO) (7111)</v>
          </cell>
          <cell r="N367" t="e">
            <v>#REF!</v>
          </cell>
          <cell r="O367" t="str">
            <v>E</v>
          </cell>
          <cell r="P367">
            <v>0</v>
          </cell>
          <cell r="Q367">
            <v>3672226</v>
          </cell>
          <cell r="R367">
            <v>1104042</v>
          </cell>
          <cell r="T367">
            <v>0</v>
          </cell>
          <cell r="U367">
            <v>35875</v>
          </cell>
          <cell r="V367">
            <v>-422413</v>
          </cell>
          <cell r="X367">
            <v>0</v>
          </cell>
          <cell r="Y367">
            <v>2091752</v>
          </cell>
          <cell r="Z367">
            <v>677205</v>
          </cell>
          <cell r="AB367">
            <v>0</v>
          </cell>
          <cell r="AC367">
            <v>689245</v>
          </cell>
          <cell r="AD367">
            <v>373860</v>
          </cell>
          <cell r="AF367">
            <v>0</v>
          </cell>
          <cell r="AG367">
            <v>855354</v>
          </cell>
          <cell r="AH367">
            <v>475390</v>
          </cell>
        </row>
        <row r="368">
          <cell r="G368">
            <v>13387</v>
          </cell>
          <cell r="H368">
            <v>465000</v>
          </cell>
          <cell r="I368" t="str">
            <v>7120</v>
          </cell>
          <cell r="L368" t="str">
            <v>Professional Tax</v>
          </cell>
          <cell r="M368" t="str">
            <v>PROFESSIONAL TAX (COMPANY) (</v>
          </cell>
          <cell r="N368" t="e">
            <v>#REF!</v>
          </cell>
          <cell r="O368" t="str">
            <v>E</v>
          </cell>
          <cell r="P368">
            <v>0</v>
          </cell>
          <cell r="Q368">
            <v>0</v>
          </cell>
          <cell r="R368">
            <v>0</v>
          </cell>
          <cell r="T368">
            <v>0</v>
          </cell>
          <cell r="U368">
            <v>0</v>
          </cell>
          <cell r="V368">
            <v>0</v>
          </cell>
          <cell r="X368">
            <v>0</v>
          </cell>
          <cell r="Y368">
            <v>0</v>
          </cell>
          <cell r="Z368">
            <v>0</v>
          </cell>
          <cell r="AB368">
            <v>0</v>
          </cell>
          <cell r="AC368">
            <v>0</v>
          </cell>
          <cell r="AD368">
            <v>0</v>
          </cell>
          <cell r="AF368">
            <v>0</v>
          </cell>
          <cell r="AG368">
            <v>0</v>
          </cell>
          <cell r="AH368">
            <v>0</v>
          </cell>
        </row>
        <row r="369">
          <cell r="I369" t="str">
            <v>7130</v>
          </cell>
          <cell r="L369" t="str">
            <v>Works Contract Tax</v>
          </cell>
          <cell r="Q369">
            <v>5949</v>
          </cell>
          <cell r="R369">
            <v>-5949</v>
          </cell>
          <cell r="U369">
            <v>0</v>
          </cell>
          <cell r="V369">
            <v>0</v>
          </cell>
          <cell r="Y369">
            <v>0</v>
          </cell>
          <cell r="Z369">
            <v>0</v>
          </cell>
          <cell r="AC369">
            <v>0</v>
          </cell>
          <cell r="AD369">
            <v>0</v>
          </cell>
          <cell r="AG369">
            <v>5949</v>
          </cell>
          <cell r="AH369">
            <v>-5949</v>
          </cell>
        </row>
        <row r="370">
          <cell r="H370">
            <v>466000</v>
          </cell>
          <cell r="J370" t="str">
            <v>Rates &amp; Taxes</v>
          </cell>
          <cell r="M370" t="e">
            <v>#N/A</v>
          </cell>
          <cell r="N370" t="e">
            <v>#REF!</v>
          </cell>
          <cell r="O370" t="str">
            <v>E</v>
          </cell>
          <cell r="P370">
            <v>0</v>
          </cell>
          <cell r="Q370">
            <v>11780637</v>
          </cell>
          <cell r="R370">
            <v>5416339</v>
          </cell>
          <cell r="T370">
            <v>0</v>
          </cell>
          <cell r="U370">
            <v>528782</v>
          </cell>
          <cell r="V370">
            <v>2819749</v>
          </cell>
          <cell r="W370">
            <v>0</v>
          </cell>
          <cell r="X370">
            <v>0</v>
          </cell>
          <cell r="Y370">
            <v>9236522</v>
          </cell>
          <cell r="Z370">
            <v>1506085</v>
          </cell>
          <cell r="AA370">
            <v>0</v>
          </cell>
          <cell r="AB370">
            <v>0</v>
          </cell>
          <cell r="AC370">
            <v>1119376</v>
          </cell>
          <cell r="AD370">
            <v>560141</v>
          </cell>
          <cell r="AE370">
            <v>0</v>
          </cell>
          <cell r="AF370">
            <v>0</v>
          </cell>
          <cell r="AG370">
            <v>895957</v>
          </cell>
          <cell r="AH370">
            <v>530364</v>
          </cell>
        </row>
        <row r="371">
          <cell r="H371">
            <v>467000</v>
          </cell>
          <cell r="J371" t="str">
            <v>Bank Charges</v>
          </cell>
          <cell r="M371" t="e">
            <v>#N/A</v>
          </cell>
          <cell r="N371" t="e">
            <v>#REF!</v>
          </cell>
          <cell r="O371" t="str">
            <v>E</v>
          </cell>
          <cell r="Q371">
            <v>0</v>
          </cell>
          <cell r="R371">
            <v>0</v>
          </cell>
        </row>
        <row r="372">
          <cell r="G372">
            <v>13773</v>
          </cell>
          <cell r="H372">
            <v>468000</v>
          </cell>
          <cell r="I372" t="str">
            <v>7520</v>
          </cell>
          <cell r="L372" t="str">
            <v>Bank Charges L/C &amp; Bg</v>
          </cell>
          <cell r="M372" t="str">
            <v>BANK CHARGES (7520-22)</v>
          </cell>
          <cell r="N372" t="e">
            <v>#REF!</v>
          </cell>
          <cell r="O372" t="str">
            <v>E</v>
          </cell>
          <cell r="Q372">
            <v>2606196</v>
          </cell>
          <cell r="R372">
            <v>4912823</v>
          </cell>
          <cell r="U372">
            <v>2231378</v>
          </cell>
          <cell r="V372">
            <v>2365881</v>
          </cell>
          <cell r="Y372">
            <v>374073</v>
          </cell>
          <cell r="Z372">
            <v>2497543</v>
          </cell>
          <cell r="AC372">
            <v>745</v>
          </cell>
          <cell r="AD372">
            <v>48837</v>
          </cell>
          <cell r="AG372">
            <v>0</v>
          </cell>
          <cell r="AH372">
            <v>562</v>
          </cell>
        </row>
        <row r="373">
          <cell r="H373">
            <v>469000</v>
          </cell>
          <cell r="I373" t="str">
            <v>7522</v>
          </cell>
          <cell r="L373" t="str">
            <v>Other Bank Charges</v>
          </cell>
          <cell r="M373" t="e">
            <v>#N/A</v>
          </cell>
          <cell r="N373" t="e">
            <v>#REF!</v>
          </cell>
          <cell r="O373" t="str">
            <v>E</v>
          </cell>
          <cell r="Q373">
            <v>259406</v>
          </cell>
          <cell r="R373">
            <v>111345</v>
          </cell>
          <cell r="U373">
            <v>0</v>
          </cell>
          <cell r="V373">
            <v>0</v>
          </cell>
          <cell r="Y373">
            <v>0</v>
          </cell>
          <cell r="Z373">
            <v>0</v>
          </cell>
          <cell r="AC373">
            <v>254880</v>
          </cell>
          <cell r="AD373">
            <v>108195</v>
          </cell>
          <cell r="AG373">
            <v>4526</v>
          </cell>
          <cell r="AH373">
            <v>3150</v>
          </cell>
        </row>
        <row r="374">
          <cell r="H374">
            <v>470000</v>
          </cell>
          <cell r="J374" t="str">
            <v>Bank Charges</v>
          </cell>
          <cell r="M374" t="e">
            <v>#N/A</v>
          </cell>
          <cell r="N374" t="e">
            <v>#REF!</v>
          </cell>
          <cell r="O374" t="str">
            <v>E</v>
          </cell>
          <cell r="P374">
            <v>0</v>
          </cell>
          <cell r="Q374">
            <v>2865602</v>
          </cell>
          <cell r="R374">
            <v>5024168</v>
          </cell>
          <cell r="T374">
            <v>0</v>
          </cell>
          <cell r="U374">
            <v>2231378</v>
          </cell>
          <cell r="V374">
            <v>2365881</v>
          </cell>
          <cell r="X374">
            <v>0</v>
          </cell>
          <cell r="Y374">
            <v>374073</v>
          </cell>
          <cell r="Z374">
            <v>2497543</v>
          </cell>
          <cell r="AB374">
            <v>0</v>
          </cell>
          <cell r="AC374">
            <v>255625</v>
          </cell>
          <cell r="AD374">
            <v>157032</v>
          </cell>
          <cell r="AF374">
            <v>0</v>
          </cell>
          <cell r="AG374">
            <v>4526</v>
          </cell>
          <cell r="AH374">
            <v>3712</v>
          </cell>
        </row>
        <row r="375">
          <cell r="H375">
            <v>471000</v>
          </cell>
          <cell r="J375" t="str">
            <v>Insurance</v>
          </cell>
          <cell r="M375" t="e">
            <v>#N/A</v>
          </cell>
          <cell r="N375" t="e">
            <v>#REF!</v>
          </cell>
          <cell r="O375" t="str">
            <v>E</v>
          </cell>
          <cell r="Q375">
            <v>0</v>
          </cell>
          <cell r="R375">
            <v>0</v>
          </cell>
        </row>
        <row r="376">
          <cell r="G376">
            <v>13393</v>
          </cell>
          <cell r="H376">
            <v>472000</v>
          </cell>
          <cell r="I376" t="str">
            <v>7160</v>
          </cell>
          <cell r="L376" t="str">
            <v>Insurance</v>
          </cell>
          <cell r="M376" t="str">
            <v>INSURANCE (7160)</v>
          </cell>
          <cell r="N376" t="e">
            <v>#REF!</v>
          </cell>
          <cell r="O376" t="str">
            <v>E</v>
          </cell>
          <cell r="Q376">
            <v>2482352</v>
          </cell>
          <cell r="R376">
            <v>2109606</v>
          </cell>
          <cell r="U376">
            <v>966987</v>
          </cell>
          <cell r="V376">
            <v>1026675</v>
          </cell>
          <cell r="Y376">
            <v>1003039</v>
          </cell>
          <cell r="Z376">
            <v>725145</v>
          </cell>
          <cell r="AC376">
            <v>278897</v>
          </cell>
          <cell r="AD376">
            <v>194150</v>
          </cell>
          <cell r="AG376">
            <v>233429</v>
          </cell>
          <cell r="AH376">
            <v>163636</v>
          </cell>
        </row>
        <row r="377">
          <cell r="H377">
            <v>473000</v>
          </cell>
          <cell r="I377" t="str">
            <v>FOR MIS</v>
          </cell>
          <cell r="L377">
            <v>0</v>
          </cell>
          <cell r="M377" t="e">
            <v>#N/A</v>
          </cell>
          <cell r="N377" t="e">
            <v>#REF!</v>
          </cell>
          <cell r="O377" t="str">
            <v>E</v>
          </cell>
          <cell r="R377">
            <v>0</v>
          </cell>
          <cell r="U377">
            <v>0</v>
          </cell>
          <cell r="V377">
            <v>0</v>
          </cell>
          <cell r="Y377">
            <v>0</v>
          </cell>
          <cell r="Z377">
            <v>0</v>
          </cell>
          <cell r="AC377">
            <v>0</v>
          </cell>
          <cell r="AD377">
            <v>0</v>
          </cell>
          <cell r="AG377">
            <v>0</v>
          </cell>
        </row>
        <row r="378">
          <cell r="H378">
            <v>474000</v>
          </cell>
          <cell r="L378" t="str">
            <v>Sub-Total</v>
          </cell>
          <cell r="M378" t="e">
            <v>#N/A</v>
          </cell>
          <cell r="N378" t="e">
            <v>#REF!</v>
          </cell>
          <cell r="O378" t="str">
            <v>E</v>
          </cell>
          <cell r="P378">
            <v>0</v>
          </cell>
          <cell r="Q378">
            <v>2482352</v>
          </cell>
          <cell r="R378">
            <v>2109606</v>
          </cell>
          <cell r="T378">
            <v>0</v>
          </cell>
          <cell r="U378">
            <v>966987</v>
          </cell>
          <cell r="V378">
            <v>1026675</v>
          </cell>
          <cell r="X378">
            <v>0</v>
          </cell>
          <cell r="Y378">
            <v>1003039</v>
          </cell>
          <cell r="Z378">
            <v>725145</v>
          </cell>
          <cell r="AB378">
            <v>0</v>
          </cell>
          <cell r="AC378">
            <v>278897</v>
          </cell>
          <cell r="AD378">
            <v>194150</v>
          </cell>
          <cell r="AF378">
            <v>0</v>
          </cell>
          <cell r="AG378">
            <v>233429</v>
          </cell>
          <cell r="AH378">
            <v>163636</v>
          </cell>
        </row>
        <row r="379">
          <cell r="H379">
            <v>475000</v>
          </cell>
          <cell r="J379" t="str">
            <v>Communication Charges (Telephone , Telex &amp; Fax Expenses)</v>
          </cell>
          <cell r="M379" t="e">
            <v>#N/A</v>
          </cell>
          <cell r="N379" t="e">
            <v>#REF!</v>
          </cell>
          <cell r="O379" t="str">
            <v>E</v>
          </cell>
          <cell r="Q379">
            <v>0</v>
          </cell>
          <cell r="R379">
            <v>0</v>
          </cell>
        </row>
        <row r="380">
          <cell r="G380">
            <v>13563</v>
          </cell>
          <cell r="H380">
            <v>476000</v>
          </cell>
          <cell r="I380" t="str">
            <v>7500</v>
          </cell>
          <cell r="L380" t="str">
            <v>Telephone, Telex &amp; Fax Expenses</v>
          </cell>
          <cell r="M380" t="str">
            <v>TELEPHONE, TELEX &amp; FAX EXPENSES (7500)</v>
          </cell>
          <cell r="N380" t="e">
            <v>#REF!</v>
          </cell>
          <cell r="O380" t="str">
            <v>E</v>
          </cell>
          <cell r="Q380">
            <v>1851698</v>
          </cell>
          <cell r="R380">
            <v>1674979</v>
          </cell>
          <cell r="U380">
            <v>1008660</v>
          </cell>
          <cell r="V380">
            <v>1026354</v>
          </cell>
          <cell r="Y380">
            <v>368890</v>
          </cell>
          <cell r="Z380">
            <v>295987</v>
          </cell>
          <cell r="AC380">
            <v>300737</v>
          </cell>
          <cell r="AD380">
            <v>203960</v>
          </cell>
          <cell r="AG380">
            <v>173411</v>
          </cell>
          <cell r="AH380">
            <v>148678</v>
          </cell>
        </row>
        <row r="381">
          <cell r="H381">
            <v>477000</v>
          </cell>
          <cell r="L381">
            <v>0</v>
          </cell>
          <cell r="M381" t="e">
            <v>#N/A</v>
          </cell>
          <cell r="N381" t="e">
            <v>#REF!</v>
          </cell>
          <cell r="O381" t="str">
            <v>E</v>
          </cell>
          <cell r="AC381">
            <v>0</v>
          </cell>
          <cell r="AG381">
            <v>0</v>
          </cell>
        </row>
        <row r="382">
          <cell r="H382">
            <v>478000</v>
          </cell>
          <cell r="J382" t="str">
            <v>Communication Charges (Telephone , Telex &amp; Fax Expenses)</v>
          </cell>
          <cell r="M382" t="e">
            <v>#N/A</v>
          </cell>
          <cell r="N382" t="e">
            <v>#REF!</v>
          </cell>
          <cell r="O382" t="str">
            <v>E</v>
          </cell>
          <cell r="P382">
            <v>0</v>
          </cell>
          <cell r="Q382">
            <v>1851698</v>
          </cell>
          <cell r="R382">
            <v>1674979</v>
          </cell>
          <cell r="T382">
            <v>0</v>
          </cell>
          <cell r="U382">
            <v>1008660</v>
          </cell>
          <cell r="V382">
            <v>1026354</v>
          </cell>
          <cell r="X382">
            <v>0</v>
          </cell>
          <cell r="Y382">
            <v>368890</v>
          </cell>
          <cell r="Z382">
            <v>295987</v>
          </cell>
          <cell r="AB382">
            <v>0</v>
          </cell>
          <cell r="AC382">
            <v>300737</v>
          </cell>
          <cell r="AD382">
            <v>203960</v>
          </cell>
          <cell r="AF382">
            <v>0</v>
          </cell>
          <cell r="AG382">
            <v>173411</v>
          </cell>
          <cell r="AH382">
            <v>148678</v>
          </cell>
        </row>
        <row r="383">
          <cell r="H383">
            <v>479000</v>
          </cell>
          <cell r="J383" t="str">
            <v>Printing &amp; Stationery Expenses</v>
          </cell>
          <cell r="M383" t="e">
            <v>#N/A</v>
          </cell>
          <cell r="N383" t="e">
            <v>#REF!</v>
          </cell>
          <cell r="O383" t="str">
            <v>E</v>
          </cell>
          <cell r="Q383">
            <v>0</v>
          </cell>
          <cell r="R383">
            <v>0</v>
          </cell>
        </row>
        <row r="384">
          <cell r="G384">
            <v>13558</v>
          </cell>
          <cell r="H384">
            <v>480000</v>
          </cell>
          <cell r="I384" t="str">
            <v>7460</v>
          </cell>
          <cell r="L384" t="str">
            <v>Printing &amp; Stationery</v>
          </cell>
          <cell r="M384" t="str">
            <v>PRINTING &amp; STATIONERY (7460,7461)</v>
          </cell>
          <cell r="N384" t="e">
            <v>#REF!</v>
          </cell>
          <cell r="O384" t="str">
            <v>E</v>
          </cell>
          <cell r="Q384">
            <v>1516684</v>
          </cell>
          <cell r="R384">
            <v>1098534</v>
          </cell>
          <cell r="U384">
            <v>592817</v>
          </cell>
          <cell r="V384">
            <v>540163</v>
          </cell>
          <cell r="Y384">
            <v>616485</v>
          </cell>
          <cell r="Z384">
            <v>387472</v>
          </cell>
          <cell r="AC384">
            <v>111907</v>
          </cell>
          <cell r="AD384">
            <v>75414</v>
          </cell>
          <cell r="AG384">
            <v>195475</v>
          </cell>
          <cell r="AH384">
            <v>95485</v>
          </cell>
        </row>
        <row r="385">
          <cell r="H385">
            <v>481000</v>
          </cell>
          <cell r="I385" t="str">
            <v>7461</v>
          </cell>
          <cell r="L385" t="str">
            <v>Computer Stationery</v>
          </cell>
          <cell r="M385" t="e">
            <v>#N/A</v>
          </cell>
          <cell r="N385" t="e">
            <v>#REF!</v>
          </cell>
          <cell r="O385" t="str">
            <v>E</v>
          </cell>
          <cell r="Q385">
            <v>3836</v>
          </cell>
          <cell r="R385">
            <v>22930</v>
          </cell>
          <cell r="U385">
            <v>0</v>
          </cell>
          <cell r="V385">
            <v>0</v>
          </cell>
          <cell r="Y385">
            <v>0</v>
          </cell>
          <cell r="Z385">
            <v>0</v>
          </cell>
          <cell r="AC385">
            <v>0</v>
          </cell>
          <cell r="AD385">
            <v>0</v>
          </cell>
          <cell r="AG385">
            <v>3836</v>
          </cell>
          <cell r="AH385">
            <v>22930</v>
          </cell>
        </row>
        <row r="386">
          <cell r="G386">
            <v>13559</v>
          </cell>
          <cell r="H386">
            <v>482000</v>
          </cell>
          <cell r="I386" t="str">
            <v>7495</v>
          </cell>
          <cell r="L386" t="str">
            <v>Photo Copying Expenses</v>
          </cell>
          <cell r="M386" t="str">
            <v>PHOTO COPYING EXPENSES (7495)</v>
          </cell>
          <cell r="N386" t="e">
            <v>#REF!</v>
          </cell>
          <cell r="O386" t="str">
            <v>E</v>
          </cell>
          <cell r="Q386">
            <v>85077</v>
          </cell>
          <cell r="R386">
            <v>73968</v>
          </cell>
          <cell r="U386">
            <v>69584</v>
          </cell>
          <cell r="V386">
            <v>57363</v>
          </cell>
          <cell r="Y386">
            <v>11581</v>
          </cell>
          <cell r="Z386">
            <v>10644</v>
          </cell>
          <cell r="AC386">
            <v>3912</v>
          </cell>
          <cell r="AD386">
            <v>5961</v>
          </cell>
          <cell r="AG386">
            <v>0</v>
          </cell>
          <cell r="AH386">
            <v>0</v>
          </cell>
        </row>
        <row r="387">
          <cell r="H387">
            <v>483000</v>
          </cell>
          <cell r="J387" t="str">
            <v>Printing &amp; Stationery Expenses</v>
          </cell>
          <cell r="M387" t="e">
            <v>#N/A</v>
          </cell>
          <cell r="N387" t="e">
            <v>#REF!</v>
          </cell>
          <cell r="O387" t="str">
            <v>E</v>
          </cell>
          <cell r="P387">
            <v>0</v>
          </cell>
          <cell r="Q387">
            <v>1605597</v>
          </cell>
          <cell r="R387">
            <v>1195432</v>
          </cell>
          <cell r="T387">
            <v>0</v>
          </cell>
          <cell r="U387">
            <v>662401</v>
          </cell>
          <cell r="V387">
            <v>597526</v>
          </cell>
          <cell r="X387">
            <v>0</v>
          </cell>
          <cell r="Y387">
            <v>628066</v>
          </cell>
          <cell r="Z387">
            <v>398116</v>
          </cell>
          <cell r="AB387">
            <v>0</v>
          </cell>
          <cell r="AC387">
            <v>115819</v>
          </cell>
          <cell r="AD387">
            <v>81375</v>
          </cell>
          <cell r="AF387">
            <v>0</v>
          </cell>
          <cell r="AG387">
            <v>199311</v>
          </cell>
          <cell r="AH387">
            <v>118415</v>
          </cell>
        </row>
        <row r="388">
          <cell r="H388">
            <v>484000</v>
          </cell>
          <cell r="J388" t="str">
            <v>System and Software Expenses</v>
          </cell>
          <cell r="M388" t="e">
            <v>#N/A</v>
          </cell>
          <cell r="N388" t="e">
            <v>#REF!</v>
          </cell>
          <cell r="O388" t="str">
            <v>E</v>
          </cell>
          <cell r="Q388">
            <v>0</v>
          </cell>
          <cell r="R388">
            <v>0</v>
          </cell>
        </row>
        <row r="389">
          <cell r="G389">
            <v>13606</v>
          </cell>
          <cell r="H389">
            <v>485000</v>
          </cell>
          <cell r="I389" t="str">
            <v>7445</v>
          </cell>
          <cell r="L389" t="str">
            <v>System Expenses</v>
          </cell>
          <cell r="M389" t="str">
            <v>SYSTEM EXPENSES (7445)</v>
          </cell>
          <cell r="N389" t="e">
            <v>#REF!</v>
          </cell>
          <cell r="O389" t="str">
            <v>E</v>
          </cell>
          <cell r="Q389">
            <v>2530930</v>
          </cell>
          <cell r="R389">
            <v>3205839</v>
          </cell>
          <cell r="U389">
            <v>2091390</v>
          </cell>
          <cell r="V389">
            <v>2906799</v>
          </cell>
          <cell r="Y389">
            <v>69775</v>
          </cell>
          <cell r="Z389">
            <v>98248</v>
          </cell>
          <cell r="AC389">
            <v>209299</v>
          </cell>
          <cell r="AD389">
            <v>134491</v>
          </cell>
          <cell r="AG389">
            <v>160466</v>
          </cell>
          <cell r="AH389">
            <v>66301</v>
          </cell>
        </row>
        <row r="390">
          <cell r="H390">
            <v>486000</v>
          </cell>
          <cell r="L390">
            <v>0</v>
          </cell>
          <cell r="M390" t="e">
            <v>#N/A</v>
          </cell>
          <cell r="N390" t="e">
            <v>#REF!</v>
          </cell>
          <cell r="O390" t="str">
            <v>E</v>
          </cell>
        </row>
        <row r="391">
          <cell r="H391">
            <v>487000</v>
          </cell>
          <cell r="J391" t="str">
            <v>System and Software Expenses</v>
          </cell>
          <cell r="M391" t="e">
            <v>#N/A</v>
          </cell>
          <cell r="N391" t="e">
            <v>#REF!</v>
          </cell>
          <cell r="O391" t="str">
            <v>E</v>
          </cell>
          <cell r="P391">
            <v>0</v>
          </cell>
          <cell r="Q391">
            <v>2530930</v>
          </cell>
          <cell r="R391">
            <v>3205839</v>
          </cell>
          <cell r="T391">
            <v>0</v>
          </cell>
          <cell r="U391">
            <v>2091390</v>
          </cell>
          <cell r="V391">
            <v>2906799</v>
          </cell>
          <cell r="X391">
            <v>0</v>
          </cell>
          <cell r="Y391">
            <v>69775</v>
          </cell>
          <cell r="Z391">
            <v>98248</v>
          </cell>
          <cell r="AB391">
            <v>0</v>
          </cell>
          <cell r="AC391">
            <v>209299</v>
          </cell>
          <cell r="AD391">
            <v>134491</v>
          </cell>
          <cell r="AF391">
            <v>0</v>
          </cell>
          <cell r="AG391">
            <v>160466</v>
          </cell>
          <cell r="AH391">
            <v>66301</v>
          </cell>
        </row>
        <row r="392">
          <cell r="H392">
            <v>488000</v>
          </cell>
          <cell r="J392" t="str">
            <v>Travelling, Conveyance and Car Expenses</v>
          </cell>
          <cell r="M392" t="e">
            <v>#N/A</v>
          </cell>
          <cell r="N392" t="e">
            <v>#REF!</v>
          </cell>
          <cell r="O392" t="str">
            <v>E</v>
          </cell>
          <cell r="Q392">
            <v>0</v>
          </cell>
          <cell r="R392">
            <v>0</v>
          </cell>
        </row>
        <row r="393">
          <cell r="H393">
            <v>489000</v>
          </cell>
          <cell r="K393" t="str">
            <v>Travelling Expenses</v>
          </cell>
          <cell r="M393" t="e">
            <v>#N/A</v>
          </cell>
          <cell r="N393" t="e">
            <v>#REF!</v>
          </cell>
          <cell r="O393" t="str">
            <v>E</v>
          </cell>
        </row>
        <row r="394">
          <cell r="G394">
            <v>13448</v>
          </cell>
          <cell r="H394">
            <v>490000</v>
          </cell>
          <cell r="I394" t="str">
            <v>7210</v>
          </cell>
          <cell r="L394" t="str">
            <v>Trav Exp -Foreign/Local  (  )</v>
          </cell>
          <cell r="M394" t="str">
            <v>FOREIGN TRAV)EL EXP. (7211)</v>
          </cell>
          <cell r="N394" t="e">
            <v>#REF!</v>
          </cell>
          <cell r="O394" t="str">
            <v>E</v>
          </cell>
          <cell r="Q394">
            <v>2029143</v>
          </cell>
          <cell r="R394">
            <v>955231</v>
          </cell>
          <cell r="U394">
            <v>1631425</v>
          </cell>
          <cell r="V394">
            <v>666420</v>
          </cell>
          <cell r="Y394">
            <v>340614</v>
          </cell>
          <cell r="Z394">
            <v>288811</v>
          </cell>
          <cell r="AC394">
            <v>18154</v>
          </cell>
          <cell r="AD394">
            <v>0</v>
          </cell>
          <cell r="AG394">
            <v>38950</v>
          </cell>
          <cell r="AH394">
            <v>0</v>
          </cell>
        </row>
        <row r="395">
          <cell r="G395">
            <v>13446</v>
          </cell>
          <cell r="H395">
            <v>491000</v>
          </cell>
          <cell r="L395" t="str">
            <v>Directors Travelling Exps.</v>
          </cell>
          <cell r="M395" t="str">
            <v>DIRECTOR'S TRAVELLING EXP. (7210)</v>
          </cell>
          <cell r="N395" t="e">
            <v>#REF!</v>
          </cell>
          <cell r="O395" t="str">
            <v>E</v>
          </cell>
          <cell r="Q395">
            <v>6836371</v>
          </cell>
          <cell r="R395">
            <v>3690660</v>
          </cell>
          <cell r="U395">
            <v>6836371</v>
          </cell>
          <cell r="V395">
            <v>3690660</v>
          </cell>
          <cell r="Y395">
            <v>0</v>
          </cell>
          <cell r="Z395">
            <v>0</v>
          </cell>
          <cell r="AC395">
            <v>0</v>
          </cell>
          <cell r="AD395">
            <v>0</v>
          </cell>
          <cell r="AG395">
            <v>0</v>
          </cell>
          <cell r="AH395">
            <v>0</v>
          </cell>
        </row>
        <row r="396">
          <cell r="G396">
            <v>13447</v>
          </cell>
          <cell r="H396">
            <v>492000</v>
          </cell>
          <cell r="I396" t="str">
            <v>7211</v>
          </cell>
          <cell r="L396" t="str">
            <v>Foreigner'S Travelling Exps.</v>
          </cell>
          <cell r="M396" t="str">
            <v>FOREIGNER'S TRAVELLING EXP. (7210)</v>
          </cell>
          <cell r="N396" t="e">
            <v>#REF!</v>
          </cell>
          <cell r="O396" t="str">
            <v>E</v>
          </cell>
          <cell r="Q396">
            <v>5381499</v>
          </cell>
          <cell r="R396">
            <v>4160424</v>
          </cell>
          <cell r="U396">
            <v>5258300</v>
          </cell>
          <cell r="V396">
            <v>3756771</v>
          </cell>
          <cell r="Y396">
            <v>47794</v>
          </cell>
          <cell r="Z396">
            <v>403653</v>
          </cell>
          <cell r="AC396">
            <v>0</v>
          </cell>
          <cell r="AD396">
            <v>0</v>
          </cell>
          <cell r="AG396">
            <v>75405</v>
          </cell>
          <cell r="AH396">
            <v>0</v>
          </cell>
        </row>
        <row r="397">
          <cell r="H397">
            <v>493000</v>
          </cell>
          <cell r="I397" t="str">
            <v>7212</v>
          </cell>
          <cell r="L397" t="str">
            <v>Trav. Exp Employes Tour</v>
          </cell>
          <cell r="M397" t="e">
            <v>#N/A</v>
          </cell>
          <cell r="N397" t="e">
            <v>#REF!</v>
          </cell>
          <cell r="O397" t="str">
            <v>E</v>
          </cell>
          <cell r="Q397">
            <v>520354</v>
          </cell>
          <cell r="R397">
            <v>508664</v>
          </cell>
          <cell r="U397">
            <v>0</v>
          </cell>
          <cell r="V397">
            <v>0</v>
          </cell>
          <cell r="Y397">
            <v>0</v>
          </cell>
          <cell r="Z397">
            <v>0</v>
          </cell>
          <cell r="AC397">
            <v>0</v>
          </cell>
          <cell r="AD397">
            <v>0</v>
          </cell>
          <cell r="AG397">
            <v>520354</v>
          </cell>
          <cell r="AH397">
            <v>508664</v>
          </cell>
        </row>
        <row r="398">
          <cell r="G398">
            <v>13449</v>
          </cell>
          <cell r="H398">
            <v>494000</v>
          </cell>
          <cell r="I398" t="str">
            <v>7220</v>
          </cell>
          <cell r="L398" t="str">
            <v>Trav. Exp. Off. - Ticket</v>
          </cell>
          <cell r="M398" t="str">
            <v>LOCAL TRAVELLING (7212/ 7220)</v>
          </cell>
          <cell r="N398" t="e">
            <v>#REF!</v>
          </cell>
          <cell r="O398" t="str">
            <v>E</v>
          </cell>
          <cell r="Q398">
            <v>3288747</v>
          </cell>
          <cell r="R398">
            <v>2936704</v>
          </cell>
          <cell r="U398">
            <v>1871194</v>
          </cell>
          <cell r="V398">
            <v>1795834</v>
          </cell>
          <cell r="Y398">
            <v>1398246</v>
          </cell>
          <cell r="Z398">
            <v>1069995</v>
          </cell>
          <cell r="AC398">
            <v>19307</v>
          </cell>
          <cell r="AD398">
            <v>70875</v>
          </cell>
          <cell r="AG398">
            <v>0</v>
          </cell>
          <cell r="AH398">
            <v>0</v>
          </cell>
        </row>
        <row r="399">
          <cell r="H399">
            <v>495000</v>
          </cell>
          <cell r="I399" t="str">
            <v>7221</v>
          </cell>
          <cell r="L399" t="str">
            <v>Trav. Exp. Off. - Others</v>
          </cell>
          <cell r="M399" t="e">
            <v>#N/A</v>
          </cell>
          <cell r="N399" t="e">
            <v>#REF!</v>
          </cell>
          <cell r="O399" t="str">
            <v>E</v>
          </cell>
          <cell r="Q399">
            <v>240552</v>
          </cell>
          <cell r="R399">
            <v>20261</v>
          </cell>
          <cell r="U399">
            <v>0</v>
          </cell>
          <cell r="V399">
            <v>0</v>
          </cell>
          <cell r="Y399">
            <v>0</v>
          </cell>
          <cell r="Z399">
            <v>0</v>
          </cell>
          <cell r="AC399">
            <v>227034</v>
          </cell>
          <cell r="AD399">
            <v>5380</v>
          </cell>
          <cell r="AG399">
            <v>13518</v>
          </cell>
          <cell r="AH399">
            <v>14881</v>
          </cell>
        </row>
        <row r="400">
          <cell r="H400">
            <v>496000</v>
          </cell>
          <cell r="I400" t="str">
            <v>7230</v>
          </cell>
          <cell r="L400" t="str">
            <v>Trav. Exp. Others - Tkt</v>
          </cell>
          <cell r="M400" t="e">
            <v>#N/A</v>
          </cell>
          <cell r="N400" t="e">
            <v>#REF!</v>
          </cell>
          <cell r="O400" t="str">
            <v>E</v>
          </cell>
          <cell r="Q400">
            <v>27739</v>
          </cell>
          <cell r="R400">
            <v>23185</v>
          </cell>
          <cell r="U400">
            <v>0</v>
          </cell>
          <cell r="V400">
            <v>0</v>
          </cell>
          <cell r="Y400">
            <v>0</v>
          </cell>
          <cell r="Z400">
            <v>0</v>
          </cell>
          <cell r="AC400">
            <v>27739</v>
          </cell>
          <cell r="AD400">
            <v>23185</v>
          </cell>
          <cell r="AG400">
            <v>0</v>
          </cell>
          <cell r="AH400">
            <v>0</v>
          </cell>
        </row>
        <row r="401">
          <cell r="H401">
            <v>497000</v>
          </cell>
          <cell r="I401" t="str">
            <v>7231</v>
          </cell>
          <cell r="L401" t="str">
            <v>Trav. Exp. Others - Others</v>
          </cell>
          <cell r="M401" t="e">
            <v>#N/A</v>
          </cell>
          <cell r="N401" t="e">
            <v>#REF!</v>
          </cell>
          <cell r="O401" t="str">
            <v>E</v>
          </cell>
          <cell r="Q401">
            <v>381256</v>
          </cell>
          <cell r="R401">
            <v>108295</v>
          </cell>
          <cell r="U401">
            <v>0</v>
          </cell>
          <cell r="V401">
            <v>0</v>
          </cell>
          <cell r="Y401">
            <v>0</v>
          </cell>
          <cell r="Z401">
            <v>0</v>
          </cell>
          <cell r="AC401">
            <v>381256</v>
          </cell>
          <cell r="AD401">
            <v>88187</v>
          </cell>
          <cell r="AG401">
            <v>0</v>
          </cell>
          <cell r="AH401">
            <v>20108</v>
          </cell>
        </row>
        <row r="402">
          <cell r="G402">
            <v>13450</v>
          </cell>
          <cell r="H402">
            <v>498000</v>
          </cell>
          <cell r="I402" t="str">
            <v>7240</v>
          </cell>
          <cell r="L402" t="str">
            <v>Trav. Exp. - Conveyance</v>
          </cell>
          <cell r="M402" t="str">
            <v>CONVENYANCE EXPENSES (LOCAL) (3316)</v>
          </cell>
          <cell r="N402" t="e">
            <v>#REF!</v>
          </cell>
          <cell r="O402" t="str">
            <v>E</v>
          </cell>
          <cell r="Q402">
            <v>2058320</v>
          </cell>
          <cell r="R402">
            <v>2683717</v>
          </cell>
          <cell r="U402">
            <v>1065315</v>
          </cell>
          <cell r="V402">
            <v>1765256</v>
          </cell>
          <cell r="Y402">
            <v>538121</v>
          </cell>
          <cell r="Z402">
            <v>433273</v>
          </cell>
          <cell r="AC402">
            <v>148633</v>
          </cell>
          <cell r="AD402">
            <v>151860</v>
          </cell>
          <cell r="AG402">
            <v>306251</v>
          </cell>
          <cell r="AH402">
            <v>333328</v>
          </cell>
        </row>
        <row r="403">
          <cell r="H403">
            <v>499000</v>
          </cell>
          <cell r="I403" t="str">
            <v>7250</v>
          </cell>
          <cell r="L403" t="str">
            <v>Trav. Exp. - Car / Bus Hire Charges</v>
          </cell>
          <cell r="M403" t="e">
            <v>#N/A</v>
          </cell>
          <cell r="N403" t="e">
            <v>#REF!</v>
          </cell>
          <cell r="O403" t="str">
            <v>E</v>
          </cell>
          <cell r="Q403">
            <v>243220</v>
          </cell>
          <cell r="R403">
            <v>262676</v>
          </cell>
          <cell r="U403">
            <v>0</v>
          </cell>
          <cell r="V403">
            <v>0</v>
          </cell>
          <cell r="Y403">
            <v>0</v>
          </cell>
          <cell r="Z403">
            <v>0</v>
          </cell>
          <cell r="AC403">
            <v>69258</v>
          </cell>
          <cell r="AD403">
            <v>123529</v>
          </cell>
          <cell r="AG403">
            <v>173962</v>
          </cell>
          <cell r="AH403">
            <v>139147</v>
          </cell>
        </row>
        <row r="404">
          <cell r="H404">
            <v>500000</v>
          </cell>
          <cell r="K404" t="str">
            <v>Travelling Expenses</v>
          </cell>
          <cell r="M404" t="e">
            <v>#N/A</v>
          </cell>
          <cell r="N404" t="e">
            <v>#REF!</v>
          </cell>
          <cell r="O404" t="str">
            <v>E</v>
          </cell>
          <cell r="P404">
            <v>0</v>
          </cell>
          <cell r="Q404">
            <v>21007201</v>
          </cell>
          <cell r="R404">
            <v>15349817</v>
          </cell>
          <cell r="T404">
            <v>0</v>
          </cell>
          <cell r="U404">
            <v>16662605</v>
          </cell>
          <cell r="V404">
            <v>11674941</v>
          </cell>
          <cell r="X404">
            <v>0</v>
          </cell>
          <cell r="Y404">
            <v>2324775</v>
          </cell>
          <cell r="Z404">
            <v>2195732</v>
          </cell>
          <cell r="AB404">
            <v>0</v>
          </cell>
          <cell r="AC404">
            <v>891381</v>
          </cell>
          <cell r="AD404">
            <v>463016</v>
          </cell>
          <cell r="AF404">
            <v>0</v>
          </cell>
          <cell r="AG404">
            <v>1128440</v>
          </cell>
          <cell r="AH404">
            <v>1016128</v>
          </cell>
        </row>
        <row r="405">
          <cell r="H405">
            <v>501000</v>
          </cell>
          <cell r="K405" t="str">
            <v>Car Expenses</v>
          </cell>
          <cell r="M405" t="e">
            <v>#N/A</v>
          </cell>
          <cell r="N405" t="e">
            <v>#REF!</v>
          </cell>
          <cell r="O405" t="str">
            <v>E</v>
          </cell>
          <cell r="Q405">
            <v>0</v>
          </cell>
          <cell r="R405">
            <v>0</v>
          </cell>
        </row>
        <row r="406">
          <cell r="G406">
            <v>13573</v>
          </cell>
          <cell r="H406">
            <v>502000</v>
          </cell>
          <cell r="I406" t="str">
            <v>7650</v>
          </cell>
          <cell r="L406" t="str">
            <v>Car Expenses -  Petrol</v>
          </cell>
          <cell r="M406" t="str">
            <v>CAR EXPENSES [COMPANY CARS] (7650-53)</v>
          </cell>
          <cell r="N406" t="e">
            <v>#REF!</v>
          </cell>
          <cell r="O406" t="str">
            <v>E</v>
          </cell>
          <cell r="Q406">
            <v>1349987</v>
          </cell>
          <cell r="R406">
            <v>1603835</v>
          </cell>
          <cell r="U406">
            <v>1026811</v>
          </cell>
          <cell r="V406">
            <v>1134060</v>
          </cell>
          <cell r="Y406">
            <v>0</v>
          </cell>
          <cell r="Z406">
            <v>116293</v>
          </cell>
          <cell r="AC406">
            <v>191676</v>
          </cell>
          <cell r="AD406">
            <v>205082</v>
          </cell>
          <cell r="AG406">
            <v>131500</v>
          </cell>
          <cell r="AH406">
            <v>148400</v>
          </cell>
        </row>
        <row r="407">
          <cell r="H407">
            <v>503000</v>
          </cell>
          <cell r="I407" t="str">
            <v>7651</v>
          </cell>
          <cell r="L407" t="str">
            <v>Car Expenses -  Repairs</v>
          </cell>
          <cell r="M407" t="e">
            <v>#N/A</v>
          </cell>
          <cell r="N407" t="e">
            <v>#REF!</v>
          </cell>
          <cell r="O407" t="str">
            <v>E</v>
          </cell>
          <cell r="Q407">
            <v>171430</v>
          </cell>
          <cell r="R407">
            <v>157224</v>
          </cell>
          <cell r="U407">
            <v>0</v>
          </cell>
          <cell r="V407">
            <v>0</v>
          </cell>
          <cell r="Y407">
            <v>0</v>
          </cell>
          <cell r="Z407">
            <v>0</v>
          </cell>
          <cell r="AC407">
            <v>119730</v>
          </cell>
          <cell r="AD407">
            <v>81991</v>
          </cell>
          <cell r="AG407">
            <v>51700</v>
          </cell>
          <cell r="AH407">
            <v>75233</v>
          </cell>
        </row>
        <row r="408">
          <cell r="H408">
            <v>504000</v>
          </cell>
          <cell r="I408" t="str">
            <v>7652</v>
          </cell>
          <cell r="L408" t="str">
            <v>Car Expenses -  Driver'S Salary</v>
          </cell>
          <cell r="M408" t="e">
            <v>#N/A</v>
          </cell>
          <cell r="N408" t="e">
            <v>#REF!</v>
          </cell>
          <cell r="O408" t="str">
            <v>E</v>
          </cell>
          <cell r="Q408">
            <v>0</v>
          </cell>
          <cell r="R408">
            <v>0</v>
          </cell>
          <cell r="U408">
            <v>0</v>
          </cell>
          <cell r="V408">
            <v>0</v>
          </cell>
          <cell r="Y408">
            <v>0</v>
          </cell>
          <cell r="Z408">
            <v>0</v>
          </cell>
          <cell r="AC408">
            <v>0</v>
          </cell>
          <cell r="AD408">
            <v>0</v>
          </cell>
          <cell r="AG408">
            <v>0</v>
          </cell>
          <cell r="AH408">
            <v>0</v>
          </cell>
        </row>
        <row r="409">
          <cell r="H409">
            <v>505000</v>
          </cell>
          <cell r="I409" t="str">
            <v>7653</v>
          </cell>
          <cell r="L409" t="str">
            <v>Car Expenses -  Others ( Tax/Insu/Pass/Parking)</v>
          </cell>
          <cell r="M409" t="e">
            <v>#N/A</v>
          </cell>
          <cell r="N409" t="e">
            <v>#REF!</v>
          </cell>
          <cell r="O409" t="str">
            <v>E</v>
          </cell>
          <cell r="Q409">
            <v>35532</v>
          </cell>
          <cell r="R409">
            <v>38475</v>
          </cell>
          <cell r="U409">
            <v>0</v>
          </cell>
          <cell r="V409">
            <v>0</v>
          </cell>
          <cell r="Y409">
            <v>0</v>
          </cell>
          <cell r="Z409">
            <v>0</v>
          </cell>
          <cell r="AC409">
            <v>15481</v>
          </cell>
          <cell r="AD409">
            <v>11601</v>
          </cell>
          <cell r="AG409">
            <v>20051</v>
          </cell>
          <cell r="AH409">
            <v>26874</v>
          </cell>
        </row>
        <row r="410">
          <cell r="H410">
            <v>506000</v>
          </cell>
          <cell r="K410" t="str">
            <v>Car Expenses</v>
          </cell>
          <cell r="M410" t="e">
            <v>#N/A</v>
          </cell>
          <cell r="N410" t="e">
            <v>#REF!</v>
          </cell>
          <cell r="O410" t="str">
            <v>E</v>
          </cell>
          <cell r="P410">
            <v>0</v>
          </cell>
          <cell r="Q410">
            <v>1556949</v>
          </cell>
          <cell r="R410">
            <v>1799534</v>
          </cell>
          <cell r="T410">
            <v>0</v>
          </cell>
          <cell r="U410">
            <v>1026811</v>
          </cell>
          <cell r="V410">
            <v>1134060</v>
          </cell>
          <cell r="X410">
            <v>0</v>
          </cell>
          <cell r="Y410">
            <v>0</v>
          </cell>
          <cell r="Z410">
            <v>116293</v>
          </cell>
          <cell r="AB410">
            <v>0</v>
          </cell>
          <cell r="AC410">
            <v>326887</v>
          </cell>
          <cell r="AD410">
            <v>298674</v>
          </cell>
          <cell r="AF410">
            <v>0</v>
          </cell>
          <cell r="AG410">
            <v>203251</v>
          </cell>
          <cell r="AH410">
            <v>250507</v>
          </cell>
        </row>
        <row r="411">
          <cell r="H411">
            <v>507000</v>
          </cell>
          <cell r="J411" t="str">
            <v>Travelling, Conveyance and Car Expenses</v>
          </cell>
          <cell r="M411" t="e">
            <v>#N/A</v>
          </cell>
          <cell r="N411" t="e">
            <v>#REF!</v>
          </cell>
          <cell r="O411" t="str">
            <v>E</v>
          </cell>
          <cell r="Q411">
            <v>22564150</v>
          </cell>
          <cell r="R411">
            <v>17149351</v>
          </cell>
          <cell r="T411">
            <v>0</v>
          </cell>
          <cell r="U411">
            <v>17689416</v>
          </cell>
          <cell r="V411">
            <v>12809001</v>
          </cell>
          <cell r="X411">
            <v>0</v>
          </cell>
          <cell r="Y411">
            <v>2324775</v>
          </cell>
          <cell r="Z411">
            <v>2312025</v>
          </cell>
          <cell r="AB411">
            <v>0</v>
          </cell>
          <cell r="AC411">
            <v>1218268</v>
          </cell>
          <cell r="AD411">
            <v>761690</v>
          </cell>
          <cell r="AF411">
            <v>0</v>
          </cell>
          <cell r="AG411">
            <v>1331691</v>
          </cell>
          <cell r="AH411">
            <v>1266635</v>
          </cell>
        </row>
        <row r="412">
          <cell r="H412">
            <v>508000</v>
          </cell>
          <cell r="J412" t="str">
            <v>Security , Safety &amp; Sanitation</v>
          </cell>
          <cell r="M412" t="e">
            <v>#N/A</v>
          </cell>
          <cell r="N412" t="e">
            <v>#REF!</v>
          </cell>
          <cell r="O412" t="str">
            <v>E</v>
          </cell>
          <cell r="Q412">
            <v>0</v>
          </cell>
          <cell r="R412">
            <v>0</v>
          </cell>
        </row>
        <row r="413">
          <cell r="G413">
            <v>13428</v>
          </cell>
          <cell r="H413">
            <v>509000</v>
          </cell>
          <cell r="I413" t="str">
            <v>7360</v>
          </cell>
          <cell r="L413" t="str">
            <v>Security</v>
          </cell>
          <cell r="M413" t="str">
            <v>SECURITY (7360)</v>
          </cell>
          <cell r="N413" t="e">
            <v>#REF!</v>
          </cell>
          <cell r="O413" t="str">
            <v>E</v>
          </cell>
          <cell r="Q413">
            <v>6056506</v>
          </cell>
          <cell r="R413">
            <v>5922546</v>
          </cell>
          <cell r="U413">
            <v>1829199</v>
          </cell>
          <cell r="V413">
            <v>1792700</v>
          </cell>
          <cell r="Y413">
            <v>2125237</v>
          </cell>
          <cell r="Z413">
            <v>2116548</v>
          </cell>
          <cell r="AC413">
            <v>1251106</v>
          </cell>
          <cell r="AD413">
            <v>1219108</v>
          </cell>
          <cell r="AG413">
            <v>850964</v>
          </cell>
          <cell r="AH413">
            <v>794190</v>
          </cell>
        </row>
        <row r="414">
          <cell r="G414">
            <v>13429</v>
          </cell>
          <cell r="H414">
            <v>510000</v>
          </cell>
          <cell r="I414" t="str">
            <v>7370</v>
          </cell>
          <cell r="L414" t="str">
            <v>Safety &amp; Sanitation</v>
          </cell>
          <cell r="M414" t="str">
            <v>SAFETY &amp; SANITATION (7370)</v>
          </cell>
          <cell r="N414" t="e">
            <v>#REF!</v>
          </cell>
          <cell r="O414" t="str">
            <v>E</v>
          </cell>
          <cell r="Q414">
            <v>574969</v>
          </cell>
          <cell r="R414">
            <v>487576</v>
          </cell>
          <cell r="U414">
            <v>257061</v>
          </cell>
          <cell r="V414">
            <v>240850</v>
          </cell>
          <cell r="Y414">
            <v>150452</v>
          </cell>
          <cell r="Z414">
            <v>131146</v>
          </cell>
          <cell r="AC414">
            <v>122247</v>
          </cell>
          <cell r="AD414">
            <v>95391</v>
          </cell>
          <cell r="AG414">
            <v>45209</v>
          </cell>
          <cell r="AH414">
            <v>20189</v>
          </cell>
        </row>
        <row r="415">
          <cell r="H415">
            <v>511000</v>
          </cell>
          <cell r="L415">
            <v>0</v>
          </cell>
          <cell r="M415" t="e">
            <v>#N/A</v>
          </cell>
          <cell r="N415" t="e">
            <v>#REF!</v>
          </cell>
          <cell r="O415" t="str">
            <v>E</v>
          </cell>
          <cell r="Q415">
            <v>0</v>
          </cell>
          <cell r="R415">
            <v>0</v>
          </cell>
          <cell r="U415">
            <v>0</v>
          </cell>
          <cell r="V415">
            <v>0</v>
          </cell>
          <cell r="Y415">
            <v>0</v>
          </cell>
          <cell r="Z415">
            <v>0</v>
          </cell>
        </row>
        <row r="416">
          <cell r="H416">
            <v>512000</v>
          </cell>
          <cell r="J416" t="str">
            <v>Security , Safety &amp; Sanitation</v>
          </cell>
          <cell r="M416" t="e">
            <v>#N/A</v>
          </cell>
          <cell r="N416" t="e">
            <v>#REF!</v>
          </cell>
          <cell r="O416" t="str">
            <v>E</v>
          </cell>
          <cell r="P416">
            <v>0</v>
          </cell>
          <cell r="Q416">
            <v>6631475</v>
          </cell>
          <cell r="R416">
            <v>6410122</v>
          </cell>
          <cell r="T416">
            <v>0</v>
          </cell>
          <cell r="U416">
            <v>2086260</v>
          </cell>
          <cell r="V416">
            <v>2033550</v>
          </cell>
          <cell r="X416">
            <v>0</v>
          </cell>
          <cell r="Y416">
            <v>2275689</v>
          </cell>
          <cell r="Z416">
            <v>2247694</v>
          </cell>
          <cell r="AB416">
            <v>0</v>
          </cell>
          <cell r="AC416">
            <v>1373353</v>
          </cell>
          <cell r="AD416">
            <v>1314499</v>
          </cell>
          <cell r="AF416">
            <v>0</v>
          </cell>
          <cell r="AG416">
            <v>896173</v>
          </cell>
          <cell r="AH416">
            <v>814379</v>
          </cell>
        </row>
        <row r="417">
          <cell r="H417">
            <v>513000</v>
          </cell>
          <cell r="J417" t="str">
            <v>Legal, Professional &amp; Secreterial Exp.</v>
          </cell>
          <cell r="M417" t="e">
            <v>#N/A</v>
          </cell>
          <cell r="N417" t="e">
            <v>#REF!</v>
          </cell>
          <cell r="O417" t="str">
            <v>E</v>
          </cell>
          <cell r="Q417">
            <v>0</v>
          </cell>
          <cell r="R417">
            <v>0</v>
          </cell>
        </row>
        <row r="418">
          <cell r="G418">
            <v>13539</v>
          </cell>
          <cell r="H418">
            <v>514000</v>
          </cell>
          <cell r="I418" t="str">
            <v>7260</v>
          </cell>
          <cell r="L418" t="str">
            <v>Legal Expenses</v>
          </cell>
          <cell r="M418" t="str">
            <v>LEGAL EXPENSES (7260)</v>
          </cell>
          <cell r="N418" t="e">
            <v>#REF!</v>
          </cell>
          <cell r="O418" t="str">
            <v>E</v>
          </cell>
          <cell r="Q418">
            <v>57310</v>
          </cell>
          <cell r="R418">
            <v>71710</v>
          </cell>
          <cell r="U418">
            <v>45010</v>
          </cell>
          <cell r="V418">
            <v>70900</v>
          </cell>
          <cell r="Y418">
            <v>12300</v>
          </cell>
          <cell r="Z418">
            <v>810</v>
          </cell>
          <cell r="AC418">
            <v>0</v>
          </cell>
          <cell r="AD418">
            <v>0</v>
          </cell>
          <cell r="AG418">
            <v>0</v>
          </cell>
          <cell r="AH418">
            <v>0</v>
          </cell>
        </row>
        <row r="419">
          <cell r="G419">
            <v>13540</v>
          </cell>
          <cell r="H419">
            <v>515000</v>
          </cell>
          <cell r="I419" t="str">
            <v>7265</v>
          </cell>
          <cell r="L419" t="str">
            <v>Professional Expenses</v>
          </cell>
          <cell r="M419" t="str">
            <v>PROFESSIONAL EXPENSES (7265)</v>
          </cell>
          <cell r="N419" t="e">
            <v>#REF!</v>
          </cell>
          <cell r="O419" t="str">
            <v>E</v>
          </cell>
          <cell r="Q419">
            <v>21331194</v>
          </cell>
          <cell r="R419">
            <v>7607310</v>
          </cell>
          <cell r="U419">
            <v>19738394</v>
          </cell>
          <cell r="V419">
            <v>4614507</v>
          </cell>
          <cell r="Y419">
            <v>486387</v>
          </cell>
          <cell r="Z419">
            <v>2598919</v>
          </cell>
          <cell r="AC419">
            <v>44414</v>
          </cell>
          <cell r="AD419">
            <v>30042</v>
          </cell>
          <cell r="AG419">
            <v>1061999</v>
          </cell>
          <cell r="AH419">
            <v>363842</v>
          </cell>
        </row>
        <row r="420">
          <cell r="G420">
            <v>13542</v>
          </cell>
          <cell r="H420">
            <v>516000</v>
          </cell>
          <cell r="I420" t="str">
            <v>7271</v>
          </cell>
          <cell r="L420" t="str">
            <v>Secretarial Expenses - Postage</v>
          </cell>
          <cell r="M420" t="str">
            <v>SECRETARIAL EXPENSES (7271,7272,7273)</v>
          </cell>
          <cell r="N420" t="e">
            <v>#REF!</v>
          </cell>
          <cell r="O420" t="str">
            <v>E</v>
          </cell>
          <cell r="Q420">
            <v>1016524</v>
          </cell>
          <cell r="R420">
            <v>781213</v>
          </cell>
          <cell r="U420">
            <v>1016524</v>
          </cell>
          <cell r="V420">
            <v>781213</v>
          </cell>
          <cell r="Y420">
            <v>0</v>
          </cell>
          <cell r="Z420">
            <v>0</v>
          </cell>
          <cell r="AC420">
            <v>0</v>
          </cell>
          <cell r="AD420">
            <v>0</v>
          </cell>
          <cell r="AG420">
            <v>0</v>
          </cell>
          <cell r="AH420">
            <v>0</v>
          </cell>
        </row>
        <row r="421">
          <cell r="H421">
            <v>517000</v>
          </cell>
          <cell r="J421" t="str">
            <v>Legal, Professional &amp; Secreterial Exp.</v>
          </cell>
          <cell r="M421" t="e">
            <v>#N/A</v>
          </cell>
          <cell r="N421" t="e">
            <v>#REF!</v>
          </cell>
          <cell r="O421" t="str">
            <v>E</v>
          </cell>
          <cell r="P421">
            <v>0</v>
          </cell>
          <cell r="Q421">
            <v>22405028</v>
          </cell>
          <cell r="R421">
            <v>8460233</v>
          </cell>
          <cell r="T421">
            <v>0</v>
          </cell>
          <cell r="U421">
            <v>20799928</v>
          </cell>
          <cell r="V421">
            <v>5466620</v>
          </cell>
          <cell r="X421">
            <v>0</v>
          </cell>
          <cell r="Y421">
            <v>498687</v>
          </cell>
          <cell r="Z421">
            <v>2599729</v>
          </cell>
          <cell r="AB421">
            <v>0</v>
          </cell>
          <cell r="AC421">
            <v>44414</v>
          </cell>
          <cell r="AD421">
            <v>30042</v>
          </cell>
          <cell r="AF421">
            <v>0</v>
          </cell>
          <cell r="AG421">
            <v>1061999</v>
          </cell>
          <cell r="AH421">
            <v>363842</v>
          </cell>
        </row>
        <row r="422">
          <cell r="H422">
            <v>513000</v>
          </cell>
          <cell r="J422" t="str">
            <v>Corporate Social Responsibility</v>
          </cell>
          <cell r="M422" t="e">
            <v>#N/A</v>
          </cell>
          <cell r="N422" t="e">
            <v>#REF!</v>
          </cell>
          <cell r="O422" t="str">
            <v>E</v>
          </cell>
          <cell r="Q422">
            <v>0</v>
          </cell>
          <cell r="R422">
            <v>0</v>
          </cell>
        </row>
        <row r="423">
          <cell r="G423">
            <v>18000</v>
          </cell>
          <cell r="H423">
            <v>514000</v>
          </cell>
          <cell r="L423" t="str">
            <v>Csr Expenses</v>
          </cell>
          <cell r="M423" t="str">
            <v>CORPORATE SOCIAL RESPONSIBILITY</v>
          </cell>
          <cell r="N423" t="e">
            <v>#REF!</v>
          </cell>
          <cell r="O423" t="str">
            <v>E</v>
          </cell>
          <cell r="Q423">
            <v>1535000</v>
          </cell>
          <cell r="R423">
            <v>0</v>
          </cell>
          <cell r="U423">
            <v>1535000</v>
          </cell>
          <cell r="V423">
            <v>0</v>
          </cell>
          <cell r="Y423">
            <v>0</v>
          </cell>
          <cell r="Z423">
            <v>0</v>
          </cell>
          <cell r="AC423">
            <v>0</v>
          </cell>
          <cell r="AD423">
            <v>0</v>
          </cell>
          <cell r="AG423">
            <v>0</v>
          </cell>
          <cell r="AH423">
            <v>0</v>
          </cell>
        </row>
        <row r="424">
          <cell r="H424">
            <v>515000</v>
          </cell>
          <cell r="M424" t="e">
            <v>#N/A</v>
          </cell>
          <cell r="N424" t="e">
            <v>#REF!</v>
          </cell>
          <cell r="O424" t="str">
            <v>E</v>
          </cell>
          <cell r="Q424">
            <v>0</v>
          </cell>
          <cell r="R424">
            <v>0</v>
          </cell>
          <cell r="U424">
            <v>0</v>
          </cell>
          <cell r="V424">
            <v>0</v>
          </cell>
          <cell r="Y424">
            <v>0</v>
          </cell>
          <cell r="Z424">
            <v>0</v>
          </cell>
          <cell r="AC424">
            <v>0</v>
          </cell>
          <cell r="AD424">
            <v>0</v>
          </cell>
          <cell r="AG424">
            <v>0</v>
          </cell>
          <cell r="AH424">
            <v>0</v>
          </cell>
        </row>
        <row r="425">
          <cell r="H425">
            <v>516000</v>
          </cell>
          <cell r="M425" t="e">
            <v>#N/A</v>
          </cell>
          <cell r="N425" t="e">
            <v>#REF!</v>
          </cell>
          <cell r="O425" t="str">
            <v>E</v>
          </cell>
          <cell r="Q425">
            <v>0</v>
          </cell>
          <cell r="R425">
            <v>0</v>
          </cell>
          <cell r="U425">
            <v>0</v>
          </cell>
          <cell r="V425">
            <v>0</v>
          </cell>
          <cell r="Y425">
            <v>0</v>
          </cell>
          <cell r="Z425">
            <v>0</v>
          </cell>
          <cell r="AC425">
            <v>0</v>
          </cell>
          <cell r="AD425">
            <v>0</v>
          </cell>
          <cell r="AG425">
            <v>0</v>
          </cell>
          <cell r="AH425">
            <v>0</v>
          </cell>
        </row>
        <row r="426">
          <cell r="H426">
            <v>517000</v>
          </cell>
          <cell r="J426" t="str">
            <v>Corporate Social Responsibility</v>
          </cell>
          <cell r="M426" t="e">
            <v>#N/A</v>
          </cell>
          <cell r="N426" t="e">
            <v>#REF!</v>
          </cell>
          <cell r="O426" t="str">
            <v>E</v>
          </cell>
          <cell r="P426">
            <v>0</v>
          </cell>
          <cell r="Q426">
            <v>1535000</v>
          </cell>
          <cell r="R426">
            <v>0</v>
          </cell>
          <cell r="T426">
            <v>0</v>
          </cell>
          <cell r="U426">
            <v>1535000</v>
          </cell>
          <cell r="V426">
            <v>0</v>
          </cell>
          <cell r="X426">
            <v>0</v>
          </cell>
          <cell r="Y426">
            <v>0</v>
          </cell>
          <cell r="Z426">
            <v>0</v>
          </cell>
          <cell r="AB426">
            <v>0</v>
          </cell>
          <cell r="AC426">
            <v>0</v>
          </cell>
          <cell r="AD426">
            <v>0</v>
          </cell>
          <cell r="AF426">
            <v>0</v>
          </cell>
          <cell r="AG426">
            <v>0</v>
          </cell>
          <cell r="AH426">
            <v>0</v>
          </cell>
        </row>
        <row r="427">
          <cell r="H427">
            <v>518000</v>
          </cell>
          <cell r="J427" t="str">
            <v>Freight &amp; transport expenses</v>
          </cell>
          <cell r="M427" t="e">
            <v>#N/A</v>
          </cell>
          <cell r="N427" t="e">
            <v>#REF!</v>
          </cell>
          <cell r="O427" t="str">
            <v>E</v>
          </cell>
          <cell r="Q427">
            <v>0</v>
          </cell>
          <cell r="R427">
            <v>0</v>
          </cell>
        </row>
        <row r="428">
          <cell r="H428">
            <v>519000</v>
          </cell>
          <cell r="K428" t="str">
            <v>Expense</v>
          </cell>
          <cell r="M428" t="e">
            <v>#N/A</v>
          </cell>
          <cell r="N428" t="e">
            <v>#REF!</v>
          </cell>
          <cell r="O428" t="str">
            <v>E</v>
          </cell>
        </row>
        <row r="429">
          <cell r="G429">
            <v>13475</v>
          </cell>
          <cell r="H429">
            <v>520000</v>
          </cell>
          <cell r="I429" t="str">
            <v>7285</v>
          </cell>
          <cell r="L429" t="str">
            <v>Freight &amp; Transport - Local</v>
          </cell>
          <cell r="M429" t="str">
            <v>FREIGHT &amp; TRANSPORT - LOCAL SALES (7285)</v>
          </cell>
          <cell r="N429" t="e">
            <v>#REF!</v>
          </cell>
          <cell r="O429" t="str">
            <v>E</v>
          </cell>
          <cell r="Q429">
            <v>92380220</v>
          </cell>
          <cell r="R429">
            <v>86191831</v>
          </cell>
          <cell r="U429">
            <v>3413029</v>
          </cell>
          <cell r="V429">
            <v>3903975</v>
          </cell>
          <cell r="Y429">
            <v>50714499</v>
          </cell>
          <cell r="Z429">
            <v>53888862</v>
          </cell>
          <cell r="AC429">
            <v>16504285</v>
          </cell>
          <cell r="AD429">
            <v>13433598</v>
          </cell>
          <cell r="AG429">
            <v>21748407</v>
          </cell>
          <cell r="AH429">
            <v>14965396</v>
          </cell>
        </row>
        <row r="430">
          <cell r="G430">
            <v>13476</v>
          </cell>
          <cell r="H430">
            <v>521000</v>
          </cell>
          <cell r="I430" t="str">
            <v>7286</v>
          </cell>
          <cell r="L430" t="str">
            <v>Loading &amp; Unloading Exp</v>
          </cell>
          <cell r="M430" t="str">
            <v>LOADING &amp; UNLOADING EXPENSE (7286)</v>
          </cell>
          <cell r="N430" t="e">
            <v>#REF!</v>
          </cell>
          <cell r="O430" t="str">
            <v>E</v>
          </cell>
          <cell r="Q430">
            <v>14533931</v>
          </cell>
          <cell r="R430">
            <v>16296983</v>
          </cell>
          <cell r="U430">
            <v>-2051</v>
          </cell>
          <cell r="V430">
            <v>57041</v>
          </cell>
          <cell r="Y430">
            <v>13166034</v>
          </cell>
          <cell r="Z430">
            <v>15221093</v>
          </cell>
          <cell r="AC430">
            <v>503072</v>
          </cell>
          <cell r="AD430">
            <v>388890</v>
          </cell>
          <cell r="AG430">
            <v>866876</v>
          </cell>
          <cell r="AH430">
            <v>629959</v>
          </cell>
        </row>
        <row r="431">
          <cell r="H431">
            <v>522000</v>
          </cell>
          <cell r="I431" t="str">
            <v>7287</v>
          </cell>
          <cell r="L431" t="str">
            <v>Freight Detention Chgs</v>
          </cell>
          <cell r="M431" t="e">
            <v>#N/A</v>
          </cell>
          <cell r="N431" t="e">
            <v>#REF!</v>
          </cell>
          <cell r="O431" t="str">
            <v>E</v>
          </cell>
          <cell r="Q431">
            <v>49300</v>
          </cell>
          <cell r="R431">
            <v>39400</v>
          </cell>
          <cell r="U431">
            <v>0</v>
          </cell>
          <cell r="V431">
            <v>0</v>
          </cell>
          <cell r="Y431">
            <v>0</v>
          </cell>
          <cell r="Z431">
            <v>0</v>
          </cell>
          <cell r="AC431">
            <v>0</v>
          </cell>
          <cell r="AD431">
            <v>0</v>
          </cell>
          <cell r="AG431">
            <v>49300</v>
          </cell>
          <cell r="AH431">
            <v>39400</v>
          </cell>
        </row>
        <row r="432">
          <cell r="G432">
            <v>13478</v>
          </cell>
          <cell r="H432">
            <v>523000</v>
          </cell>
          <cell r="I432" t="str">
            <v>7288</v>
          </cell>
          <cell r="L432" t="str">
            <v>Freight On Rejected Drums</v>
          </cell>
          <cell r="M432" t="str">
            <v>FREIGHT ON REJECTED DRUMS</v>
          </cell>
          <cell r="N432" t="e">
            <v>#REF!</v>
          </cell>
          <cell r="O432" t="str">
            <v>E</v>
          </cell>
          <cell r="Q432">
            <v>35292</v>
          </cell>
          <cell r="R432">
            <v>3082</v>
          </cell>
          <cell r="U432">
            <v>8954</v>
          </cell>
          <cell r="V432">
            <v>0</v>
          </cell>
          <cell r="Y432">
            <v>26338</v>
          </cell>
          <cell r="Z432">
            <v>3082</v>
          </cell>
          <cell r="AC432">
            <v>0</v>
          </cell>
          <cell r="AD432">
            <v>0</v>
          </cell>
          <cell r="AG432">
            <v>0</v>
          </cell>
          <cell r="AH432">
            <v>0</v>
          </cell>
        </row>
        <row r="433">
          <cell r="G433">
            <v>13479</v>
          </cell>
          <cell r="H433">
            <v>524000</v>
          </cell>
          <cell r="I433" t="str">
            <v>7289</v>
          </cell>
          <cell r="L433" t="str">
            <v>Freight - Thanpi &amp; Toll Charges</v>
          </cell>
          <cell r="M433" t="str">
            <v>FREIGHT - THAPI &amp; TOLL CHARGES</v>
          </cell>
          <cell r="N433" t="e">
            <v>#REF!</v>
          </cell>
          <cell r="O433" t="str">
            <v>E</v>
          </cell>
          <cell r="Q433">
            <v>3220</v>
          </cell>
          <cell r="R433">
            <v>2530</v>
          </cell>
          <cell r="U433">
            <v>820</v>
          </cell>
          <cell r="V433">
            <v>2530</v>
          </cell>
          <cell r="Y433">
            <v>2400</v>
          </cell>
          <cell r="Z433">
            <v>0</v>
          </cell>
          <cell r="AC433">
            <v>0</v>
          </cell>
          <cell r="AD433">
            <v>0</v>
          </cell>
          <cell r="AG433">
            <v>0</v>
          </cell>
          <cell r="AH433">
            <v>0</v>
          </cell>
        </row>
        <row r="434">
          <cell r="G434">
            <v>13485</v>
          </cell>
          <cell r="H434">
            <v>525000</v>
          </cell>
          <cell r="I434" t="str">
            <v>7295</v>
          </cell>
          <cell r="L434" t="str">
            <v>Freight &amp; Transport  -  Exports</v>
          </cell>
          <cell r="M434" t="str">
            <v>FREIGHT &amp; TRANSPORT - EXPORTS SALES (7295)</v>
          </cell>
          <cell r="N434" t="e">
            <v>#REF!</v>
          </cell>
          <cell r="O434" t="str">
            <v>E</v>
          </cell>
          <cell r="Q434">
            <v>8030927</v>
          </cell>
          <cell r="R434">
            <v>16007026</v>
          </cell>
          <cell r="U434">
            <v>6211053</v>
          </cell>
          <cell r="V434">
            <v>5829279</v>
          </cell>
          <cell r="Y434">
            <v>1819874</v>
          </cell>
          <cell r="Z434">
            <v>10177747</v>
          </cell>
          <cell r="AC434">
            <v>0</v>
          </cell>
          <cell r="AD434">
            <v>0</v>
          </cell>
          <cell r="AG434">
            <v>0</v>
          </cell>
          <cell r="AH434">
            <v>0</v>
          </cell>
        </row>
        <row r="435">
          <cell r="G435">
            <v>13480</v>
          </cell>
          <cell r="H435">
            <v>526000</v>
          </cell>
          <cell r="I435" t="str">
            <v>7310</v>
          </cell>
          <cell r="L435" t="str">
            <v>Octroi -  Paid/Purchase</v>
          </cell>
          <cell r="M435" t="str">
            <v>OCTROI - PAID (7310)</v>
          </cell>
          <cell r="N435" t="e">
            <v>#REF!</v>
          </cell>
          <cell r="O435" t="str">
            <v>E</v>
          </cell>
          <cell r="Q435">
            <v>-5390279</v>
          </cell>
          <cell r="R435">
            <v>-4253549</v>
          </cell>
          <cell r="U435">
            <v>115803</v>
          </cell>
          <cell r="V435">
            <v>516644</v>
          </cell>
          <cell r="Y435">
            <v>-5506082</v>
          </cell>
          <cell r="Z435">
            <v>-4770193</v>
          </cell>
          <cell r="AC435">
            <v>0</v>
          </cell>
          <cell r="AD435">
            <v>0</v>
          </cell>
          <cell r="AG435">
            <v>0</v>
          </cell>
          <cell r="AH435">
            <v>0</v>
          </cell>
        </row>
        <row r="436">
          <cell r="H436">
            <v>527000</v>
          </cell>
          <cell r="K436" t="str">
            <v>Expense</v>
          </cell>
          <cell r="L436">
            <v>-64618508</v>
          </cell>
          <cell r="M436" t="e">
            <v>#N/A</v>
          </cell>
          <cell r="N436" t="e">
            <v>#REF!</v>
          </cell>
          <cell r="O436" t="str">
            <v>E</v>
          </cell>
          <cell r="Q436">
            <v>109642611</v>
          </cell>
          <cell r="R436">
            <v>114287303</v>
          </cell>
          <cell r="T436">
            <v>0</v>
          </cell>
          <cell r="U436">
            <v>9747608</v>
          </cell>
          <cell r="V436">
            <v>10309469</v>
          </cell>
          <cell r="X436">
            <v>0</v>
          </cell>
          <cell r="Y436">
            <v>60223063</v>
          </cell>
          <cell r="Z436">
            <v>74520591</v>
          </cell>
          <cell r="AB436">
            <v>0</v>
          </cell>
          <cell r="AC436">
            <v>17007357</v>
          </cell>
          <cell r="AD436">
            <v>13822488</v>
          </cell>
          <cell r="AF436">
            <v>0</v>
          </cell>
          <cell r="AG436">
            <v>22664583</v>
          </cell>
          <cell r="AH436">
            <v>15634755</v>
          </cell>
        </row>
        <row r="437">
          <cell r="H437">
            <v>528000</v>
          </cell>
          <cell r="K437" t="str">
            <v>Recovery</v>
          </cell>
          <cell r="M437" t="e">
            <v>#N/A</v>
          </cell>
          <cell r="N437" t="e">
            <v>#REF!</v>
          </cell>
          <cell r="O437" t="str">
            <v>E</v>
          </cell>
          <cell r="Q437">
            <v>0</v>
          </cell>
          <cell r="R437">
            <v>0</v>
          </cell>
        </row>
        <row r="438">
          <cell r="G438">
            <v>13483</v>
          </cell>
          <cell r="H438">
            <v>529000</v>
          </cell>
          <cell r="I438" t="str">
            <v>7290</v>
          </cell>
          <cell r="L438" t="str">
            <v>Freight &amp; Transport Recovered - Local</v>
          </cell>
          <cell r="M438" t="str">
            <v>FREIGHT &amp; TRANSPORT - RECOVERED LOCAL (7290)</v>
          </cell>
          <cell r="N438" t="e">
            <v>#REF!</v>
          </cell>
          <cell r="O438" t="str">
            <v>E</v>
          </cell>
          <cell r="Q438">
            <v>-59228229</v>
          </cell>
          <cell r="R438">
            <v>-56081225</v>
          </cell>
          <cell r="U438">
            <v>-4142522</v>
          </cell>
          <cell r="V438">
            <v>-4724279</v>
          </cell>
          <cell r="Y438">
            <v>-33332153</v>
          </cell>
          <cell r="Z438">
            <v>-33606173</v>
          </cell>
          <cell r="AC438">
            <v>-6039509</v>
          </cell>
          <cell r="AD438">
            <v>-4768519</v>
          </cell>
          <cell r="AG438">
            <v>-15714045</v>
          </cell>
          <cell r="AH438">
            <v>-12982254</v>
          </cell>
        </row>
        <row r="439">
          <cell r="G439">
            <v>13486</v>
          </cell>
          <cell r="H439">
            <v>530000</v>
          </cell>
          <cell r="I439" t="str">
            <v>7300</v>
          </cell>
          <cell r="L439" t="str">
            <v>Freight &amp; Transport Recovered - Exports</v>
          </cell>
          <cell r="M439" t="str">
            <v>FREIGHT &amp; TRANSPORT - RECOVERED- EXPORTS (7300)</v>
          </cell>
          <cell r="N439" t="e">
            <v>#REF!</v>
          </cell>
          <cell r="O439" t="str">
            <v>E</v>
          </cell>
          <cell r="Q439">
            <v>0</v>
          </cell>
          <cell r="R439">
            <v>0</v>
          </cell>
          <cell r="U439">
            <v>0</v>
          </cell>
          <cell r="V439">
            <v>0</v>
          </cell>
          <cell r="Y439">
            <v>0</v>
          </cell>
          <cell r="Z439">
            <v>0</v>
          </cell>
          <cell r="AC439">
            <v>0</v>
          </cell>
          <cell r="AD439">
            <v>0</v>
          </cell>
          <cell r="AG439">
            <v>0</v>
          </cell>
          <cell r="AH439">
            <v>0</v>
          </cell>
        </row>
        <row r="440">
          <cell r="G440">
            <v>13484</v>
          </cell>
          <cell r="H440">
            <v>531000</v>
          </cell>
          <cell r="I440" t="str">
            <v>7315</v>
          </cell>
          <cell r="L440" t="str">
            <v>Octroi -  Recovered</v>
          </cell>
          <cell r="M440" t="str">
            <v>OCTROI - RECOVERED (7315)</v>
          </cell>
          <cell r="N440" t="e">
            <v>#REF!</v>
          </cell>
          <cell r="O440" t="str">
            <v>E</v>
          </cell>
          <cell r="Q440">
            <v>5544780</v>
          </cell>
          <cell r="R440">
            <v>4367098</v>
          </cell>
          <cell r="U440">
            <v>0</v>
          </cell>
          <cell r="V440">
            <v>-440836</v>
          </cell>
          <cell r="Y440">
            <v>5544780</v>
          </cell>
          <cell r="Z440">
            <v>4807934</v>
          </cell>
          <cell r="AC440">
            <v>0</v>
          </cell>
          <cell r="AD440">
            <v>0</v>
          </cell>
          <cell r="AG440">
            <v>0</v>
          </cell>
          <cell r="AH440">
            <v>0</v>
          </cell>
        </row>
        <row r="441">
          <cell r="H441">
            <v>532000</v>
          </cell>
          <cell r="K441" t="str">
            <v>Recovery</v>
          </cell>
          <cell r="M441" t="e">
            <v>#N/A</v>
          </cell>
          <cell r="N441" t="e">
            <v>#REF!</v>
          </cell>
          <cell r="O441" t="str">
            <v>E</v>
          </cell>
          <cell r="Q441">
            <v>-53683449</v>
          </cell>
          <cell r="R441">
            <v>-51714127</v>
          </cell>
          <cell r="T441">
            <v>0</v>
          </cell>
          <cell r="U441">
            <v>-4142522</v>
          </cell>
          <cell r="V441">
            <v>-5165115</v>
          </cell>
          <cell r="X441">
            <v>0</v>
          </cell>
          <cell r="Y441">
            <v>-27787373</v>
          </cell>
          <cell r="Z441">
            <v>-28798239</v>
          </cell>
          <cell r="AB441">
            <v>0</v>
          </cell>
          <cell r="AC441">
            <v>-6039509</v>
          </cell>
          <cell r="AD441">
            <v>-4768519</v>
          </cell>
          <cell r="AF441">
            <v>0</v>
          </cell>
          <cell r="AG441">
            <v>-15714045</v>
          </cell>
          <cell r="AH441">
            <v>-12982254</v>
          </cell>
        </row>
        <row r="442">
          <cell r="H442">
            <v>533000</v>
          </cell>
          <cell r="J442" t="str">
            <v>Freight &amp; transport expenses</v>
          </cell>
          <cell r="M442" t="e">
            <v>#N/A</v>
          </cell>
          <cell r="N442" t="e">
            <v>#REF!</v>
          </cell>
          <cell r="O442" t="str">
            <v>E</v>
          </cell>
          <cell r="P442">
            <v>0</v>
          </cell>
          <cell r="Q442">
            <v>55959162</v>
          </cell>
          <cell r="R442">
            <v>62573176</v>
          </cell>
          <cell r="T442">
            <v>0</v>
          </cell>
          <cell r="U442">
            <v>5605086</v>
          </cell>
          <cell r="V442">
            <v>5144354</v>
          </cell>
          <cell r="X442">
            <v>0</v>
          </cell>
          <cell r="Y442">
            <v>32435690</v>
          </cell>
          <cell r="Z442">
            <v>45722352</v>
          </cell>
          <cell r="AB442">
            <v>0</v>
          </cell>
          <cell r="AC442">
            <v>10967848</v>
          </cell>
          <cell r="AD442">
            <v>9053969</v>
          </cell>
          <cell r="AF442">
            <v>0</v>
          </cell>
          <cell r="AG442">
            <v>6950538</v>
          </cell>
          <cell r="AH442">
            <v>2652501</v>
          </cell>
        </row>
        <row r="443">
          <cell r="H443">
            <v>534000</v>
          </cell>
          <cell r="J443" t="str">
            <v>Commission on Sales</v>
          </cell>
          <cell r="M443" t="e">
            <v>#N/A</v>
          </cell>
          <cell r="N443" t="e">
            <v>#REF!</v>
          </cell>
          <cell r="O443" t="str">
            <v>E</v>
          </cell>
          <cell r="Q443">
            <v>0</v>
          </cell>
          <cell r="R443">
            <v>0</v>
          </cell>
        </row>
        <row r="444">
          <cell r="G444">
            <v>13412</v>
          </cell>
          <cell r="H444">
            <v>535000</v>
          </cell>
          <cell r="I444" t="str">
            <v>7170</v>
          </cell>
          <cell r="L444" t="str">
            <v>Commission On Sale</v>
          </cell>
          <cell r="M444" t="str">
            <v>COMMISSION ON SALE (7170)</v>
          </cell>
          <cell r="N444" t="e">
            <v>#REF!</v>
          </cell>
          <cell r="O444" t="str">
            <v>E</v>
          </cell>
          <cell r="Q444">
            <v>16000324</v>
          </cell>
          <cell r="R444">
            <v>18687197</v>
          </cell>
          <cell r="U444">
            <v>14883175</v>
          </cell>
          <cell r="V444">
            <v>15637144</v>
          </cell>
          <cell r="Y444">
            <v>985086</v>
          </cell>
          <cell r="Z444">
            <v>2950656</v>
          </cell>
          <cell r="AC444">
            <v>132063</v>
          </cell>
          <cell r="AD444">
            <v>99397</v>
          </cell>
          <cell r="AG444">
            <v>0</v>
          </cell>
          <cell r="AH444">
            <v>0</v>
          </cell>
        </row>
        <row r="445">
          <cell r="H445">
            <v>536000</v>
          </cell>
          <cell r="L445">
            <v>0</v>
          </cell>
          <cell r="M445" t="e">
            <v>#N/A</v>
          </cell>
          <cell r="N445" t="e">
            <v>#REF!</v>
          </cell>
          <cell r="O445" t="str">
            <v>E</v>
          </cell>
        </row>
        <row r="446">
          <cell r="H446">
            <v>537000</v>
          </cell>
          <cell r="J446" t="str">
            <v>Commission on Sales</v>
          </cell>
          <cell r="M446" t="e">
            <v>#N/A</v>
          </cell>
          <cell r="N446" t="e">
            <v>#REF!</v>
          </cell>
          <cell r="O446" t="str">
            <v>E</v>
          </cell>
          <cell r="P446">
            <v>0</v>
          </cell>
          <cell r="Q446">
            <v>16000324</v>
          </cell>
          <cell r="R446">
            <v>18687197</v>
          </cell>
          <cell r="T446">
            <v>0</v>
          </cell>
          <cell r="U446">
            <v>14883175</v>
          </cell>
          <cell r="V446">
            <v>15637144</v>
          </cell>
          <cell r="X446">
            <v>0</v>
          </cell>
          <cell r="Y446">
            <v>985086</v>
          </cell>
          <cell r="Z446">
            <v>2950656</v>
          </cell>
          <cell r="AB446">
            <v>0</v>
          </cell>
          <cell r="AC446">
            <v>132063</v>
          </cell>
          <cell r="AD446">
            <v>99397</v>
          </cell>
          <cell r="AF446">
            <v>0</v>
          </cell>
          <cell r="AG446">
            <v>0</v>
          </cell>
          <cell r="AH446">
            <v>0</v>
          </cell>
        </row>
        <row r="447">
          <cell r="H447">
            <v>538000</v>
          </cell>
          <cell r="J447" t="str">
            <v>Loss on Foreign Exchange (Net)</v>
          </cell>
          <cell r="M447" t="e">
            <v>#N/A</v>
          </cell>
          <cell r="N447" t="e">
            <v>#REF!</v>
          </cell>
          <cell r="O447" t="str">
            <v>E</v>
          </cell>
          <cell r="Q447">
            <v>0</v>
          </cell>
          <cell r="R447">
            <v>0</v>
          </cell>
        </row>
        <row r="448">
          <cell r="G448">
            <v>13738</v>
          </cell>
          <cell r="H448">
            <v>539000</v>
          </cell>
          <cell r="I448" t="str">
            <v>5195</v>
          </cell>
          <cell r="L448" t="str">
            <v>Realised  Gain/ Loss  On Exchange</v>
          </cell>
          <cell r="M448" t="str">
            <v>REALISED GAIN/LOSS ON EXCHANGE (5195)</v>
          </cell>
          <cell r="N448" t="e">
            <v>#REF!</v>
          </cell>
          <cell r="O448" t="str">
            <v>E</v>
          </cell>
          <cell r="Q448">
            <v>4247895</v>
          </cell>
          <cell r="R448">
            <v>-322959</v>
          </cell>
          <cell r="U448">
            <v>-3475490</v>
          </cell>
          <cell r="V448">
            <v>-4108063</v>
          </cell>
          <cell r="Y448">
            <v>6656857</v>
          </cell>
          <cell r="Z448">
            <v>2931237</v>
          </cell>
          <cell r="AC448">
            <v>1036038</v>
          </cell>
          <cell r="AD448">
            <v>516019</v>
          </cell>
          <cell r="AG448">
            <v>30490</v>
          </cell>
          <cell r="AH448">
            <v>337848</v>
          </cell>
        </row>
        <row r="449">
          <cell r="G449">
            <v>13739</v>
          </cell>
          <cell r="H449">
            <v>540000</v>
          </cell>
          <cell r="I449" t="str">
            <v>5200</v>
          </cell>
          <cell r="L449" t="str">
            <v>Unrealised  Gain/Loss  On Exchange</v>
          </cell>
          <cell r="M449" t="str">
            <v>UNREALISED GAIN/LOSS ON EXCHANGE (5200)</v>
          </cell>
          <cell r="N449" t="e">
            <v>#REF!</v>
          </cell>
          <cell r="O449" t="str">
            <v>E</v>
          </cell>
          <cell r="Q449">
            <v>-1190005</v>
          </cell>
          <cell r="R449">
            <v>1073269</v>
          </cell>
          <cell r="U449">
            <v>1038899</v>
          </cell>
          <cell r="V449">
            <v>-103278</v>
          </cell>
          <cell r="Y449">
            <v>-2079159</v>
          </cell>
          <cell r="Z449">
            <v>965467</v>
          </cell>
          <cell r="AC449">
            <v>-45405</v>
          </cell>
          <cell r="AD449">
            <v>211080</v>
          </cell>
          <cell r="AG449">
            <v>-104340</v>
          </cell>
          <cell r="AH449">
            <v>0</v>
          </cell>
        </row>
        <row r="450">
          <cell r="G450">
            <v>14305</v>
          </cell>
          <cell r="H450">
            <v>541000</v>
          </cell>
          <cell r="I450" t="str">
            <v>7375</v>
          </cell>
          <cell r="L450" t="str">
            <v>PREMIUM ON FORWARD CONTRACT ACCOUNT</v>
          </cell>
          <cell r="M450" t="str">
            <v>PREMIUM ON FORWARD CONTRACT ACCOUNT</v>
          </cell>
          <cell r="N450" t="e">
            <v>#REF!</v>
          </cell>
          <cell r="O450" t="str">
            <v>E</v>
          </cell>
          <cell r="Q450">
            <v>6620270</v>
          </cell>
          <cell r="R450">
            <v>6821257</v>
          </cell>
          <cell r="U450">
            <v>0</v>
          </cell>
          <cell r="V450">
            <v>0</v>
          </cell>
          <cell r="Y450">
            <v>5910925</v>
          </cell>
          <cell r="Z450">
            <v>5880970</v>
          </cell>
          <cell r="AC450">
            <v>709345</v>
          </cell>
          <cell r="AD450">
            <v>548125</v>
          </cell>
          <cell r="AG450">
            <v>0</v>
          </cell>
          <cell r="AH450">
            <v>392162</v>
          </cell>
        </row>
        <row r="451">
          <cell r="H451">
            <v>542000</v>
          </cell>
          <cell r="J451" t="str">
            <v>Loss on Foreign Exchange (Net)</v>
          </cell>
          <cell r="M451" t="e">
            <v>#N/A</v>
          </cell>
          <cell r="N451" t="e">
            <v>#REF!</v>
          </cell>
          <cell r="O451" t="str">
            <v>E</v>
          </cell>
          <cell r="P451">
            <v>0</v>
          </cell>
          <cell r="Q451">
            <v>9678160</v>
          </cell>
          <cell r="R451">
            <v>7571567</v>
          </cell>
          <cell r="T451">
            <v>0</v>
          </cell>
          <cell r="U451">
            <v>-2436591</v>
          </cell>
          <cell r="V451">
            <v>-4211341</v>
          </cell>
          <cell r="X451">
            <v>0</v>
          </cell>
          <cell r="Y451">
            <v>10488623</v>
          </cell>
          <cell r="Z451">
            <v>9777674</v>
          </cell>
          <cell r="AB451">
            <v>0</v>
          </cell>
          <cell r="AC451">
            <v>1699978</v>
          </cell>
          <cell r="AD451">
            <v>1275224</v>
          </cell>
          <cell r="AF451">
            <v>0</v>
          </cell>
          <cell r="AG451">
            <v>-73850</v>
          </cell>
          <cell r="AH451">
            <v>730010</v>
          </cell>
        </row>
        <row r="452">
          <cell r="H452">
            <v>543000</v>
          </cell>
          <cell r="J452" t="str">
            <v>Provision For Doubtful Debts</v>
          </cell>
          <cell r="M452" t="e">
            <v>#N/A</v>
          </cell>
          <cell r="N452" t="e">
            <v>#REF!</v>
          </cell>
          <cell r="O452" t="str">
            <v>E</v>
          </cell>
        </row>
        <row r="453">
          <cell r="G453">
            <v>13526</v>
          </cell>
          <cell r="H453">
            <v>544000</v>
          </cell>
          <cell r="I453" t="str">
            <v>7355</v>
          </cell>
          <cell r="L453" t="str">
            <v>Provision &amp; Doubtful Debts/Advance</v>
          </cell>
          <cell r="M453" t="str">
            <v>PROVISION FOR DOUBTFUL DEBTS/ADVANCE (7355)</v>
          </cell>
          <cell r="N453" t="e">
            <v>#REF!</v>
          </cell>
          <cell r="O453" t="str">
            <v>E</v>
          </cell>
          <cell r="Q453">
            <v>2168621</v>
          </cell>
          <cell r="R453">
            <v>0</v>
          </cell>
          <cell r="U453">
            <v>2168621</v>
          </cell>
          <cell r="V453">
            <v>0</v>
          </cell>
          <cell r="Y453">
            <v>0</v>
          </cell>
          <cell r="Z453">
            <v>0</v>
          </cell>
          <cell r="AC453">
            <v>0</v>
          </cell>
          <cell r="AD453">
            <v>0</v>
          </cell>
          <cell r="AG453">
            <v>0</v>
          </cell>
          <cell r="AH453">
            <v>0</v>
          </cell>
        </row>
        <row r="454">
          <cell r="H454">
            <v>545000</v>
          </cell>
          <cell r="I454" t="str">
            <v>7351</v>
          </cell>
          <cell r="L454" t="str">
            <v>Adv. Wirtten Off</v>
          </cell>
          <cell r="M454" t="e">
            <v>#N/A</v>
          </cell>
          <cell r="N454" t="e">
            <v>#REF!</v>
          </cell>
          <cell r="O454" t="str">
            <v>E</v>
          </cell>
          <cell r="Q454">
            <v>596065</v>
          </cell>
          <cell r="R454">
            <v>0</v>
          </cell>
          <cell r="U454">
            <v>0</v>
          </cell>
          <cell r="V454">
            <v>0</v>
          </cell>
          <cell r="Y454">
            <v>0</v>
          </cell>
          <cell r="Z454">
            <v>0</v>
          </cell>
          <cell r="AC454">
            <v>596065</v>
          </cell>
          <cell r="AD454">
            <v>0</v>
          </cell>
          <cell r="AG454">
            <v>0</v>
          </cell>
          <cell r="AH454">
            <v>0</v>
          </cell>
        </row>
        <row r="455">
          <cell r="H455">
            <v>546000</v>
          </cell>
          <cell r="L455">
            <v>0</v>
          </cell>
          <cell r="M455" t="e">
            <v>#N/A</v>
          </cell>
          <cell r="N455" t="e">
            <v>#REF!</v>
          </cell>
          <cell r="O455" t="str">
            <v>E</v>
          </cell>
          <cell r="Q455">
            <v>-596065</v>
          </cell>
          <cell r="AC455">
            <v>-596065</v>
          </cell>
          <cell r="AD455">
            <v>0</v>
          </cell>
          <cell r="AG455">
            <v>0</v>
          </cell>
          <cell r="AH455">
            <v>0</v>
          </cell>
        </row>
        <row r="456">
          <cell r="H456">
            <v>547000</v>
          </cell>
          <cell r="J456" t="str">
            <v>Provision For Doubtful Debts</v>
          </cell>
          <cell r="M456" t="e">
            <v>#N/A</v>
          </cell>
          <cell r="N456" t="e">
            <v>#REF!</v>
          </cell>
          <cell r="O456" t="str">
            <v>E</v>
          </cell>
          <cell r="P456">
            <v>0</v>
          </cell>
          <cell r="Q456">
            <v>2168621</v>
          </cell>
          <cell r="R456">
            <v>0</v>
          </cell>
          <cell r="T456">
            <v>0</v>
          </cell>
          <cell r="U456">
            <v>2168621</v>
          </cell>
          <cell r="V456">
            <v>0</v>
          </cell>
          <cell r="X456">
            <v>0</v>
          </cell>
          <cell r="Y456">
            <v>0</v>
          </cell>
          <cell r="Z456">
            <v>0</v>
          </cell>
          <cell r="AB456">
            <v>0</v>
          </cell>
          <cell r="AC456">
            <v>0</v>
          </cell>
          <cell r="AD456">
            <v>0</v>
          </cell>
          <cell r="AF456">
            <v>0</v>
          </cell>
          <cell r="AG456">
            <v>0</v>
          </cell>
          <cell r="AH456">
            <v>0</v>
          </cell>
        </row>
        <row r="457">
          <cell r="H457">
            <v>548000</v>
          </cell>
          <cell r="J457" t="str">
            <v>Bad Debts</v>
          </cell>
          <cell r="M457" t="e">
            <v>#N/A</v>
          </cell>
          <cell r="N457" t="e">
            <v>#REF!</v>
          </cell>
          <cell r="O457" t="str">
            <v>E</v>
          </cell>
          <cell r="Q457">
            <v>0</v>
          </cell>
          <cell r="R457">
            <v>0</v>
          </cell>
        </row>
        <row r="458">
          <cell r="G458">
            <v>13506</v>
          </cell>
          <cell r="H458">
            <v>549000</v>
          </cell>
          <cell r="I458" t="str">
            <v>7350</v>
          </cell>
          <cell r="L458" t="str">
            <v>Bad Debts</v>
          </cell>
          <cell r="M458" t="str">
            <v>BAD DEBTS (7350)</v>
          </cell>
          <cell r="N458" t="e">
            <v>#REF!</v>
          </cell>
          <cell r="O458" t="str">
            <v>E</v>
          </cell>
          <cell r="Q458">
            <v>106379</v>
          </cell>
          <cell r="R458">
            <v>1218546</v>
          </cell>
          <cell r="U458">
            <v>0</v>
          </cell>
          <cell r="V458">
            <v>66707</v>
          </cell>
          <cell r="Y458">
            <v>54155</v>
          </cell>
          <cell r="Z458">
            <v>1151839</v>
          </cell>
          <cell r="AC458">
            <v>52224</v>
          </cell>
          <cell r="AD458">
            <v>0</v>
          </cell>
          <cell r="AG458">
            <v>0</v>
          </cell>
          <cell r="AH458">
            <v>0</v>
          </cell>
        </row>
        <row r="459">
          <cell r="G459">
            <v>13507</v>
          </cell>
          <cell r="H459">
            <v>550000</v>
          </cell>
          <cell r="L459" t="str">
            <v>Adv. Wirtten Off</v>
          </cell>
          <cell r="M459" t="str">
            <v>ADV. WIRTTEN OFF</v>
          </cell>
          <cell r="N459" t="e">
            <v>#REF!</v>
          </cell>
          <cell r="O459" t="str">
            <v>E</v>
          </cell>
          <cell r="Q459">
            <v>914255</v>
          </cell>
          <cell r="R459">
            <v>1054352</v>
          </cell>
          <cell r="U459">
            <v>914255</v>
          </cell>
          <cell r="V459">
            <v>114840</v>
          </cell>
          <cell r="Y459">
            <v>0</v>
          </cell>
          <cell r="Z459">
            <v>939512</v>
          </cell>
          <cell r="AC459">
            <v>0</v>
          </cell>
          <cell r="AD459">
            <v>0</v>
          </cell>
          <cell r="AG459">
            <v>0</v>
          </cell>
          <cell r="AH459">
            <v>0</v>
          </cell>
        </row>
        <row r="460">
          <cell r="L460" t="str">
            <v>Regrouped from Other Income</v>
          </cell>
          <cell r="Q460">
            <v>596065</v>
          </cell>
          <cell r="R460">
            <v>-1812800</v>
          </cell>
          <cell r="U460">
            <v>0</v>
          </cell>
          <cell r="V460">
            <v>0</v>
          </cell>
          <cell r="W460">
            <v>0</v>
          </cell>
          <cell r="X460">
            <v>0</v>
          </cell>
          <cell r="Y460">
            <v>0</v>
          </cell>
          <cell r="Z460">
            <v>-1812800</v>
          </cell>
          <cell r="AC460">
            <v>596065</v>
          </cell>
        </row>
        <row r="461">
          <cell r="H461">
            <v>551000</v>
          </cell>
          <cell r="J461" t="str">
            <v>Bad Debts</v>
          </cell>
          <cell r="L461" t="str">
            <v>Sub-Total</v>
          </cell>
          <cell r="M461" t="e">
            <v>#N/A</v>
          </cell>
          <cell r="N461" t="e">
            <v>#REF!</v>
          </cell>
          <cell r="O461" t="str">
            <v>E</v>
          </cell>
          <cell r="P461">
            <v>0</v>
          </cell>
          <cell r="Q461">
            <v>1616699</v>
          </cell>
          <cell r="R461">
            <v>460098</v>
          </cell>
          <cell r="T461">
            <v>0</v>
          </cell>
          <cell r="U461">
            <v>914255</v>
          </cell>
          <cell r="V461">
            <v>181547</v>
          </cell>
          <cell r="W461">
            <v>0</v>
          </cell>
          <cell r="X461">
            <v>0</v>
          </cell>
          <cell r="Y461">
            <v>54155</v>
          </cell>
          <cell r="Z461">
            <v>278551</v>
          </cell>
          <cell r="AA461">
            <v>0</v>
          </cell>
          <cell r="AB461">
            <v>0</v>
          </cell>
          <cell r="AC461">
            <v>648289</v>
          </cell>
          <cell r="AD461">
            <v>0</v>
          </cell>
          <cell r="AE461">
            <v>0</v>
          </cell>
          <cell r="AF461">
            <v>0</v>
          </cell>
          <cell r="AG461">
            <v>0</v>
          </cell>
          <cell r="AH461">
            <v>0</v>
          </cell>
        </row>
        <row r="462">
          <cell r="H462">
            <v>552000</v>
          </cell>
          <cell r="J462" t="str">
            <v>Miscellaneous Expenses</v>
          </cell>
          <cell r="M462" t="e">
            <v>#N/A</v>
          </cell>
          <cell r="N462" t="e">
            <v>#REF!</v>
          </cell>
          <cell r="O462" t="str">
            <v>E</v>
          </cell>
          <cell r="Q462">
            <v>0</v>
          </cell>
          <cell r="R462">
            <v>0</v>
          </cell>
        </row>
        <row r="463">
          <cell r="H463">
            <v>553000</v>
          </cell>
          <cell r="I463" t="str">
            <v>7380</v>
          </cell>
          <cell r="L463" t="str">
            <v>Business Development Exp</v>
          </cell>
          <cell r="M463" t="e">
            <v>#N/A</v>
          </cell>
          <cell r="N463" t="e">
            <v>#REF!</v>
          </cell>
          <cell r="O463" t="str">
            <v>E</v>
          </cell>
          <cell r="Q463">
            <v>149485</v>
          </cell>
          <cell r="R463">
            <v>-51096</v>
          </cell>
          <cell r="U463">
            <v>0</v>
          </cell>
          <cell r="V463">
            <v>0</v>
          </cell>
          <cell r="Y463">
            <v>0</v>
          </cell>
          <cell r="Z463">
            <v>0</v>
          </cell>
          <cell r="AC463">
            <v>149485</v>
          </cell>
          <cell r="AD463">
            <v>-51096</v>
          </cell>
          <cell r="AG463">
            <v>0</v>
          </cell>
          <cell r="AH463">
            <v>0</v>
          </cell>
        </row>
        <row r="464">
          <cell r="G464">
            <v>13596</v>
          </cell>
          <cell r="H464">
            <v>554000</v>
          </cell>
          <cell r="I464" t="str">
            <v>7390</v>
          </cell>
          <cell r="L464" t="str">
            <v>Books , News Papers And Periodicals</v>
          </cell>
          <cell r="M464" t="str">
            <v>BOOKS , NEWS PAPERS AND PERIODICALS (7390)</v>
          </cell>
          <cell r="N464" t="e">
            <v>#REF!</v>
          </cell>
          <cell r="O464" t="str">
            <v>E</v>
          </cell>
          <cell r="Q464">
            <v>121060</v>
          </cell>
          <cell r="R464">
            <v>114984</v>
          </cell>
          <cell r="U464">
            <v>102772</v>
          </cell>
          <cell r="V464">
            <v>74191</v>
          </cell>
          <cell r="Y464">
            <v>13500</v>
          </cell>
          <cell r="Z464">
            <v>35750</v>
          </cell>
          <cell r="AC464">
            <v>0</v>
          </cell>
          <cell r="AD464">
            <v>0</v>
          </cell>
          <cell r="AG464">
            <v>4788</v>
          </cell>
          <cell r="AH464">
            <v>5043</v>
          </cell>
        </row>
        <row r="465">
          <cell r="G465">
            <v>13599</v>
          </cell>
          <cell r="H465">
            <v>555000</v>
          </cell>
          <cell r="I465" t="str">
            <v>7400</v>
          </cell>
          <cell r="L465" t="str">
            <v>Subscription - Club/ Inst</v>
          </cell>
          <cell r="M465" t="str">
            <v>SUBSCRIPTION - OTHERS (7400,7405)</v>
          </cell>
          <cell r="N465" t="e">
            <v>#REF!</v>
          </cell>
          <cell r="O465" t="str">
            <v>E</v>
          </cell>
          <cell r="Q465">
            <v>640185</v>
          </cell>
          <cell r="R465">
            <v>705956</v>
          </cell>
          <cell r="U465">
            <v>373168</v>
          </cell>
          <cell r="V465">
            <v>674539</v>
          </cell>
          <cell r="Y465">
            <v>267017</v>
          </cell>
          <cell r="Z465">
            <v>31417</v>
          </cell>
          <cell r="AC465">
            <v>0</v>
          </cell>
          <cell r="AD465">
            <v>0</v>
          </cell>
          <cell r="AG465">
            <v>0</v>
          </cell>
          <cell r="AH465">
            <v>0</v>
          </cell>
        </row>
        <row r="466">
          <cell r="H466">
            <v>556000</v>
          </cell>
          <cell r="I466" t="str">
            <v>7405</v>
          </cell>
          <cell r="L466" t="str">
            <v>Subscription - Others</v>
          </cell>
          <cell r="M466" t="e">
            <v>#N/A</v>
          </cell>
          <cell r="N466" t="e">
            <v>#REF!</v>
          </cell>
          <cell r="O466" t="str">
            <v>E</v>
          </cell>
          <cell r="Q466">
            <v>10000</v>
          </cell>
          <cell r="R466">
            <v>20000</v>
          </cell>
          <cell r="U466">
            <v>0</v>
          </cell>
          <cell r="V466">
            <v>0</v>
          </cell>
          <cell r="Y466">
            <v>0</v>
          </cell>
          <cell r="Z466">
            <v>0</v>
          </cell>
          <cell r="AC466">
            <v>0</v>
          </cell>
          <cell r="AD466">
            <v>0</v>
          </cell>
          <cell r="AG466">
            <v>10000</v>
          </cell>
          <cell r="AH466">
            <v>20000</v>
          </cell>
        </row>
        <row r="467">
          <cell r="G467">
            <v>13600</v>
          </cell>
          <cell r="H467">
            <v>557000</v>
          </cell>
          <cell r="I467" t="str">
            <v>7410</v>
          </cell>
          <cell r="L467" t="str">
            <v>Postage/Telegram/Courier</v>
          </cell>
          <cell r="M467" t="str">
            <v>POSTAGE/ TELEGRAM/ COURIER (7410)</v>
          </cell>
          <cell r="N467" t="e">
            <v>#REF!</v>
          </cell>
          <cell r="O467" t="str">
            <v>E</v>
          </cell>
          <cell r="Q467">
            <v>1078096</v>
          </cell>
          <cell r="R467">
            <v>530445</v>
          </cell>
          <cell r="U467">
            <v>956373</v>
          </cell>
          <cell r="V467">
            <v>451251</v>
          </cell>
          <cell r="Y467">
            <v>37571</v>
          </cell>
          <cell r="Z467">
            <v>12758</v>
          </cell>
          <cell r="AC467">
            <v>17897</v>
          </cell>
          <cell r="AD467">
            <v>16187</v>
          </cell>
          <cell r="AG467">
            <v>66255</v>
          </cell>
          <cell r="AH467">
            <v>50249</v>
          </cell>
        </row>
        <row r="468">
          <cell r="G468">
            <v>13601</v>
          </cell>
          <cell r="H468">
            <v>558000</v>
          </cell>
          <cell r="I468" t="str">
            <v>7415</v>
          </cell>
          <cell r="L468" t="str">
            <v>Export Documentation Expenses</v>
          </cell>
          <cell r="M468" t="str">
            <v>EXPORT EXPENSES (7415)</v>
          </cell>
          <cell r="N468" t="e">
            <v>#REF!</v>
          </cell>
          <cell r="O468" t="str">
            <v>E</v>
          </cell>
          <cell r="Q468">
            <v>221562</v>
          </cell>
          <cell r="R468">
            <v>1280373</v>
          </cell>
          <cell r="U468">
            <v>200562</v>
          </cell>
          <cell r="V468">
            <v>1151872</v>
          </cell>
          <cell r="Y468">
            <v>21000</v>
          </cell>
          <cell r="Z468">
            <v>128501</v>
          </cell>
          <cell r="AC468">
            <v>0</v>
          </cell>
          <cell r="AD468">
            <v>0</v>
          </cell>
          <cell r="AG468">
            <v>0</v>
          </cell>
          <cell r="AH468">
            <v>0</v>
          </cell>
        </row>
        <row r="469">
          <cell r="G469">
            <v>13602</v>
          </cell>
          <cell r="H469">
            <v>559000</v>
          </cell>
          <cell r="I469" t="str">
            <v>7420</v>
          </cell>
          <cell r="L469" t="str">
            <v>Selling Expenses (Samples)</v>
          </cell>
          <cell r="M469" t="str">
            <v>SELLING EXPENSES (SAMPLES) (7420)</v>
          </cell>
          <cell r="N469" t="e">
            <v>#REF!</v>
          </cell>
          <cell r="O469" t="str">
            <v>E</v>
          </cell>
          <cell r="Q469">
            <v>12298342</v>
          </cell>
          <cell r="R469">
            <v>2301479</v>
          </cell>
          <cell r="U469">
            <v>10390695</v>
          </cell>
          <cell r="V469">
            <v>882677</v>
          </cell>
          <cell r="Y469">
            <v>1200394</v>
          </cell>
          <cell r="Z469">
            <v>975939</v>
          </cell>
          <cell r="AC469">
            <v>550559</v>
          </cell>
          <cell r="AD469">
            <v>412812</v>
          </cell>
          <cell r="AG469">
            <v>156694</v>
          </cell>
          <cell r="AH469">
            <v>30051</v>
          </cell>
        </row>
        <row r="470">
          <cell r="H470">
            <v>560000</v>
          </cell>
          <cell r="I470" t="str">
            <v>7425</v>
          </cell>
          <cell r="L470" t="str">
            <v>Admn Charges On Pf</v>
          </cell>
          <cell r="M470" t="e">
            <v>#N/A</v>
          </cell>
          <cell r="N470" t="e">
            <v>#REF!</v>
          </cell>
          <cell r="O470" t="str">
            <v>E</v>
          </cell>
          <cell r="Q470">
            <v>74069</v>
          </cell>
          <cell r="R470">
            <v>74042</v>
          </cell>
          <cell r="U470">
            <v>0</v>
          </cell>
          <cell r="V470">
            <v>0</v>
          </cell>
          <cell r="Y470">
            <v>0</v>
          </cell>
          <cell r="Z470">
            <v>0</v>
          </cell>
          <cell r="AC470">
            <v>43731</v>
          </cell>
          <cell r="AD470">
            <v>44259</v>
          </cell>
          <cell r="AG470">
            <v>30338</v>
          </cell>
          <cell r="AH470">
            <v>29783</v>
          </cell>
        </row>
        <row r="471">
          <cell r="G471">
            <v>13603</v>
          </cell>
          <cell r="H471">
            <v>561000</v>
          </cell>
          <cell r="I471" t="str">
            <v>7430</v>
          </cell>
          <cell r="L471" t="str">
            <v>Advertisement</v>
          </cell>
          <cell r="M471" t="str">
            <v>ADVERTISEMENT (7430)</v>
          </cell>
          <cell r="N471" t="e">
            <v>#REF!</v>
          </cell>
          <cell r="O471" t="str">
            <v>E</v>
          </cell>
          <cell r="Q471">
            <v>35000</v>
          </cell>
          <cell r="R471">
            <v>44540</v>
          </cell>
          <cell r="U471">
            <v>10000</v>
          </cell>
          <cell r="V471">
            <v>44540</v>
          </cell>
          <cell r="Y471">
            <v>15000</v>
          </cell>
          <cell r="Z471">
            <v>0</v>
          </cell>
          <cell r="AC471">
            <v>10000</v>
          </cell>
          <cell r="AD471">
            <v>0</v>
          </cell>
          <cell r="AG471">
            <v>0</v>
          </cell>
          <cell r="AH471">
            <v>0</v>
          </cell>
        </row>
        <row r="472">
          <cell r="G472">
            <v>13604</v>
          </cell>
          <cell r="H472">
            <v>562000</v>
          </cell>
          <cell r="I472" t="str">
            <v>7435</v>
          </cell>
          <cell r="L472" t="str">
            <v>Meeting &amp; Conference Expenses</v>
          </cell>
          <cell r="M472" t="str">
            <v>MEETING &amp; CONFERENCE EXPENSES (7435)</v>
          </cell>
          <cell r="N472" t="e">
            <v>#REF!</v>
          </cell>
          <cell r="O472" t="str">
            <v>E</v>
          </cell>
          <cell r="Q472">
            <v>877550</v>
          </cell>
          <cell r="R472">
            <v>742666</v>
          </cell>
          <cell r="U472">
            <v>849169</v>
          </cell>
          <cell r="V472">
            <v>707201</v>
          </cell>
          <cell r="Y472">
            <v>28381</v>
          </cell>
          <cell r="Z472">
            <v>32094</v>
          </cell>
          <cell r="AC472">
            <v>0</v>
          </cell>
          <cell r="AD472">
            <v>3371</v>
          </cell>
          <cell r="AG472">
            <v>0</v>
          </cell>
          <cell r="AH472">
            <v>0</v>
          </cell>
        </row>
        <row r="473">
          <cell r="G473">
            <v>13605</v>
          </cell>
          <cell r="H473">
            <v>563000</v>
          </cell>
          <cell r="I473" t="str">
            <v>7440</v>
          </cell>
          <cell r="L473" t="str">
            <v>Entertainment Expenses</v>
          </cell>
          <cell r="M473" t="str">
            <v>ENTERTAINMENT EXPENSES (7440)</v>
          </cell>
          <cell r="N473" t="e">
            <v>#REF!</v>
          </cell>
          <cell r="O473" t="str">
            <v>E</v>
          </cell>
          <cell r="Q473">
            <v>179958</v>
          </cell>
          <cell r="R473">
            <v>96046</v>
          </cell>
          <cell r="U473">
            <v>77784</v>
          </cell>
          <cell r="V473">
            <v>31345</v>
          </cell>
          <cell r="Y473">
            <v>26366</v>
          </cell>
          <cell r="Z473">
            <v>64701</v>
          </cell>
          <cell r="AC473">
            <v>0</v>
          </cell>
          <cell r="AD473">
            <v>0</v>
          </cell>
          <cell r="AG473">
            <v>75808</v>
          </cell>
          <cell r="AH473">
            <v>0</v>
          </cell>
        </row>
        <row r="474">
          <cell r="G474">
            <v>13607</v>
          </cell>
          <cell r="H474">
            <v>564000</v>
          </cell>
          <cell r="I474" t="str">
            <v>7455</v>
          </cell>
          <cell r="L474" t="str">
            <v>Iso Expenses</v>
          </cell>
          <cell r="M474" t="str">
            <v>ISO EXPENSES (7455)</v>
          </cell>
          <cell r="N474" t="e">
            <v>#REF!</v>
          </cell>
          <cell r="O474" t="str">
            <v>E</v>
          </cell>
          <cell r="Q474">
            <v>123421</v>
          </cell>
          <cell r="R474">
            <v>193452</v>
          </cell>
          <cell r="U474">
            <v>23800</v>
          </cell>
          <cell r="V474">
            <v>118052</v>
          </cell>
          <cell r="Y474">
            <v>99621</v>
          </cell>
          <cell r="Z474">
            <v>75400</v>
          </cell>
          <cell r="AC474">
            <v>0</v>
          </cell>
          <cell r="AD474">
            <v>0</v>
          </cell>
          <cell r="AG474">
            <v>0</v>
          </cell>
          <cell r="AH474">
            <v>0</v>
          </cell>
        </row>
        <row r="475">
          <cell r="H475">
            <v>565000</v>
          </cell>
          <cell r="I475" t="str">
            <v>7469</v>
          </cell>
          <cell r="L475" t="str">
            <v>Discount  (Premium  F/Cover)</v>
          </cell>
          <cell r="M475" t="e">
            <v>#N/A</v>
          </cell>
          <cell r="N475" t="e">
            <v>#REF!</v>
          </cell>
          <cell r="O475" t="str">
            <v>E</v>
          </cell>
          <cell r="Q475">
            <v>0</v>
          </cell>
          <cell r="R475">
            <v>0</v>
          </cell>
          <cell r="U475">
            <v>0</v>
          </cell>
          <cell r="V475">
            <v>0</v>
          </cell>
          <cell r="Y475">
            <v>0</v>
          </cell>
          <cell r="Z475">
            <v>0</v>
          </cell>
          <cell r="AC475">
            <v>0</v>
          </cell>
          <cell r="AD475">
            <v>0</v>
          </cell>
          <cell r="AG475">
            <v>0</v>
          </cell>
          <cell r="AH475">
            <v>0</v>
          </cell>
        </row>
        <row r="476">
          <cell r="G476">
            <v>13608</v>
          </cell>
          <cell r="H476">
            <v>566000</v>
          </cell>
          <cell r="I476" t="str">
            <v>7470</v>
          </cell>
          <cell r="J476" t="str">
            <v>7470</v>
          </cell>
          <cell r="L476" t="str">
            <v>General Expenses - Office</v>
          </cell>
          <cell r="M476" t="str">
            <v>GENERAL EXPENSES (7470-71)</v>
          </cell>
          <cell r="N476" t="e">
            <v>#REF!</v>
          </cell>
          <cell r="O476" t="str">
            <v>E</v>
          </cell>
          <cell r="Q476">
            <v>3215052</v>
          </cell>
          <cell r="R476">
            <v>2635970</v>
          </cell>
          <cell r="U476">
            <v>1831166</v>
          </cell>
          <cell r="V476">
            <v>1559562</v>
          </cell>
          <cell r="Y476">
            <v>1368700</v>
          </cell>
          <cell r="Z476">
            <v>1065193</v>
          </cell>
          <cell r="AC476">
            <v>490</v>
          </cell>
          <cell r="AD476">
            <v>0</v>
          </cell>
          <cell r="AG476">
            <v>14696</v>
          </cell>
          <cell r="AH476">
            <v>11215</v>
          </cell>
        </row>
        <row r="477">
          <cell r="H477">
            <v>567000</v>
          </cell>
          <cell r="I477" t="str">
            <v>7471</v>
          </cell>
          <cell r="L477" t="str">
            <v>General Expenses - Factory</v>
          </cell>
          <cell r="M477" t="e">
            <v>#N/A</v>
          </cell>
          <cell r="N477" t="e">
            <v>#REF!</v>
          </cell>
          <cell r="O477" t="str">
            <v>E</v>
          </cell>
          <cell r="Q477">
            <v>215543</v>
          </cell>
          <cell r="R477">
            <v>302454</v>
          </cell>
          <cell r="U477">
            <v>0</v>
          </cell>
          <cell r="V477">
            <v>0</v>
          </cell>
          <cell r="Y477">
            <v>0</v>
          </cell>
          <cell r="Z477">
            <v>0</v>
          </cell>
          <cell r="AC477">
            <v>90048</v>
          </cell>
          <cell r="AD477">
            <v>82945</v>
          </cell>
          <cell r="AG477">
            <v>125495</v>
          </cell>
          <cell r="AH477">
            <v>219509</v>
          </cell>
        </row>
        <row r="478">
          <cell r="G478">
            <v>13609</v>
          </cell>
          <cell r="H478">
            <v>568000</v>
          </cell>
          <cell r="I478" t="str">
            <v>7472</v>
          </cell>
          <cell r="L478" t="str">
            <v>Gift &amp; Presentation - Others</v>
          </cell>
          <cell r="M478" t="str">
            <v>GIFT &amp; PRESENTATION (7472-74)</v>
          </cell>
          <cell r="N478" t="e">
            <v>#REF!</v>
          </cell>
          <cell r="O478" t="str">
            <v>E</v>
          </cell>
          <cell r="Q478">
            <v>645402</v>
          </cell>
          <cell r="R478">
            <v>171145</v>
          </cell>
          <cell r="U478">
            <v>146510</v>
          </cell>
          <cell r="V478">
            <v>32045</v>
          </cell>
          <cell r="Y478">
            <v>353090</v>
          </cell>
          <cell r="Z478">
            <v>16650</v>
          </cell>
          <cell r="AC478">
            <v>0</v>
          </cell>
          <cell r="AD478">
            <v>0</v>
          </cell>
          <cell r="AG478">
            <v>145802</v>
          </cell>
          <cell r="AH478">
            <v>122450</v>
          </cell>
        </row>
        <row r="479">
          <cell r="H479">
            <v>569000</v>
          </cell>
          <cell r="I479" t="str">
            <v>7474</v>
          </cell>
          <cell r="L479" t="str">
            <v>Gift  &amp; Presentation - Employees</v>
          </cell>
          <cell r="M479" t="e">
            <v>#N/A</v>
          </cell>
          <cell r="N479" t="e">
            <v>#REF!</v>
          </cell>
          <cell r="O479" t="str">
            <v>E</v>
          </cell>
          <cell r="Q479">
            <v>0</v>
          </cell>
          <cell r="R479">
            <v>0</v>
          </cell>
          <cell r="U479">
            <v>0</v>
          </cell>
          <cell r="V479">
            <v>0</v>
          </cell>
          <cell r="Y479">
            <v>0</v>
          </cell>
          <cell r="Z479">
            <v>0</v>
          </cell>
          <cell r="AC479">
            <v>0</v>
          </cell>
          <cell r="AD479">
            <v>0</v>
          </cell>
          <cell r="AG479">
            <v>0</v>
          </cell>
          <cell r="AH479">
            <v>0</v>
          </cell>
        </row>
        <row r="480">
          <cell r="G480">
            <v>13610</v>
          </cell>
          <cell r="H480">
            <v>570000</v>
          </cell>
          <cell r="I480" t="str">
            <v>7475</v>
          </cell>
          <cell r="L480" t="str">
            <v>Corporate Expenses (Central Services)</v>
          </cell>
          <cell r="M480" t="str">
            <v>CORPORATE EXPENSES (CENTRAL SERVICES) (7475)</v>
          </cell>
          <cell r="N480" t="e">
            <v>#REF!</v>
          </cell>
          <cell r="O480" t="str">
            <v>E</v>
          </cell>
          <cell r="Q480">
            <v>0</v>
          </cell>
          <cell r="R480">
            <v>0</v>
          </cell>
          <cell r="U480">
            <v>-39465000</v>
          </cell>
          <cell r="V480">
            <v>-29120000</v>
          </cell>
          <cell r="Y480">
            <v>27183000</v>
          </cell>
          <cell r="Z480">
            <v>20450000</v>
          </cell>
          <cell r="AC480">
            <v>5745000</v>
          </cell>
          <cell r="AD480">
            <v>4220000</v>
          </cell>
          <cell r="AG480">
            <v>6537000</v>
          </cell>
          <cell r="AH480">
            <v>4450000</v>
          </cell>
        </row>
        <row r="481">
          <cell r="G481">
            <v>13611</v>
          </cell>
          <cell r="H481">
            <v>571000</v>
          </cell>
          <cell r="I481" t="str">
            <v>7480</v>
          </cell>
          <cell r="L481" t="str">
            <v>Staff Training (Other Than Fees)</v>
          </cell>
          <cell r="M481" t="str">
            <v>STAFF TRAINING (7480)</v>
          </cell>
          <cell r="N481" t="e">
            <v>#REF!</v>
          </cell>
          <cell r="O481" t="str">
            <v>E</v>
          </cell>
          <cell r="Q481">
            <v>444350</v>
          </cell>
          <cell r="R481">
            <v>163467</v>
          </cell>
          <cell r="U481">
            <v>433850</v>
          </cell>
          <cell r="V481">
            <v>97462</v>
          </cell>
          <cell r="Y481">
            <v>10500</v>
          </cell>
          <cell r="Z481">
            <v>66005</v>
          </cell>
          <cell r="AC481">
            <v>0</v>
          </cell>
          <cell r="AD481">
            <v>0</v>
          </cell>
          <cell r="AG481">
            <v>0</v>
          </cell>
          <cell r="AH481">
            <v>0</v>
          </cell>
        </row>
        <row r="482">
          <cell r="G482">
            <v>13612</v>
          </cell>
          <cell r="H482">
            <v>572000</v>
          </cell>
          <cell r="I482" t="str">
            <v>7485</v>
          </cell>
          <cell r="L482" t="str">
            <v>Recruitment Expenses</v>
          </cell>
          <cell r="M482" t="str">
            <v>RECRUITMENT EXPENSES (7485)</v>
          </cell>
          <cell r="N482" t="e">
            <v>#REF!</v>
          </cell>
          <cell r="O482" t="str">
            <v>E</v>
          </cell>
          <cell r="Q482">
            <v>243658</v>
          </cell>
          <cell r="R482">
            <v>129438</v>
          </cell>
          <cell r="U482">
            <v>40511</v>
          </cell>
          <cell r="V482">
            <v>30620</v>
          </cell>
          <cell r="Y482">
            <v>92905</v>
          </cell>
          <cell r="Z482">
            <v>63000</v>
          </cell>
          <cell r="AC482">
            <v>0</v>
          </cell>
          <cell r="AD482">
            <v>0</v>
          </cell>
          <cell r="AG482">
            <v>110242</v>
          </cell>
          <cell r="AH482">
            <v>35818</v>
          </cell>
        </row>
        <row r="483">
          <cell r="G483">
            <v>13613</v>
          </cell>
          <cell r="H483">
            <v>573000</v>
          </cell>
          <cell r="I483" t="str">
            <v>7490</v>
          </cell>
          <cell r="L483" t="str">
            <v>Courses And Conferences (Fees)</v>
          </cell>
          <cell r="M483" t="str">
            <v>COURSES &amp; CONFERENCE EXP (7490)</v>
          </cell>
          <cell r="N483" t="e">
            <v>#REF!</v>
          </cell>
          <cell r="O483" t="str">
            <v>E</v>
          </cell>
          <cell r="Q483">
            <v>1957496</v>
          </cell>
          <cell r="R483">
            <v>664712</v>
          </cell>
          <cell r="U483">
            <v>677839</v>
          </cell>
          <cell r="V483">
            <v>522380</v>
          </cell>
          <cell r="Y483">
            <v>1222304</v>
          </cell>
          <cell r="Z483">
            <v>119380</v>
          </cell>
          <cell r="AC483">
            <v>0</v>
          </cell>
          <cell r="AD483">
            <v>11476</v>
          </cell>
          <cell r="AG483">
            <v>57353</v>
          </cell>
          <cell r="AH483">
            <v>11476</v>
          </cell>
        </row>
        <row r="484">
          <cell r="G484">
            <v>13639</v>
          </cell>
          <cell r="H484">
            <v>574000</v>
          </cell>
          <cell r="I484" t="str">
            <v>7505</v>
          </cell>
          <cell r="L484" t="str">
            <v>Donations</v>
          </cell>
          <cell r="M484" t="str">
            <v>DONATIONS (7505)</v>
          </cell>
          <cell r="N484" t="e">
            <v>#REF!</v>
          </cell>
          <cell r="O484" t="str">
            <v>E</v>
          </cell>
          <cell r="Q484">
            <v>502100</v>
          </cell>
          <cell r="R484">
            <v>30000</v>
          </cell>
          <cell r="U484">
            <v>500000</v>
          </cell>
          <cell r="V484">
            <v>5000</v>
          </cell>
          <cell r="Y484">
            <v>0</v>
          </cell>
          <cell r="Z484">
            <v>10000</v>
          </cell>
          <cell r="AC484">
            <v>0</v>
          </cell>
          <cell r="AD484">
            <v>15000</v>
          </cell>
          <cell r="AG484">
            <v>2100</v>
          </cell>
          <cell r="AH484">
            <v>0</v>
          </cell>
        </row>
        <row r="485">
          <cell r="H485" t="str">
            <v>FOR BL ROW TO BE DELETED INSERTED FOR MIS</v>
          </cell>
          <cell r="O485" t="str">
            <v>E</v>
          </cell>
          <cell r="Q485">
            <v>0</v>
          </cell>
          <cell r="R485">
            <v>0</v>
          </cell>
          <cell r="V485">
            <v>0</v>
          </cell>
          <cell r="Y485">
            <v>0</v>
          </cell>
          <cell r="Z485">
            <v>0</v>
          </cell>
          <cell r="AC485">
            <v>0</v>
          </cell>
          <cell r="AD485">
            <v>0</v>
          </cell>
          <cell r="AG485">
            <v>0</v>
          </cell>
          <cell r="AH485">
            <v>0</v>
          </cell>
        </row>
        <row r="486">
          <cell r="H486">
            <v>575000</v>
          </cell>
          <cell r="L486">
            <v>0</v>
          </cell>
          <cell r="M486" t="e">
            <v>#N/A</v>
          </cell>
          <cell r="N486" t="e">
            <v>#REF!</v>
          </cell>
          <cell r="O486" t="str">
            <v>E</v>
          </cell>
          <cell r="Q486">
            <v>889</v>
          </cell>
          <cell r="R486">
            <v>4</v>
          </cell>
          <cell r="U486">
            <v>896</v>
          </cell>
          <cell r="V486">
            <v>4</v>
          </cell>
          <cell r="Y486">
            <v>-7</v>
          </cell>
        </row>
        <row r="487">
          <cell r="H487">
            <v>576000</v>
          </cell>
          <cell r="J487" t="str">
            <v>Miscellaneous Expenses</v>
          </cell>
          <cell r="M487" t="e">
            <v>#N/A</v>
          </cell>
          <cell r="N487" t="e">
            <v>#REF!</v>
          </cell>
          <cell r="O487" t="str">
            <v>E</v>
          </cell>
          <cell r="P487">
            <v>0</v>
          </cell>
          <cell r="Q487">
            <v>23033218</v>
          </cell>
          <cell r="R487">
            <v>10150077</v>
          </cell>
          <cell r="T487">
            <v>0</v>
          </cell>
          <cell r="U487">
            <v>-22849905</v>
          </cell>
          <cell r="V487">
            <v>-22737259</v>
          </cell>
          <cell r="X487">
            <v>0</v>
          </cell>
          <cell r="Y487">
            <v>31939342</v>
          </cell>
          <cell r="Z487">
            <v>23146788</v>
          </cell>
          <cell r="AB487">
            <v>0</v>
          </cell>
          <cell r="AC487">
            <v>6607210</v>
          </cell>
          <cell r="AD487">
            <v>4754954</v>
          </cell>
          <cell r="AF487">
            <v>0</v>
          </cell>
          <cell r="AG487">
            <v>7336571</v>
          </cell>
          <cell r="AH487">
            <v>4985594</v>
          </cell>
        </row>
        <row r="488">
          <cell r="H488">
            <v>577000</v>
          </cell>
          <cell r="J488" t="str">
            <v>OTHER EXPENSES</v>
          </cell>
          <cell r="M488" t="e">
            <v>#N/A</v>
          </cell>
          <cell r="N488" t="e">
            <v>#REF!</v>
          </cell>
          <cell r="O488" t="str">
            <v>E</v>
          </cell>
          <cell r="P488">
            <v>0</v>
          </cell>
          <cell r="Q488">
            <v>479436908</v>
          </cell>
          <cell r="R488">
            <v>424391910</v>
          </cell>
          <cell r="T488">
            <v>0</v>
          </cell>
          <cell r="U488">
            <v>127749004</v>
          </cell>
          <cell r="V488">
            <v>109502437</v>
          </cell>
          <cell r="W488">
            <v>0</v>
          </cell>
          <cell r="X488">
            <v>0</v>
          </cell>
          <cell r="Y488">
            <v>249529525</v>
          </cell>
          <cell r="Z488">
            <v>238789300</v>
          </cell>
          <cell r="AA488">
            <v>0</v>
          </cell>
          <cell r="AB488">
            <v>0</v>
          </cell>
          <cell r="AC488">
            <v>54696506</v>
          </cell>
          <cell r="AD488">
            <v>42271110</v>
          </cell>
          <cell r="AE488">
            <v>0</v>
          </cell>
          <cell r="AF488">
            <v>0</v>
          </cell>
          <cell r="AG488">
            <v>47461873</v>
          </cell>
          <cell r="AH488">
            <v>33829063</v>
          </cell>
        </row>
        <row r="489">
          <cell r="H489">
            <v>578000</v>
          </cell>
          <cell r="J489" t="str">
            <v>EXPENDITURE</v>
          </cell>
          <cell r="M489" t="e">
            <v>#N/A</v>
          </cell>
          <cell r="N489" t="e">
            <v>#REF!</v>
          </cell>
          <cell r="O489" t="str">
            <v>E</v>
          </cell>
          <cell r="P489" t="e">
            <v>#REF!</v>
          </cell>
          <cell r="Q489">
            <v>2618748495</v>
          </cell>
          <cell r="R489">
            <v>2706839999</v>
          </cell>
          <cell r="T489">
            <v>0</v>
          </cell>
          <cell r="U489">
            <v>633773105</v>
          </cell>
          <cell r="V489">
            <v>687139284</v>
          </cell>
          <cell r="X489">
            <v>0</v>
          </cell>
          <cell r="Y489">
            <v>1313982073</v>
          </cell>
          <cell r="Z489">
            <v>1418340712</v>
          </cell>
          <cell r="AB489">
            <v>0</v>
          </cell>
          <cell r="AC489">
            <v>338768765</v>
          </cell>
          <cell r="AD489">
            <v>332939250</v>
          </cell>
          <cell r="AF489">
            <v>0</v>
          </cell>
          <cell r="AG489">
            <v>332224552</v>
          </cell>
          <cell r="AH489">
            <v>268420753</v>
          </cell>
        </row>
        <row r="490">
          <cell r="H490">
            <v>579000</v>
          </cell>
          <cell r="J490" t="str">
            <v>Net Profit Before Tax Expense</v>
          </cell>
          <cell r="M490" t="e">
            <v>#N/A</v>
          </cell>
          <cell r="N490" t="e">
            <v>#REF!</v>
          </cell>
          <cell r="O490" t="str">
            <v>E</v>
          </cell>
          <cell r="P490" t="e">
            <v>#REF!</v>
          </cell>
          <cell r="Q490">
            <v>147298333</v>
          </cell>
          <cell r="R490">
            <v>79117202</v>
          </cell>
          <cell r="T490">
            <v>0</v>
          </cell>
          <cell r="U490">
            <v>59271453</v>
          </cell>
          <cell r="V490">
            <v>43673415</v>
          </cell>
          <cell r="X490">
            <v>0</v>
          </cell>
          <cell r="Y490">
            <v>84900489</v>
          </cell>
          <cell r="Z490">
            <v>39870078</v>
          </cell>
          <cell r="AB490">
            <v>0</v>
          </cell>
          <cell r="AC490">
            <v>-11047177</v>
          </cell>
          <cell r="AD490">
            <v>-15216722</v>
          </cell>
          <cell r="AF490">
            <v>0</v>
          </cell>
          <cell r="AG490">
            <v>14173568</v>
          </cell>
          <cell r="AH490">
            <v>10790431</v>
          </cell>
        </row>
        <row r="491">
          <cell r="H491">
            <v>580000</v>
          </cell>
          <cell r="O491" t="str">
            <v>E</v>
          </cell>
        </row>
        <row r="492">
          <cell r="H492">
            <v>581000</v>
          </cell>
          <cell r="J492" t="str">
            <v>Tax Expense</v>
          </cell>
          <cell r="M492" t="e">
            <v>#N/A</v>
          </cell>
          <cell r="N492" t="e">
            <v>#REF!</v>
          </cell>
          <cell r="O492" t="str">
            <v>E</v>
          </cell>
        </row>
        <row r="493">
          <cell r="G493">
            <v>13920</v>
          </cell>
          <cell r="H493">
            <v>582000</v>
          </cell>
          <cell r="I493" t="str">
            <v>8910</v>
          </cell>
          <cell r="L493" t="str">
            <v>Income Tax</v>
          </cell>
          <cell r="M493" t="str">
            <v>INCOME TAX (8910)</v>
          </cell>
          <cell r="N493" t="e">
            <v>#REF!</v>
          </cell>
          <cell r="O493" t="str">
            <v>S</v>
          </cell>
          <cell r="Q493">
            <v>36300000</v>
          </cell>
          <cell r="R493">
            <v>29900000</v>
          </cell>
          <cell r="U493">
            <v>36300000</v>
          </cell>
          <cell r="V493">
            <v>29900000</v>
          </cell>
          <cell r="Y493">
            <v>0</v>
          </cell>
          <cell r="Z493">
            <v>0</v>
          </cell>
          <cell r="AC493">
            <v>0</v>
          </cell>
          <cell r="AD493">
            <v>0</v>
          </cell>
          <cell r="AG493">
            <v>0</v>
          </cell>
          <cell r="AH493">
            <v>0</v>
          </cell>
        </row>
        <row r="494">
          <cell r="H494">
            <v>583000</v>
          </cell>
          <cell r="I494" t="str">
            <v>8911</v>
          </cell>
          <cell r="L494" t="str">
            <v>Wealth Tax</v>
          </cell>
          <cell r="M494" t="e">
            <v>#N/A</v>
          </cell>
          <cell r="N494" t="e">
            <v>#REF!</v>
          </cell>
          <cell r="O494" t="str">
            <v>S</v>
          </cell>
          <cell r="Q494">
            <v>0</v>
          </cell>
          <cell r="R494">
            <v>0</v>
          </cell>
          <cell r="U494">
            <v>0</v>
          </cell>
          <cell r="V494">
            <v>0</v>
          </cell>
          <cell r="Y494">
            <v>0</v>
          </cell>
          <cell r="Z494">
            <v>0</v>
          </cell>
          <cell r="AC494">
            <v>0</v>
          </cell>
          <cell r="AD494">
            <v>0</v>
          </cell>
          <cell r="AG494">
            <v>0</v>
          </cell>
          <cell r="AH494">
            <v>0</v>
          </cell>
        </row>
        <row r="495">
          <cell r="G495">
            <v>13929</v>
          </cell>
          <cell r="H495">
            <v>584000</v>
          </cell>
          <cell r="I495" t="str">
            <v>8912</v>
          </cell>
          <cell r="L495" t="str">
            <v>Deffered Tax  (P&amp;L)</v>
          </cell>
          <cell r="M495" t="str">
            <v>DEFFERED TAX (P&amp;L) (8912)</v>
          </cell>
          <cell r="N495" t="e">
            <v>#REF!</v>
          </cell>
          <cell r="O495" t="str">
            <v>S</v>
          </cell>
          <cell r="Q495">
            <v>904252</v>
          </cell>
          <cell r="R495">
            <v>-3164491</v>
          </cell>
          <cell r="U495">
            <v>904252</v>
          </cell>
          <cell r="V495">
            <v>-3164491</v>
          </cell>
          <cell r="Y495">
            <v>0</v>
          </cell>
          <cell r="Z495">
            <v>0</v>
          </cell>
          <cell r="AC495">
            <v>0</v>
          </cell>
          <cell r="AD495">
            <v>0</v>
          </cell>
          <cell r="AG495">
            <v>0</v>
          </cell>
          <cell r="AH495">
            <v>0</v>
          </cell>
        </row>
        <row r="496">
          <cell r="H496">
            <v>585000</v>
          </cell>
          <cell r="J496" t="str">
            <v>Tax Expense</v>
          </cell>
          <cell r="M496" t="e">
            <v>#N/A</v>
          </cell>
          <cell r="N496" t="e">
            <v>#REF!</v>
          </cell>
          <cell r="O496" t="str">
            <v>S</v>
          </cell>
          <cell r="P496">
            <v>0</v>
          </cell>
          <cell r="Q496">
            <v>37204252</v>
          </cell>
          <cell r="R496">
            <v>26735509</v>
          </cell>
          <cell r="T496">
            <v>0</v>
          </cell>
          <cell r="U496">
            <v>37204252</v>
          </cell>
          <cell r="V496">
            <v>26735509</v>
          </cell>
          <cell r="X496">
            <v>0</v>
          </cell>
          <cell r="Y496">
            <v>0</v>
          </cell>
          <cell r="Z496">
            <v>0</v>
          </cell>
          <cell r="AB496">
            <v>0</v>
          </cell>
          <cell r="AC496">
            <v>0</v>
          </cell>
          <cell r="AD496">
            <v>0</v>
          </cell>
          <cell r="AF496">
            <v>0</v>
          </cell>
          <cell r="AG496">
            <v>0</v>
          </cell>
          <cell r="AH496">
            <v>0</v>
          </cell>
        </row>
        <row r="497">
          <cell r="H497">
            <v>586000</v>
          </cell>
          <cell r="J497" t="str">
            <v>Net Profit After Tax Expense</v>
          </cell>
          <cell r="M497" t="e">
            <v>#N/A</v>
          </cell>
          <cell r="N497" t="e">
            <v>#REF!</v>
          </cell>
          <cell r="O497" t="str">
            <v>E</v>
          </cell>
          <cell r="P497" t="e">
            <v>#REF!</v>
          </cell>
          <cell r="Q497">
            <v>110094081</v>
          </cell>
          <cell r="R497">
            <v>52381693</v>
          </cell>
          <cell r="T497">
            <v>0</v>
          </cell>
          <cell r="U497">
            <v>22067201</v>
          </cell>
          <cell r="V497">
            <v>16937906</v>
          </cell>
          <cell r="X497">
            <v>0</v>
          </cell>
          <cell r="Y497">
            <v>84900489</v>
          </cell>
          <cell r="Z497">
            <v>39870078</v>
          </cell>
          <cell r="AB497">
            <v>0</v>
          </cell>
          <cell r="AC497">
            <v>-11047177</v>
          </cell>
          <cell r="AD497">
            <v>-15216722</v>
          </cell>
          <cell r="AF497">
            <v>0</v>
          </cell>
          <cell r="AG497">
            <v>14173568</v>
          </cell>
          <cell r="AH497">
            <v>10790431</v>
          </cell>
        </row>
        <row r="498">
          <cell r="H498">
            <v>587000</v>
          </cell>
          <cell r="M498" t="e">
            <v>#N/A</v>
          </cell>
          <cell r="N498" t="e">
            <v>#REF!</v>
          </cell>
          <cell r="O498" t="str">
            <v/>
          </cell>
          <cell r="Q498">
            <v>0</v>
          </cell>
          <cell r="R498">
            <v>0</v>
          </cell>
        </row>
        <row r="499">
          <cell r="H499">
            <v>599000</v>
          </cell>
          <cell r="J499" t="str">
            <v>BALANCE SHEET</v>
          </cell>
          <cell r="M499" t="e">
            <v>#N/A</v>
          </cell>
          <cell r="N499" t="e">
            <v>#REF!</v>
          </cell>
          <cell r="O499" t="str">
            <v/>
          </cell>
        </row>
        <row r="500">
          <cell r="H500">
            <v>600000</v>
          </cell>
          <cell r="J500" t="str">
            <v>Shareholder's Fund</v>
          </cell>
          <cell r="M500" t="e">
            <v>#N/A</v>
          </cell>
          <cell r="N500" t="e">
            <v>#REF!</v>
          </cell>
          <cell r="O500" t="str">
            <v/>
          </cell>
        </row>
        <row r="501">
          <cell r="H501">
            <v>601000</v>
          </cell>
          <cell r="J501" t="str">
            <v>(A) Share Capital</v>
          </cell>
          <cell r="M501" t="e">
            <v>#N/A</v>
          </cell>
          <cell r="N501" t="e">
            <v>#REF!</v>
          </cell>
          <cell r="O501" t="str">
            <v/>
          </cell>
        </row>
        <row r="502">
          <cell r="H502">
            <v>602000</v>
          </cell>
          <cell r="K502" t="str">
            <v>Subscribed And Paid Up Capital</v>
          </cell>
          <cell r="M502" t="e">
            <v>#N/A</v>
          </cell>
          <cell r="N502" t="e">
            <v>#REF!</v>
          </cell>
          <cell r="O502" t="str">
            <v/>
          </cell>
        </row>
        <row r="503">
          <cell r="G503">
            <v>14005</v>
          </cell>
          <cell r="H503">
            <v>603000</v>
          </cell>
          <cell r="I503" t="str">
            <v>1000</v>
          </cell>
          <cell r="L503" t="str">
            <v>Share Capital</v>
          </cell>
          <cell r="M503" t="str">
            <v>SHARE CAPITAL (1000)</v>
          </cell>
          <cell r="N503" t="e">
            <v>#REF!</v>
          </cell>
          <cell r="O503" t="str">
            <v>L</v>
          </cell>
          <cell r="Q503">
            <v>179520140</v>
          </cell>
          <cell r="R503">
            <v>179520140</v>
          </cell>
          <cell r="U503">
            <v>179520140</v>
          </cell>
          <cell r="V503">
            <v>179520140</v>
          </cell>
          <cell r="Y503">
            <v>0</v>
          </cell>
          <cell r="Z503">
            <v>0</v>
          </cell>
          <cell r="AC503">
            <v>0</v>
          </cell>
          <cell r="AD503">
            <v>0</v>
          </cell>
          <cell r="AG503">
            <v>0</v>
          </cell>
          <cell r="AH503">
            <v>0</v>
          </cell>
        </row>
        <row r="504">
          <cell r="G504">
            <v>14006</v>
          </cell>
          <cell r="H504">
            <v>604000</v>
          </cell>
          <cell r="I504" t="str">
            <v>1004</v>
          </cell>
          <cell r="L504" t="str">
            <v>Forefited Shares</v>
          </cell>
          <cell r="M504" t="str">
            <v>FOREFITED SHARES (1004)</v>
          </cell>
          <cell r="N504" t="e">
            <v>#REF!</v>
          </cell>
          <cell r="O504" t="str">
            <v>L</v>
          </cell>
          <cell r="Q504">
            <v>114000</v>
          </cell>
          <cell r="R504">
            <v>114000</v>
          </cell>
          <cell r="U504">
            <v>114000</v>
          </cell>
          <cell r="V504">
            <v>114000</v>
          </cell>
          <cell r="Y504">
            <v>0</v>
          </cell>
          <cell r="Z504">
            <v>0</v>
          </cell>
          <cell r="AC504">
            <v>0</v>
          </cell>
          <cell r="AD504">
            <v>0</v>
          </cell>
          <cell r="AG504">
            <v>0</v>
          </cell>
          <cell r="AH504">
            <v>0</v>
          </cell>
        </row>
        <row r="505">
          <cell r="H505">
            <v>605000</v>
          </cell>
          <cell r="J505" t="str">
            <v>(A) Share Capital</v>
          </cell>
          <cell r="M505" t="e">
            <v>#N/A</v>
          </cell>
          <cell r="N505" t="e">
            <v>#REF!</v>
          </cell>
          <cell r="O505" t="str">
            <v>L</v>
          </cell>
          <cell r="P505">
            <v>0</v>
          </cell>
          <cell r="Q505">
            <v>179634140</v>
          </cell>
          <cell r="R505">
            <v>179634140</v>
          </cell>
          <cell r="T505">
            <v>0</v>
          </cell>
          <cell r="U505">
            <v>179634140</v>
          </cell>
          <cell r="V505">
            <v>179634140</v>
          </cell>
          <cell r="X505">
            <v>0</v>
          </cell>
          <cell r="Y505">
            <v>0</v>
          </cell>
          <cell r="Z505">
            <v>0</v>
          </cell>
          <cell r="AB505">
            <v>0</v>
          </cell>
          <cell r="AC505">
            <v>0</v>
          </cell>
          <cell r="AD505">
            <v>0</v>
          </cell>
          <cell r="AF505">
            <v>0</v>
          </cell>
          <cell r="AG505">
            <v>0</v>
          </cell>
          <cell r="AH505">
            <v>0</v>
          </cell>
        </row>
        <row r="506">
          <cell r="H506">
            <v>606000</v>
          </cell>
          <cell r="J506" t="str">
            <v>(b) Reserves and Surplus</v>
          </cell>
          <cell r="M506" t="e">
            <v>#N/A</v>
          </cell>
          <cell r="N506" t="e">
            <v>#REF!</v>
          </cell>
          <cell r="O506" t="str">
            <v>L</v>
          </cell>
        </row>
        <row r="507">
          <cell r="H507">
            <v>607000</v>
          </cell>
          <cell r="I507" t="str">
            <v>1014</v>
          </cell>
          <cell r="K507" t="str">
            <v>Capital Reserve</v>
          </cell>
          <cell r="M507" t="e">
            <v>#N/A</v>
          </cell>
          <cell r="N507" t="e">
            <v>#REF!</v>
          </cell>
          <cell r="O507" t="str">
            <v>L</v>
          </cell>
          <cell r="AC507">
            <v>0</v>
          </cell>
          <cell r="AD507">
            <v>0</v>
          </cell>
        </row>
        <row r="508">
          <cell r="G508">
            <v>14015</v>
          </cell>
          <cell r="H508">
            <v>608000</v>
          </cell>
          <cell r="I508" t="str">
            <v>1015</v>
          </cell>
          <cell r="L508" t="str">
            <v>Capital Reserve</v>
          </cell>
          <cell r="M508" t="str">
            <v>CAPITAL RESERVE (1015)</v>
          </cell>
          <cell r="N508" t="e">
            <v>#REF!</v>
          </cell>
          <cell r="O508" t="str">
            <v>L</v>
          </cell>
          <cell r="Q508">
            <v>720125</v>
          </cell>
          <cell r="R508">
            <v>720125</v>
          </cell>
          <cell r="U508">
            <v>720125</v>
          </cell>
          <cell r="V508">
            <v>720125</v>
          </cell>
          <cell r="Y508">
            <v>0</v>
          </cell>
          <cell r="Z508">
            <v>0</v>
          </cell>
          <cell r="AC508">
            <v>0</v>
          </cell>
          <cell r="AD508">
            <v>0</v>
          </cell>
          <cell r="AG508">
            <v>0</v>
          </cell>
          <cell r="AH508">
            <v>0</v>
          </cell>
        </row>
        <row r="509">
          <cell r="I509" t="str">
            <v xml:space="preserve">1014           </v>
          </cell>
          <cell r="Q509">
            <v>3000000</v>
          </cell>
          <cell r="R509">
            <v>3000000</v>
          </cell>
          <cell r="U509">
            <v>0</v>
          </cell>
          <cell r="V509">
            <v>0</v>
          </cell>
          <cell r="Y509">
            <v>0</v>
          </cell>
          <cell r="Z509">
            <v>0</v>
          </cell>
          <cell r="AC509">
            <v>0</v>
          </cell>
          <cell r="AD509">
            <v>0</v>
          </cell>
          <cell r="AG509">
            <v>3000000</v>
          </cell>
          <cell r="AH509">
            <v>3000000</v>
          </cell>
        </row>
        <row r="510">
          <cell r="H510">
            <v>609000</v>
          </cell>
          <cell r="K510" t="str">
            <v>Capital Reserve</v>
          </cell>
          <cell r="M510" t="e">
            <v>#N/A</v>
          </cell>
          <cell r="N510" t="e">
            <v>#REF!</v>
          </cell>
          <cell r="O510" t="str">
            <v>L</v>
          </cell>
          <cell r="P510">
            <v>0</v>
          </cell>
          <cell r="Q510">
            <v>3720125</v>
          </cell>
          <cell r="R510">
            <v>3720125</v>
          </cell>
          <cell r="T510">
            <v>0</v>
          </cell>
          <cell r="U510">
            <v>720125</v>
          </cell>
          <cell r="V510">
            <v>720125</v>
          </cell>
          <cell r="W510">
            <v>0</v>
          </cell>
          <cell r="X510">
            <v>0</v>
          </cell>
          <cell r="Y510">
            <v>0</v>
          </cell>
          <cell r="Z510">
            <v>0</v>
          </cell>
          <cell r="AA510">
            <v>0</v>
          </cell>
          <cell r="AB510">
            <v>0</v>
          </cell>
          <cell r="AC510">
            <v>0</v>
          </cell>
          <cell r="AD510">
            <v>0</v>
          </cell>
          <cell r="AE510">
            <v>0</v>
          </cell>
          <cell r="AF510">
            <v>0</v>
          </cell>
          <cell r="AG510">
            <v>3000000</v>
          </cell>
          <cell r="AH510">
            <v>3000000</v>
          </cell>
        </row>
        <row r="511">
          <cell r="H511">
            <v>610000</v>
          </cell>
          <cell r="K511" t="str">
            <v>Securities Premium</v>
          </cell>
          <cell r="M511" t="e">
            <v>#N/A</v>
          </cell>
          <cell r="N511" t="e">
            <v>#REF!</v>
          </cell>
          <cell r="O511" t="str">
            <v>L</v>
          </cell>
        </row>
        <row r="512">
          <cell r="G512">
            <v>14018</v>
          </cell>
          <cell r="H512">
            <v>611000</v>
          </cell>
          <cell r="I512" t="str">
            <v>1030</v>
          </cell>
          <cell r="L512" t="str">
            <v>Share Premium</v>
          </cell>
          <cell r="M512" t="str">
            <v>SHARE PREMIUM (1030)</v>
          </cell>
          <cell r="N512" t="e">
            <v>#REF!</v>
          </cell>
          <cell r="O512" t="str">
            <v>L</v>
          </cell>
          <cell r="Q512">
            <v>321591975</v>
          </cell>
          <cell r="R512">
            <v>321591975</v>
          </cell>
          <cell r="U512">
            <v>321591975</v>
          </cell>
          <cell r="V512">
            <v>321591975</v>
          </cell>
          <cell r="Y512">
            <v>0</v>
          </cell>
          <cell r="Z512">
            <v>0</v>
          </cell>
          <cell r="AC512">
            <v>0</v>
          </cell>
          <cell r="AD512">
            <v>0</v>
          </cell>
          <cell r="AG512">
            <v>0</v>
          </cell>
          <cell r="AH512">
            <v>0</v>
          </cell>
        </row>
        <row r="513">
          <cell r="G513">
            <v>14019</v>
          </cell>
          <cell r="H513">
            <v>612000</v>
          </cell>
          <cell r="I513" t="str">
            <v>1032</v>
          </cell>
          <cell r="L513" t="str">
            <v>Forefited Share Premium Account</v>
          </cell>
          <cell r="M513" t="str">
            <v>FOREFITED SHARE PREMIUM ACCOUNT (1032)</v>
          </cell>
          <cell r="N513" t="e">
            <v>#REF!</v>
          </cell>
          <cell r="O513" t="str">
            <v>L</v>
          </cell>
          <cell r="Q513">
            <v>171000</v>
          </cell>
          <cell r="R513">
            <v>171000</v>
          </cell>
          <cell r="U513">
            <v>171000</v>
          </cell>
          <cell r="V513">
            <v>171000</v>
          </cell>
          <cell r="Y513">
            <v>0</v>
          </cell>
          <cell r="Z513">
            <v>0</v>
          </cell>
          <cell r="AC513">
            <v>0</v>
          </cell>
          <cell r="AD513">
            <v>0</v>
          </cell>
          <cell r="AG513">
            <v>0</v>
          </cell>
          <cell r="AH513">
            <v>0</v>
          </cell>
        </row>
        <row r="514">
          <cell r="H514">
            <v>613000</v>
          </cell>
          <cell r="K514" t="str">
            <v>Securities Premium</v>
          </cell>
          <cell r="M514" t="e">
            <v>#N/A</v>
          </cell>
          <cell r="N514" t="e">
            <v>#REF!</v>
          </cell>
          <cell r="O514" t="str">
            <v>L</v>
          </cell>
          <cell r="P514">
            <v>0</v>
          </cell>
          <cell r="Q514">
            <v>321762975</v>
          </cell>
          <cell r="R514">
            <v>321762975</v>
          </cell>
          <cell r="T514">
            <v>0</v>
          </cell>
          <cell r="U514">
            <v>321762975</v>
          </cell>
          <cell r="V514">
            <v>321762975</v>
          </cell>
          <cell r="X514">
            <v>0</v>
          </cell>
          <cell r="Y514">
            <v>0</v>
          </cell>
          <cell r="Z514">
            <v>0</v>
          </cell>
          <cell r="AB514">
            <v>0</v>
          </cell>
          <cell r="AC514">
            <v>0</v>
          </cell>
          <cell r="AD514">
            <v>0</v>
          </cell>
          <cell r="AF514">
            <v>0</v>
          </cell>
          <cell r="AG514">
            <v>0</v>
          </cell>
          <cell r="AH514">
            <v>0</v>
          </cell>
        </row>
        <row r="515">
          <cell r="H515">
            <v>614000</v>
          </cell>
          <cell r="K515" t="str">
            <v>General Reserve</v>
          </cell>
          <cell r="M515" t="e">
            <v>#N/A</v>
          </cell>
          <cell r="N515" t="e">
            <v>#REF!</v>
          </cell>
          <cell r="O515" t="str">
            <v>L</v>
          </cell>
        </row>
        <row r="516">
          <cell r="G516">
            <v>14026</v>
          </cell>
          <cell r="H516">
            <v>615000</v>
          </cell>
          <cell r="I516" t="str">
            <v>1010</v>
          </cell>
          <cell r="L516" t="str">
            <v>General Reserve</v>
          </cell>
          <cell r="M516" t="str">
            <v>GENERAL RESERVE (1010)</v>
          </cell>
          <cell r="N516" t="e">
            <v>#REF!</v>
          </cell>
          <cell r="O516" t="str">
            <v>L</v>
          </cell>
          <cell r="Q516">
            <v>32840480</v>
          </cell>
          <cell r="R516">
            <v>28890480</v>
          </cell>
          <cell r="U516">
            <v>32840480</v>
          </cell>
          <cell r="V516">
            <v>28890480</v>
          </cell>
          <cell r="Y516">
            <v>0</v>
          </cell>
          <cell r="Z516">
            <v>0</v>
          </cell>
          <cell r="AC516">
            <v>0</v>
          </cell>
          <cell r="AD516">
            <v>0</v>
          </cell>
          <cell r="AG516">
            <v>0</v>
          </cell>
          <cell r="AH516">
            <v>0</v>
          </cell>
        </row>
        <row r="517">
          <cell r="H517">
            <v>616000</v>
          </cell>
          <cell r="L517" t="str">
            <v>Trf during the Year</v>
          </cell>
          <cell r="M517" t="e">
            <v>#N/A</v>
          </cell>
          <cell r="N517" t="e">
            <v>#REF!</v>
          </cell>
          <cell r="O517" t="str">
            <v>L</v>
          </cell>
          <cell r="Q517">
            <v>0</v>
          </cell>
          <cell r="R517">
            <v>3950000</v>
          </cell>
          <cell r="V517">
            <v>3950000</v>
          </cell>
          <cell r="AC517">
            <v>0</v>
          </cell>
          <cell r="AD517">
            <v>0</v>
          </cell>
          <cell r="AG517">
            <v>0</v>
          </cell>
          <cell r="AH517">
            <v>0</v>
          </cell>
        </row>
        <row r="518">
          <cell r="H518">
            <v>617000</v>
          </cell>
          <cell r="K518" t="str">
            <v>General Reserve</v>
          </cell>
          <cell r="M518" t="e">
            <v>#N/A</v>
          </cell>
          <cell r="N518" t="e">
            <v>#REF!</v>
          </cell>
          <cell r="O518" t="str">
            <v>L</v>
          </cell>
          <cell r="P518">
            <v>0</v>
          </cell>
          <cell r="Q518">
            <v>32840480</v>
          </cell>
          <cell r="R518">
            <v>32840480</v>
          </cell>
          <cell r="T518">
            <v>0</v>
          </cell>
          <cell r="U518">
            <v>32840480</v>
          </cell>
          <cell r="V518">
            <v>32840480</v>
          </cell>
          <cell r="X518">
            <v>0</v>
          </cell>
          <cell r="Y518">
            <v>0</v>
          </cell>
          <cell r="Z518">
            <v>0</v>
          </cell>
          <cell r="AB518">
            <v>0</v>
          </cell>
          <cell r="AC518">
            <v>0</v>
          </cell>
          <cell r="AD518">
            <v>0</v>
          </cell>
          <cell r="AF518">
            <v>0</v>
          </cell>
          <cell r="AG518">
            <v>0</v>
          </cell>
          <cell r="AH518">
            <v>0</v>
          </cell>
        </row>
        <row r="519">
          <cell r="H519">
            <v>618000</v>
          </cell>
          <cell r="K519" t="str">
            <v>Surplus In Statement Of Profit And Loss</v>
          </cell>
          <cell r="M519" t="e">
            <v>#N/A</v>
          </cell>
          <cell r="N519" t="e">
            <v>#REF!</v>
          </cell>
          <cell r="O519" t="str">
            <v>S</v>
          </cell>
          <cell r="U519">
            <v>0</v>
          </cell>
          <cell r="Y519">
            <v>0</v>
          </cell>
        </row>
        <row r="520">
          <cell r="G520">
            <v>14033</v>
          </cell>
          <cell r="H520">
            <v>619000</v>
          </cell>
          <cell r="I520" t="str">
            <v>1050</v>
          </cell>
          <cell r="L520" t="str">
            <v>Profit &amp; Loss A/C</v>
          </cell>
          <cell r="M520" t="str">
            <v>PROFIT AND LOSS ACCOUNT (1050)</v>
          </cell>
          <cell r="N520" t="e">
            <v>#REF!</v>
          </cell>
          <cell r="O520" t="str">
            <v>S</v>
          </cell>
          <cell r="Q520">
            <v>318052623</v>
          </cell>
          <cell r="R520">
            <v>381667939</v>
          </cell>
          <cell r="U520">
            <v>209007110</v>
          </cell>
          <cell r="V520">
            <v>247377920</v>
          </cell>
          <cell r="X520" t="e">
            <v>#REF!</v>
          </cell>
          <cell r="Y520">
            <v>191686752</v>
          </cell>
          <cell r="Z520">
            <v>212504969</v>
          </cell>
          <cell r="AB520" t="e">
            <v>#REF!</v>
          </cell>
          <cell r="AC520">
            <v>-90765825</v>
          </cell>
          <cell r="AD520">
            <v>-75549106</v>
          </cell>
          <cell r="AF520" t="e">
            <v>#REF!</v>
          </cell>
          <cell r="AG520">
            <v>8124586</v>
          </cell>
          <cell r="AH520">
            <v>-2665844</v>
          </cell>
        </row>
        <row r="521">
          <cell r="G521">
            <v>14034</v>
          </cell>
          <cell r="H521">
            <v>620000</v>
          </cell>
          <cell r="L521" t="str">
            <v>Year End Results</v>
          </cell>
          <cell r="M521" t="str">
            <v>YEAR END RESULTS</v>
          </cell>
          <cell r="N521" t="e">
            <v>#REF!</v>
          </cell>
          <cell r="O521" t="str">
            <v>S</v>
          </cell>
          <cell r="Q521">
            <v>68630065</v>
          </cell>
          <cell r="R521">
            <v>52381693</v>
          </cell>
          <cell r="U521">
            <v>7941770</v>
          </cell>
          <cell r="V521">
            <v>16937906</v>
          </cell>
          <cell r="Y521">
            <v>60688295</v>
          </cell>
          <cell r="Z521">
            <v>39870078</v>
          </cell>
          <cell r="AC521">
            <v>0</v>
          </cell>
          <cell r="AD521">
            <v>-15216722</v>
          </cell>
          <cell r="AG521">
            <v>0</v>
          </cell>
          <cell r="AH521">
            <v>10790431</v>
          </cell>
        </row>
        <row r="522">
          <cell r="H522">
            <v>621000</v>
          </cell>
          <cell r="K522" t="str">
            <v>Appropriation</v>
          </cell>
          <cell r="M522" t="e">
            <v>#N/A</v>
          </cell>
          <cell r="N522" t="e">
            <v>#REF!</v>
          </cell>
          <cell r="O522" t="str">
            <v>S</v>
          </cell>
          <cell r="Q522">
            <v>110094081</v>
          </cell>
          <cell r="R522">
            <v>0</v>
          </cell>
          <cell r="U522">
            <v>22067201</v>
          </cell>
          <cell r="Y522">
            <v>84900489</v>
          </cell>
          <cell r="AC522">
            <v>-11047177</v>
          </cell>
          <cell r="AD522">
            <v>0</v>
          </cell>
          <cell r="AG522">
            <v>14173568</v>
          </cell>
          <cell r="AH522">
            <v>0</v>
          </cell>
        </row>
        <row r="523">
          <cell r="G523">
            <v>13962</v>
          </cell>
          <cell r="H523">
            <v>622000</v>
          </cell>
          <cell r="L523" t="str">
            <v>Proposed Dividend</v>
          </cell>
          <cell r="M523" t="str">
            <v>PROPOSED DIVIDEND (8000)</v>
          </cell>
          <cell r="N523" t="e">
            <v>#REF!</v>
          </cell>
          <cell r="O523" t="str">
            <v>S</v>
          </cell>
          <cell r="Q523">
            <v>0</v>
          </cell>
          <cell r="R523">
            <v>-35904028</v>
          </cell>
          <cell r="U523">
            <v>0</v>
          </cell>
          <cell r="V523">
            <v>-35904028</v>
          </cell>
          <cell r="Z523">
            <v>0</v>
          </cell>
          <cell r="AC523">
            <v>0</v>
          </cell>
          <cell r="AD523">
            <v>0</v>
          </cell>
          <cell r="AG523">
            <v>0</v>
          </cell>
          <cell r="AH523">
            <v>0</v>
          </cell>
        </row>
        <row r="524">
          <cell r="G524">
            <v>13963</v>
          </cell>
          <cell r="H524">
            <v>623000</v>
          </cell>
          <cell r="L524" t="str">
            <v>Distribution Tax</v>
          </cell>
          <cell r="M524" t="str">
            <v>DISTRIBUTION TAX (8050)</v>
          </cell>
          <cell r="N524" t="e">
            <v>#REF!</v>
          </cell>
          <cell r="O524" t="str">
            <v>S</v>
          </cell>
          <cell r="Q524">
            <v>0</v>
          </cell>
          <cell r="R524">
            <v>-7512918</v>
          </cell>
          <cell r="U524">
            <v>0</v>
          </cell>
          <cell r="V524">
            <v>-7512918</v>
          </cell>
          <cell r="Y524">
            <v>0</v>
          </cell>
          <cell r="Z524">
            <v>0</v>
          </cell>
          <cell r="AC524">
            <v>0</v>
          </cell>
          <cell r="AD524">
            <v>0</v>
          </cell>
          <cell r="AG524">
            <v>0</v>
          </cell>
          <cell r="AH524">
            <v>0</v>
          </cell>
        </row>
        <row r="525">
          <cell r="H525">
            <v>624000</v>
          </cell>
          <cell r="L525" t="str">
            <v>To Gr</v>
          </cell>
          <cell r="M525" t="e">
            <v>#N/A</v>
          </cell>
          <cell r="N525" t="e">
            <v>#REF!</v>
          </cell>
          <cell r="O525" t="str">
            <v>S</v>
          </cell>
          <cell r="Q525">
            <v>0</v>
          </cell>
          <cell r="R525">
            <v>-3950000</v>
          </cell>
          <cell r="U525">
            <v>0</v>
          </cell>
          <cell r="V525">
            <v>-3950000</v>
          </cell>
          <cell r="Y525">
            <v>0</v>
          </cell>
          <cell r="Z525">
            <v>0</v>
          </cell>
          <cell r="AC525">
            <v>0</v>
          </cell>
          <cell r="AD525">
            <v>0</v>
          </cell>
          <cell r="AG525">
            <v>0</v>
          </cell>
          <cell r="AH525">
            <v>0</v>
          </cell>
        </row>
        <row r="526">
          <cell r="H526">
            <v>625000</v>
          </cell>
          <cell r="L526">
            <v>19.999400000000001</v>
          </cell>
          <cell r="M526" t="e">
            <v>#N/A</v>
          </cell>
          <cell r="N526" t="e">
            <v>#REF!</v>
          </cell>
          <cell r="O526" t="str">
            <v>S</v>
          </cell>
          <cell r="Q526">
            <v>0</v>
          </cell>
          <cell r="R526">
            <v>0</v>
          </cell>
          <cell r="Y526">
            <v>0</v>
          </cell>
          <cell r="Z526">
            <v>0</v>
          </cell>
          <cell r="AC526">
            <v>0</v>
          </cell>
          <cell r="AD526">
            <v>0</v>
          </cell>
          <cell r="AG526">
            <v>0</v>
          </cell>
          <cell r="AH526">
            <v>0</v>
          </cell>
        </row>
        <row r="527">
          <cell r="H527">
            <v>626000</v>
          </cell>
          <cell r="L527">
            <v>20.925000392713596</v>
          </cell>
          <cell r="M527" t="e">
            <v>#N/A</v>
          </cell>
          <cell r="N527" t="e">
            <v>#REF!</v>
          </cell>
          <cell r="O527" t="str">
            <v>S</v>
          </cell>
          <cell r="Q527">
            <v>0</v>
          </cell>
          <cell r="R527">
            <v>0</v>
          </cell>
          <cell r="U527">
            <v>0</v>
          </cell>
          <cell r="V527">
            <v>0</v>
          </cell>
          <cell r="Y527">
            <v>0</v>
          </cell>
          <cell r="Z527">
            <v>0</v>
          </cell>
          <cell r="AC527">
            <v>0</v>
          </cell>
          <cell r="AD527">
            <v>0</v>
          </cell>
          <cell r="AG527">
            <v>0</v>
          </cell>
          <cell r="AH527">
            <v>0</v>
          </cell>
        </row>
        <row r="528">
          <cell r="H528">
            <v>627000</v>
          </cell>
          <cell r="M528" t="e">
            <v>#N/A</v>
          </cell>
          <cell r="N528" t="e">
            <v>#REF!</v>
          </cell>
          <cell r="O528" t="str">
            <v>S</v>
          </cell>
          <cell r="Q528">
            <v>0</v>
          </cell>
          <cell r="R528">
            <v>0</v>
          </cell>
          <cell r="U528">
            <v>0</v>
          </cell>
          <cell r="V528">
            <v>0</v>
          </cell>
          <cell r="Z528">
            <v>0</v>
          </cell>
          <cell r="AC528">
            <v>0</v>
          </cell>
          <cell r="AD528">
            <v>0</v>
          </cell>
          <cell r="AG528">
            <v>0</v>
          </cell>
          <cell r="AH528">
            <v>0</v>
          </cell>
        </row>
        <row r="529">
          <cell r="H529">
            <v>628000</v>
          </cell>
          <cell r="K529" t="str">
            <v>Surplus In Statement Of Profit And Loss</v>
          </cell>
          <cell r="M529" t="e">
            <v>#N/A</v>
          </cell>
          <cell r="N529" t="e">
            <v>#REF!</v>
          </cell>
          <cell r="O529" t="str">
            <v>S</v>
          </cell>
          <cell r="P529">
            <v>0</v>
          </cell>
          <cell r="Q529">
            <v>496776769</v>
          </cell>
          <cell r="R529">
            <v>386682686</v>
          </cell>
          <cell r="T529">
            <v>0</v>
          </cell>
          <cell r="U529">
            <v>239016081</v>
          </cell>
          <cell r="V529">
            <v>216948880</v>
          </cell>
          <cell r="X529" t="e">
            <v>#REF!</v>
          </cell>
          <cell r="Y529">
            <v>337275536</v>
          </cell>
          <cell r="Z529">
            <v>252375047</v>
          </cell>
          <cell r="AB529" t="e">
            <v>#REF!</v>
          </cell>
          <cell r="AC529">
            <v>-101813002</v>
          </cell>
          <cell r="AD529">
            <v>-90765828</v>
          </cell>
          <cell r="AF529" t="e">
            <v>#REF!</v>
          </cell>
          <cell r="AG529">
            <v>22298154</v>
          </cell>
          <cell r="AH529">
            <v>8124587</v>
          </cell>
        </row>
        <row r="530">
          <cell r="H530">
            <v>629000</v>
          </cell>
          <cell r="J530" t="str">
            <v>(b) Reserves and Surplus</v>
          </cell>
          <cell r="M530" t="e">
            <v>#N/A</v>
          </cell>
          <cell r="N530" t="e">
            <v>#REF!</v>
          </cell>
          <cell r="O530" t="str">
            <v>L</v>
          </cell>
          <cell r="P530">
            <v>0</v>
          </cell>
          <cell r="Q530">
            <v>855100349</v>
          </cell>
          <cell r="R530">
            <v>745006266</v>
          </cell>
          <cell r="T530">
            <v>0</v>
          </cell>
          <cell r="U530">
            <v>594339661</v>
          </cell>
          <cell r="V530">
            <v>572272460</v>
          </cell>
          <cell r="X530" t="e">
            <v>#REF!</v>
          </cell>
          <cell r="Y530">
            <v>337275536</v>
          </cell>
          <cell r="Z530">
            <v>252375047</v>
          </cell>
          <cell r="AB530" t="e">
            <v>#REF!</v>
          </cell>
          <cell r="AC530">
            <v>-101813002</v>
          </cell>
          <cell r="AD530">
            <v>-90765828</v>
          </cell>
          <cell r="AF530" t="e">
            <v>#REF!</v>
          </cell>
          <cell r="AG530">
            <v>25298154</v>
          </cell>
          <cell r="AH530">
            <v>11124587</v>
          </cell>
        </row>
        <row r="531">
          <cell r="H531">
            <v>630000</v>
          </cell>
          <cell r="O531" t="str">
            <v>L</v>
          </cell>
          <cell r="Q531">
            <v>-2</v>
          </cell>
          <cell r="R531">
            <v>0</v>
          </cell>
          <cell r="U531">
            <v>0</v>
          </cell>
          <cell r="Y531">
            <v>0</v>
          </cell>
          <cell r="AC531">
            <v>-3</v>
          </cell>
          <cell r="AG531">
            <v>1</v>
          </cell>
        </row>
        <row r="532">
          <cell r="H532">
            <v>631000</v>
          </cell>
          <cell r="J532" t="str">
            <v>Shareholder's Fund</v>
          </cell>
          <cell r="M532" t="e">
            <v>#N/A</v>
          </cell>
          <cell r="N532" t="e">
            <v>#REF!</v>
          </cell>
          <cell r="O532" t="str">
            <v>L</v>
          </cell>
          <cell r="P532">
            <v>0</v>
          </cell>
          <cell r="Q532">
            <v>1034734489</v>
          </cell>
          <cell r="R532">
            <v>924640406</v>
          </cell>
          <cell r="T532">
            <v>0</v>
          </cell>
          <cell r="U532">
            <v>773973801</v>
          </cell>
          <cell r="V532">
            <v>751906600</v>
          </cell>
          <cell r="X532" t="e">
            <v>#REF!</v>
          </cell>
          <cell r="Y532">
            <v>337275536</v>
          </cell>
          <cell r="Z532">
            <v>252375047</v>
          </cell>
          <cell r="AB532" t="e">
            <v>#REF!</v>
          </cell>
          <cell r="AC532">
            <v>-101813002</v>
          </cell>
          <cell r="AD532">
            <v>-90765828</v>
          </cell>
          <cell r="AF532" t="e">
            <v>#REF!</v>
          </cell>
          <cell r="AG532">
            <v>25298154</v>
          </cell>
          <cell r="AH532">
            <v>11124587</v>
          </cell>
        </row>
        <row r="533">
          <cell r="H533">
            <v>650000</v>
          </cell>
          <cell r="J533" t="str">
            <v>NON-CURRENT LIABILITIES</v>
          </cell>
          <cell r="M533" t="e">
            <v>#N/A</v>
          </cell>
          <cell r="N533" t="e">
            <v>#REF!</v>
          </cell>
          <cell r="O533" t="str">
            <v>L</v>
          </cell>
          <cell r="R533">
            <v>0</v>
          </cell>
        </row>
        <row r="534">
          <cell r="H534">
            <v>651000</v>
          </cell>
          <cell r="J534" t="str">
            <v>LONG TERM BORROWINGS</v>
          </cell>
          <cell r="M534" t="e">
            <v>#N/A</v>
          </cell>
          <cell r="N534" t="e">
            <v>#REF!</v>
          </cell>
          <cell r="O534" t="str">
            <v>L</v>
          </cell>
        </row>
        <row r="535">
          <cell r="H535">
            <v>652000</v>
          </cell>
          <cell r="J535" t="str">
            <v>Secured Loans</v>
          </cell>
          <cell r="M535" t="e">
            <v>#N/A</v>
          </cell>
          <cell r="N535" t="e">
            <v>#REF!</v>
          </cell>
          <cell r="O535" t="str">
            <v>L</v>
          </cell>
        </row>
        <row r="536">
          <cell r="H536">
            <v>653000</v>
          </cell>
          <cell r="K536" t="str">
            <v>Loan From A Banks</v>
          </cell>
          <cell r="M536" t="e">
            <v>#N/A</v>
          </cell>
          <cell r="N536" t="e">
            <v>#REF!</v>
          </cell>
          <cell r="O536" t="str">
            <v>L</v>
          </cell>
          <cell r="AC536">
            <v>0</v>
          </cell>
          <cell r="AD536">
            <v>0</v>
          </cell>
          <cell r="AG536">
            <v>0</v>
          </cell>
          <cell r="AH536">
            <v>0</v>
          </cell>
        </row>
        <row r="537">
          <cell r="G537">
            <v>14114</v>
          </cell>
          <cell r="H537">
            <v>654000</v>
          </cell>
          <cell r="I537" t="str">
            <v>0810</v>
          </cell>
          <cell r="L537" t="str">
            <v>Loan From Banks</v>
          </cell>
          <cell r="M537" t="str">
            <v>TERM LOAN (0810, 0815)</v>
          </cell>
          <cell r="N537" t="e">
            <v>#REF!</v>
          </cell>
          <cell r="O537" t="str">
            <v>L</v>
          </cell>
          <cell r="Q537">
            <v>47523810</v>
          </cell>
          <cell r="R537">
            <v>80851414</v>
          </cell>
          <cell r="U537">
            <v>17523812</v>
          </cell>
          <cell r="V537">
            <v>44170296</v>
          </cell>
          <cell r="Y537">
            <v>29999998</v>
          </cell>
          <cell r="Z537">
            <v>29999998</v>
          </cell>
          <cell r="AC537">
            <v>0</v>
          </cell>
          <cell r="AD537">
            <v>0</v>
          </cell>
          <cell r="AG537">
            <v>0</v>
          </cell>
          <cell r="AH537">
            <v>6681120</v>
          </cell>
        </row>
        <row r="538">
          <cell r="H538">
            <v>655000</v>
          </cell>
          <cell r="I538" t="str">
            <v xml:space="preserve">00811 </v>
          </cell>
          <cell r="L538" t="str">
            <v>Loan From J &amp; K Bank</v>
          </cell>
          <cell r="M538" t="e">
            <v>#N/A</v>
          </cell>
          <cell r="N538" t="e">
            <v>#REF!</v>
          </cell>
          <cell r="O538" t="str">
            <v>L</v>
          </cell>
          <cell r="Q538">
            <v>0</v>
          </cell>
          <cell r="R538">
            <v>0</v>
          </cell>
          <cell r="U538">
            <v>0</v>
          </cell>
          <cell r="V538">
            <v>0</v>
          </cell>
          <cell r="Y538">
            <v>0</v>
          </cell>
          <cell r="Z538">
            <v>0</v>
          </cell>
          <cell r="AC538">
            <v>0</v>
          </cell>
          <cell r="AD538">
            <v>0</v>
          </cell>
          <cell r="AG538">
            <v>0</v>
          </cell>
          <cell r="AH538">
            <v>0</v>
          </cell>
        </row>
        <row r="539">
          <cell r="H539">
            <v>656000</v>
          </cell>
          <cell r="I539" t="str">
            <v xml:space="preserve">0815 </v>
          </cell>
          <cell r="L539" t="str">
            <v>Loan From Hsbc</v>
          </cell>
          <cell r="M539" t="e">
            <v>#N/A</v>
          </cell>
          <cell r="N539" t="e">
            <v>#REF!</v>
          </cell>
          <cell r="O539" t="str">
            <v>L</v>
          </cell>
          <cell r="Q539">
            <v>0</v>
          </cell>
          <cell r="R539">
            <v>0</v>
          </cell>
          <cell r="U539">
            <v>0</v>
          </cell>
          <cell r="V539">
            <v>0</v>
          </cell>
          <cell r="Y539">
            <v>0</v>
          </cell>
          <cell r="Z539">
            <v>0</v>
          </cell>
          <cell r="AC539">
            <v>0</v>
          </cell>
          <cell r="AD539">
            <v>0</v>
          </cell>
          <cell r="AG539">
            <v>0</v>
          </cell>
          <cell r="AH539">
            <v>0</v>
          </cell>
        </row>
        <row r="540">
          <cell r="H540">
            <v>657000</v>
          </cell>
          <cell r="I540" t="str">
            <v xml:space="preserve">0817 </v>
          </cell>
          <cell r="L540" t="str">
            <v>Loan From Scb</v>
          </cell>
          <cell r="M540" t="e">
            <v>#N/A</v>
          </cell>
          <cell r="N540" t="e">
            <v>#REF!</v>
          </cell>
          <cell r="O540" t="str">
            <v>L</v>
          </cell>
          <cell r="Q540">
            <v>0</v>
          </cell>
          <cell r="R540">
            <v>0</v>
          </cell>
          <cell r="U540">
            <v>0</v>
          </cell>
          <cell r="V540">
            <v>0</v>
          </cell>
          <cell r="Y540">
            <v>0</v>
          </cell>
          <cell r="Z540">
            <v>0</v>
          </cell>
          <cell r="AC540">
            <v>0</v>
          </cell>
          <cell r="AD540">
            <v>0</v>
          </cell>
          <cell r="AG540">
            <v>0</v>
          </cell>
          <cell r="AH540">
            <v>0</v>
          </cell>
        </row>
        <row r="541">
          <cell r="H541">
            <v>658000</v>
          </cell>
          <cell r="I541" t="str">
            <v xml:space="preserve">0814 </v>
          </cell>
          <cell r="L541" t="str">
            <v>Loan From Icici Bank</v>
          </cell>
          <cell r="M541" t="e">
            <v>#N/A</v>
          </cell>
          <cell r="N541" t="e">
            <v>#REF!</v>
          </cell>
          <cell r="O541" t="str">
            <v>L</v>
          </cell>
          <cell r="Q541">
            <v>0</v>
          </cell>
          <cell r="R541">
            <v>0</v>
          </cell>
          <cell r="U541">
            <v>0</v>
          </cell>
          <cell r="V541">
            <v>0</v>
          </cell>
          <cell r="Y541">
            <v>0</v>
          </cell>
          <cell r="Z541">
            <v>0</v>
          </cell>
          <cell r="AC541">
            <v>0</v>
          </cell>
          <cell r="AD541">
            <v>0</v>
          </cell>
          <cell r="AG541">
            <v>0</v>
          </cell>
          <cell r="AH541">
            <v>0</v>
          </cell>
        </row>
        <row r="542">
          <cell r="H542">
            <v>659000</v>
          </cell>
          <cell r="L542" t="str">
            <v>Regrouping to Short Term Loans</v>
          </cell>
          <cell r="M542" t="e">
            <v>#N/A</v>
          </cell>
          <cell r="N542" t="e">
            <v>#REF!</v>
          </cell>
          <cell r="O542" t="str">
            <v>L</v>
          </cell>
          <cell r="Q542">
            <v>0</v>
          </cell>
          <cell r="R542">
            <v>-30000000</v>
          </cell>
          <cell r="U542">
            <v>0</v>
          </cell>
          <cell r="V542">
            <v>0</v>
          </cell>
          <cell r="Z542">
            <v>-30000000</v>
          </cell>
          <cell r="AC542">
            <v>0</v>
          </cell>
          <cell r="AG542">
            <v>0</v>
          </cell>
        </row>
        <row r="543">
          <cell r="H543">
            <v>660000</v>
          </cell>
          <cell r="K543" t="str">
            <v>Loan From A Banks</v>
          </cell>
          <cell r="M543" t="e">
            <v>#N/A</v>
          </cell>
          <cell r="N543" t="e">
            <v>#REF!</v>
          </cell>
          <cell r="O543" t="str">
            <v>L</v>
          </cell>
          <cell r="P543">
            <v>0</v>
          </cell>
          <cell r="Q543">
            <v>47523810</v>
          </cell>
          <cell r="R543">
            <v>50851414</v>
          </cell>
          <cell r="T543">
            <v>0</v>
          </cell>
          <cell r="U543">
            <v>17523812</v>
          </cell>
          <cell r="V543">
            <v>44170296</v>
          </cell>
          <cell r="X543">
            <v>0</v>
          </cell>
          <cell r="Y543">
            <v>29999998</v>
          </cell>
          <cell r="Z543">
            <v>-2</v>
          </cell>
          <cell r="AB543">
            <v>0</v>
          </cell>
          <cell r="AC543">
            <v>0</v>
          </cell>
          <cell r="AD543">
            <v>0</v>
          </cell>
          <cell r="AF543">
            <v>0</v>
          </cell>
          <cell r="AG543">
            <v>0</v>
          </cell>
          <cell r="AH543">
            <v>6681120</v>
          </cell>
        </row>
        <row r="544">
          <cell r="H544">
            <v>661000</v>
          </cell>
          <cell r="K544" t="str">
            <v>Car Loan</v>
          </cell>
          <cell r="M544" t="e">
            <v>#N/A</v>
          </cell>
          <cell r="N544" t="e">
            <v>#REF!</v>
          </cell>
          <cell r="O544" t="str">
            <v>L</v>
          </cell>
        </row>
        <row r="545">
          <cell r="H545">
            <v>662000</v>
          </cell>
          <cell r="I545" t="str">
            <v>0812</v>
          </cell>
          <cell r="L545" t="str">
            <v>Loan From Bank Of India - Car Loan</v>
          </cell>
          <cell r="M545" t="e">
            <v>#N/A</v>
          </cell>
          <cell r="N545" t="e">
            <v>#REF!</v>
          </cell>
          <cell r="O545" t="str">
            <v>L</v>
          </cell>
          <cell r="Q545">
            <v>0</v>
          </cell>
          <cell r="R545">
            <v>0</v>
          </cell>
          <cell r="U545">
            <v>0</v>
          </cell>
          <cell r="V545">
            <v>0</v>
          </cell>
          <cell r="Y545">
            <v>0</v>
          </cell>
          <cell r="Z545">
            <v>0</v>
          </cell>
          <cell r="AC545">
            <v>0</v>
          </cell>
          <cell r="AD545">
            <v>0</v>
          </cell>
          <cell r="AG545">
            <v>0</v>
          </cell>
          <cell r="AH545">
            <v>0</v>
          </cell>
        </row>
        <row r="546">
          <cell r="G546">
            <v>14142</v>
          </cell>
          <cell r="H546">
            <v>663000</v>
          </cell>
          <cell r="I546" t="str">
            <v>0813</v>
          </cell>
          <cell r="J546" t="str">
            <v>813</v>
          </cell>
          <cell r="L546" t="str">
            <v>Loan From Bank Of India - Car Loan</v>
          </cell>
          <cell r="M546" t="str">
            <v>VEHICLE LOAN FROM BANK (0813)</v>
          </cell>
          <cell r="N546" t="e">
            <v>#REF!</v>
          </cell>
          <cell r="O546" t="str">
            <v>L</v>
          </cell>
          <cell r="Q546">
            <v>2774181</v>
          </cell>
          <cell r="R546">
            <v>1566446</v>
          </cell>
          <cell r="U546">
            <v>1881213</v>
          </cell>
          <cell r="V546">
            <v>1249058</v>
          </cell>
          <cell r="Y546">
            <v>-117609</v>
          </cell>
          <cell r="Z546">
            <v>-105334</v>
          </cell>
          <cell r="AC546">
            <v>700000</v>
          </cell>
          <cell r="AD546">
            <v>0</v>
          </cell>
          <cell r="AG546">
            <v>310577</v>
          </cell>
          <cell r="AH546">
            <v>422722</v>
          </cell>
        </row>
        <row r="547">
          <cell r="H547">
            <v>664000</v>
          </cell>
          <cell r="M547" t="e">
            <v>#N/A</v>
          </cell>
          <cell r="N547" t="e">
            <v>#REF!</v>
          </cell>
          <cell r="O547" t="str">
            <v>L</v>
          </cell>
          <cell r="AC547">
            <v>0</v>
          </cell>
          <cell r="AD547">
            <v>0</v>
          </cell>
          <cell r="AG547">
            <v>0</v>
          </cell>
          <cell r="AH547">
            <v>0</v>
          </cell>
        </row>
        <row r="548">
          <cell r="H548">
            <v>665000</v>
          </cell>
          <cell r="K548" t="str">
            <v>Car Loan</v>
          </cell>
          <cell r="M548" t="e">
            <v>#N/A</v>
          </cell>
          <cell r="N548" t="e">
            <v>#REF!</v>
          </cell>
          <cell r="O548" t="str">
            <v>L</v>
          </cell>
          <cell r="P548">
            <v>0</v>
          </cell>
          <cell r="Q548">
            <v>2774181</v>
          </cell>
          <cell r="R548">
            <v>1566446</v>
          </cell>
          <cell r="T548">
            <v>0</v>
          </cell>
          <cell r="U548">
            <v>1881213</v>
          </cell>
          <cell r="V548">
            <v>1249058</v>
          </cell>
          <cell r="X548">
            <v>0</v>
          </cell>
          <cell r="Y548">
            <v>-117609</v>
          </cell>
          <cell r="Z548">
            <v>-105334</v>
          </cell>
          <cell r="AB548">
            <v>0</v>
          </cell>
          <cell r="AC548">
            <v>700000</v>
          </cell>
          <cell r="AD548">
            <v>0</v>
          </cell>
          <cell r="AF548">
            <v>0</v>
          </cell>
          <cell r="AG548">
            <v>310577</v>
          </cell>
          <cell r="AH548">
            <v>422722</v>
          </cell>
        </row>
        <row r="549">
          <cell r="H549">
            <v>666000</v>
          </cell>
          <cell r="K549" t="str">
            <v>Loan For Investment In Tsl From Bl</v>
          </cell>
          <cell r="M549" t="e">
            <v>#N/A</v>
          </cell>
          <cell r="N549" t="e">
            <v>#REF!</v>
          </cell>
          <cell r="O549" t="str">
            <v>L</v>
          </cell>
        </row>
        <row r="550">
          <cell r="G550">
            <v>14126</v>
          </cell>
          <cell r="H550">
            <v>667000</v>
          </cell>
          <cell r="I550" t="str">
            <v>1225</v>
          </cell>
          <cell r="L550" t="str">
            <v xml:space="preserve">Loan From - Bl &amp; Co. </v>
          </cell>
          <cell r="M550" t="str">
            <v>LOAN FROM - BL &amp; CO. (1225)</v>
          </cell>
          <cell r="N550" t="e">
            <v>#REF!</v>
          </cell>
          <cell r="O550" t="str">
            <v>L</v>
          </cell>
          <cell r="Q550">
            <v>181791984</v>
          </cell>
          <cell r="R550">
            <v>181791984</v>
          </cell>
          <cell r="U550">
            <v>181791984</v>
          </cell>
          <cell r="V550">
            <v>181791984</v>
          </cell>
          <cell r="Y550">
            <v>0</v>
          </cell>
          <cell r="Z550">
            <v>0</v>
          </cell>
          <cell r="AC550">
            <v>0</v>
          </cell>
          <cell r="AD550">
            <v>0</v>
          </cell>
          <cell r="AG550">
            <v>0</v>
          </cell>
          <cell r="AH550">
            <v>0</v>
          </cell>
        </row>
        <row r="551">
          <cell r="H551">
            <v>668000</v>
          </cell>
          <cell r="K551" t="str">
            <v>Loan For Investment In Tsl From Bl</v>
          </cell>
          <cell r="M551" t="e">
            <v>#N/A</v>
          </cell>
          <cell r="N551" t="e">
            <v>#REF!</v>
          </cell>
          <cell r="O551" t="str">
            <v>L</v>
          </cell>
          <cell r="P551">
            <v>0</v>
          </cell>
          <cell r="Q551">
            <v>181791984</v>
          </cell>
          <cell r="R551">
            <v>181791984</v>
          </cell>
          <cell r="T551">
            <v>0</v>
          </cell>
          <cell r="U551">
            <v>181791984</v>
          </cell>
          <cell r="V551">
            <v>181791984</v>
          </cell>
          <cell r="X551">
            <v>0</v>
          </cell>
          <cell r="Y551">
            <v>0</v>
          </cell>
          <cell r="Z551">
            <v>0</v>
          </cell>
          <cell r="AB551">
            <v>0</v>
          </cell>
          <cell r="AC551">
            <v>0</v>
          </cell>
          <cell r="AD551">
            <v>0</v>
          </cell>
          <cell r="AF551">
            <v>0</v>
          </cell>
          <cell r="AG551">
            <v>0</v>
          </cell>
          <cell r="AH551">
            <v>0</v>
          </cell>
        </row>
        <row r="552">
          <cell r="H552">
            <v>669000</v>
          </cell>
          <cell r="J552" t="str">
            <v>Secured Loans</v>
          </cell>
          <cell r="M552" t="e">
            <v>#N/A</v>
          </cell>
          <cell r="N552" t="e">
            <v>#REF!</v>
          </cell>
          <cell r="O552" t="str">
            <v>L</v>
          </cell>
          <cell r="P552">
            <v>0</v>
          </cell>
          <cell r="Q552">
            <v>232089975</v>
          </cell>
          <cell r="R552">
            <v>234209844</v>
          </cell>
          <cell r="T552">
            <v>0</v>
          </cell>
          <cell r="U552">
            <v>201197009</v>
          </cell>
          <cell r="V552">
            <v>227211338</v>
          </cell>
          <cell r="X552">
            <v>0</v>
          </cell>
          <cell r="Y552">
            <v>29882389</v>
          </cell>
          <cell r="Z552">
            <v>-105336</v>
          </cell>
          <cell r="AB552">
            <v>0</v>
          </cell>
          <cell r="AC552">
            <v>700000</v>
          </cell>
          <cell r="AD552">
            <v>0</v>
          </cell>
          <cell r="AF552">
            <v>0</v>
          </cell>
          <cell r="AG552">
            <v>310577</v>
          </cell>
          <cell r="AH552">
            <v>7103842</v>
          </cell>
        </row>
        <row r="553">
          <cell r="H553">
            <v>670000</v>
          </cell>
          <cell r="J553" t="str">
            <v>Unsecured Loans</v>
          </cell>
          <cell r="M553" t="e">
            <v>#N/A</v>
          </cell>
          <cell r="N553" t="e">
            <v>#REF!</v>
          </cell>
          <cell r="O553" t="str">
            <v>L</v>
          </cell>
        </row>
        <row r="554">
          <cell r="H554">
            <v>671000</v>
          </cell>
          <cell r="K554" t="str">
            <v>Loan from Vl &amp; Others</v>
          </cell>
          <cell r="M554" t="e">
            <v>#N/A</v>
          </cell>
          <cell r="N554" t="e">
            <v>#REF!</v>
          </cell>
          <cell r="O554" t="str">
            <v>L</v>
          </cell>
          <cell r="AC554">
            <v>0</v>
          </cell>
          <cell r="AD554">
            <v>0</v>
          </cell>
          <cell r="AG554">
            <v>0</v>
          </cell>
          <cell r="AH554">
            <v>0</v>
          </cell>
        </row>
        <row r="555">
          <cell r="G555">
            <v>14233</v>
          </cell>
          <cell r="H555">
            <v>672000</v>
          </cell>
          <cell r="I555" t="str">
            <v>1220</v>
          </cell>
          <cell r="L555" t="str">
            <v>Loan From - Vl Netherlands</v>
          </cell>
          <cell r="M555" t="str">
            <v>LOAN FROM -GREIF (1220)</v>
          </cell>
          <cell r="N555" t="e">
            <v>#REF!</v>
          </cell>
          <cell r="O555" t="str">
            <v>L</v>
          </cell>
          <cell r="Q555">
            <v>0</v>
          </cell>
          <cell r="R555">
            <v>26250000</v>
          </cell>
          <cell r="U555">
            <v>0</v>
          </cell>
          <cell r="V555">
            <v>26250000</v>
          </cell>
          <cell r="Y555">
            <v>0</v>
          </cell>
          <cell r="Z555">
            <v>0</v>
          </cell>
          <cell r="AC555">
            <v>0</v>
          </cell>
          <cell r="AD555">
            <v>0</v>
          </cell>
          <cell r="AG555">
            <v>0</v>
          </cell>
          <cell r="AH555">
            <v>0</v>
          </cell>
        </row>
        <row r="556">
          <cell r="G556">
            <v>14236</v>
          </cell>
          <cell r="H556">
            <v>673000</v>
          </cell>
          <cell r="L556" t="str">
            <v>Loan From Others (Unsecured)</v>
          </cell>
          <cell r="M556" t="str">
            <v>LOAN FROM OTHERS (UNSECURED)</v>
          </cell>
          <cell r="N556" t="e">
            <v>#REF!</v>
          </cell>
          <cell r="O556" t="str">
            <v>L</v>
          </cell>
          <cell r="Q556">
            <v>0</v>
          </cell>
          <cell r="R556">
            <v>0</v>
          </cell>
          <cell r="AC556">
            <v>0</v>
          </cell>
          <cell r="AD556">
            <v>0</v>
          </cell>
          <cell r="AG556">
            <v>0</v>
          </cell>
          <cell r="AH556">
            <v>0</v>
          </cell>
        </row>
        <row r="557">
          <cell r="H557">
            <v>674000</v>
          </cell>
          <cell r="K557" t="str">
            <v>Loan from Vl &amp; Others</v>
          </cell>
          <cell r="M557" t="e">
            <v>#N/A</v>
          </cell>
          <cell r="N557" t="e">
            <v>#REF!</v>
          </cell>
          <cell r="O557" t="str">
            <v>L</v>
          </cell>
          <cell r="P557">
            <v>0</v>
          </cell>
          <cell r="Q557">
            <v>0</v>
          </cell>
          <cell r="R557">
            <v>26250000</v>
          </cell>
          <cell r="T557">
            <v>0</v>
          </cell>
          <cell r="U557">
            <v>0</v>
          </cell>
          <cell r="V557">
            <v>26250000</v>
          </cell>
          <cell r="X557">
            <v>0</v>
          </cell>
          <cell r="Y557">
            <v>0</v>
          </cell>
          <cell r="Z557">
            <v>0</v>
          </cell>
          <cell r="AB557">
            <v>0</v>
          </cell>
          <cell r="AC557">
            <v>0</v>
          </cell>
          <cell r="AD557">
            <v>0</v>
          </cell>
          <cell r="AF557">
            <v>0</v>
          </cell>
          <cell r="AG557">
            <v>0</v>
          </cell>
          <cell r="AH557">
            <v>0</v>
          </cell>
        </row>
        <row r="558">
          <cell r="H558">
            <v>675000</v>
          </cell>
          <cell r="K558" t="str">
            <v>Def. Sales Tax Liability</v>
          </cell>
          <cell r="M558" t="e">
            <v>#N/A</v>
          </cell>
          <cell r="N558" t="e">
            <v>#REF!</v>
          </cell>
          <cell r="O558" t="str">
            <v>L</v>
          </cell>
        </row>
        <row r="559">
          <cell r="H559">
            <v>676000</v>
          </cell>
          <cell r="I559" t="str">
            <v>1230</v>
          </cell>
          <cell r="L559" t="str">
            <v>Def. Sales Tax Liability</v>
          </cell>
          <cell r="M559" t="e">
            <v>#N/A</v>
          </cell>
          <cell r="N559" t="e">
            <v>#REF!</v>
          </cell>
          <cell r="O559" t="str">
            <v>L</v>
          </cell>
          <cell r="Q559">
            <v>0</v>
          </cell>
          <cell r="R559">
            <v>0</v>
          </cell>
          <cell r="AC559">
            <v>0</v>
          </cell>
          <cell r="AD559">
            <v>0</v>
          </cell>
          <cell r="AG559">
            <v>0</v>
          </cell>
          <cell r="AH559">
            <v>0</v>
          </cell>
        </row>
        <row r="560">
          <cell r="H560">
            <v>677000</v>
          </cell>
          <cell r="K560" t="str">
            <v>Def. Sales Tax Liability</v>
          </cell>
          <cell r="M560" t="e">
            <v>#N/A</v>
          </cell>
          <cell r="N560" t="e">
            <v>#REF!</v>
          </cell>
          <cell r="O560" t="str">
            <v>L</v>
          </cell>
          <cell r="P560">
            <v>0</v>
          </cell>
          <cell r="Q560">
            <v>0</v>
          </cell>
          <cell r="R560">
            <v>0</v>
          </cell>
          <cell r="T560">
            <v>0</v>
          </cell>
          <cell r="U560">
            <v>0</v>
          </cell>
          <cell r="V560">
            <v>0</v>
          </cell>
          <cell r="X560">
            <v>0</v>
          </cell>
          <cell r="Y560">
            <v>0</v>
          </cell>
          <cell r="Z560">
            <v>0</v>
          </cell>
          <cell r="AB560">
            <v>0</v>
          </cell>
          <cell r="AC560">
            <v>0</v>
          </cell>
          <cell r="AD560">
            <v>0</v>
          </cell>
          <cell r="AF560">
            <v>0</v>
          </cell>
          <cell r="AG560">
            <v>0</v>
          </cell>
          <cell r="AH560">
            <v>0</v>
          </cell>
        </row>
        <row r="561">
          <cell r="H561">
            <v>678000</v>
          </cell>
          <cell r="J561" t="str">
            <v>Unsecured Loans</v>
          </cell>
          <cell r="M561" t="e">
            <v>#N/A</v>
          </cell>
          <cell r="N561" t="e">
            <v>#REF!</v>
          </cell>
          <cell r="O561" t="str">
            <v>L</v>
          </cell>
          <cell r="P561">
            <v>0</v>
          </cell>
          <cell r="Q561">
            <v>0</v>
          </cell>
          <cell r="R561">
            <v>26250000</v>
          </cell>
          <cell r="T561">
            <v>0</v>
          </cell>
          <cell r="U561">
            <v>0</v>
          </cell>
          <cell r="V561">
            <v>26250000</v>
          </cell>
          <cell r="X561">
            <v>0</v>
          </cell>
          <cell r="Y561">
            <v>0</v>
          </cell>
          <cell r="Z561">
            <v>0</v>
          </cell>
          <cell r="AB561">
            <v>0</v>
          </cell>
          <cell r="AC561">
            <v>0</v>
          </cell>
          <cell r="AD561">
            <v>0</v>
          </cell>
          <cell r="AF561">
            <v>0</v>
          </cell>
          <cell r="AG561">
            <v>0</v>
          </cell>
          <cell r="AH561">
            <v>0</v>
          </cell>
        </row>
        <row r="562">
          <cell r="H562">
            <v>679000</v>
          </cell>
          <cell r="J562" t="str">
            <v>LONG TERM ORROWINGS (TB/ GROSS)</v>
          </cell>
          <cell r="M562" t="e">
            <v>#N/A</v>
          </cell>
          <cell r="N562" t="e">
            <v>#REF!</v>
          </cell>
          <cell r="O562" t="str">
            <v>L</v>
          </cell>
          <cell r="P562">
            <v>0</v>
          </cell>
          <cell r="Q562">
            <v>232089975</v>
          </cell>
          <cell r="R562">
            <v>260459844</v>
          </cell>
          <cell r="T562">
            <v>0</v>
          </cell>
          <cell r="U562">
            <v>201197009</v>
          </cell>
          <cell r="V562">
            <v>253461338</v>
          </cell>
          <cell r="X562">
            <v>0</v>
          </cell>
          <cell r="Y562">
            <v>29882389</v>
          </cell>
          <cell r="Z562">
            <v>-105336</v>
          </cell>
          <cell r="AB562">
            <v>0</v>
          </cell>
          <cell r="AC562">
            <v>700000</v>
          </cell>
          <cell r="AD562">
            <v>0</v>
          </cell>
          <cell r="AF562">
            <v>0</v>
          </cell>
          <cell r="AG562">
            <v>310577</v>
          </cell>
          <cell r="AH562">
            <v>7103842</v>
          </cell>
        </row>
        <row r="563">
          <cell r="H563">
            <v>680000</v>
          </cell>
          <cell r="M563" t="e">
            <v>#N/A</v>
          </cell>
          <cell r="N563" t="e">
            <v>#REF!</v>
          </cell>
          <cell r="O563" t="str">
            <v>L</v>
          </cell>
        </row>
        <row r="564">
          <cell r="H564">
            <v>681000</v>
          </cell>
          <cell r="J564" t="str">
            <v>CURRENT MATURITIES OF LONG TERM BORROWINGS</v>
          </cell>
          <cell r="M564" t="e">
            <v>#N/A</v>
          </cell>
          <cell r="N564" t="e">
            <v>#REF!</v>
          </cell>
          <cell r="O564" t="str">
            <v>L</v>
          </cell>
        </row>
        <row r="565">
          <cell r="H565">
            <v>682000</v>
          </cell>
          <cell r="L565" t="str">
            <v>Bank Loans</v>
          </cell>
          <cell r="M565" t="e">
            <v>#N/A</v>
          </cell>
          <cell r="N565" t="e">
            <v>#REF!</v>
          </cell>
          <cell r="O565" t="str">
            <v>L</v>
          </cell>
          <cell r="Q565">
            <v>16790584</v>
          </cell>
          <cell r="R565">
            <v>23327604</v>
          </cell>
          <cell r="U565">
            <v>16790584</v>
          </cell>
          <cell r="V565">
            <v>23327604</v>
          </cell>
        </row>
        <row r="566">
          <cell r="H566">
            <v>683000</v>
          </cell>
          <cell r="L566" t="str">
            <v>Other Loans</v>
          </cell>
          <cell r="M566" t="e">
            <v>#N/A</v>
          </cell>
          <cell r="N566" t="e">
            <v>#REF!</v>
          </cell>
          <cell r="O566" t="str">
            <v>L</v>
          </cell>
          <cell r="Q566">
            <v>0</v>
          </cell>
          <cell r="R566">
            <v>655284</v>
          </cell>
          <cell r="U566">
            <v>0</v>
          </cell>
          <cell r="V566">
            <v>655284</v>
          </cell>
        </row>
        <row r="567">
          <cell r="H567">
            <v>684000</v>
          </cell>
          <cell r="L567">
            <v>0</v>
          </cell>
          <cell r="M567" t="e">
            <v>#N/A</v>
          </cell>
          <cell r="N567" t="e">
            <v>#REF!</v>
          </cell>
          <cell r="O567" t="str">
            <v>L</v>
          </cell>
          <cell r="Q567">
            <v>0</v>
          </cell>
          <cell r="R567">
            <v>0</v>
          </cell>
        </row>
        <row r="568">
          <cell r="H568">
            <v>685000</v>
          </cell>
          <cell r="J568" t="str">
            <v>CURRENT MATURITIES OF LONG TERM BORROWINGS</v>
          </cell>
          <cell r="M568" t="e">
            <v>#N/A</v>
          </cell>
          <cell r="N568" t="e">
            <v>#REF!</v>
          </cell>
          <cell r="O568" t="str">
            <v>L</v>
          </cell>
          <cell r="P568">
            <v>0</v>
          </cell>
          <cell r="Q568">
            <v>16790584</v>
          </cell>
          <cell r="R568">
            <v>23982888</v>
          </cell>
          <cell r="T568">
            <v>0</v>
          </cell>
          <cell r="U568">
            <v>16790584</v>
          </cell>
          <cell r="V568">
            <v>23982888</v>
          </cell>
          <cell r="X568">
            <v>0</v>
          </cell>
          <cell r="Y568">
            <v>0</v>
          </cell>
          <cell r="Z568">
            <v>0</v>
          </cell>
          <cell r="AB568">
            <v>0</v>
          </cell>
          <cell r="AC568">
            <v>0</v>
          </cell>
          <cell r="AD568">
            <v>0</v>
          </cell>
          <cell r="AF568">
            <v>0</v>
          </cell>
          <cell r="AG568">
            <v>0</v>
          </cell>
          <cell r="AH568">
            <v>0</v>
          </cell>
        </row>
        <row r="569">
          <cell r="H569">
            <v>686000</v>
          </cell>
          <cell r="J569" t="str">
            <v>LONG TERM BORROWINGS (NON CURRENT)</v>
          </cell>
          <cell r="M569" t="e">
            <v>#N/A</v>
          </cell>
          <cell r="N569" t="e">
            <v>#REF!</v>
          </cell>
          <cell r="O569" t="str">
            <v>L</v>
          </cell>
          <cell r="P569">
            <v>0</v>
          </cell>
          <cell r="Q569">
            <v>215299391</v>
          </cell>
          <cell r="R569">
            <v>236476956</v>
          </cell>
          <cell r="T569">
            <v>0</v>
          </cell>
          <cell r="U569">
            <v>184406425</v>
          </cell>
          <cell r="V569">
            <v>229478450</v>
          </cell>
          <cell r="X569">
            <v>0</v>
          </cell>
          <cell r="Y569">
            <v>29882389</v>
          </cell>
          <cell r="Z569">
            <v>-105336</v>
          </cell>
          <cell r="AB569">
            <v>0</v>
          </cell>
          <cell r="AC569">
            <v>700000</v>
          </cell>
          <cell r="AD569">
            <v>0</v>
          </cell>
          <cell r="AF569">
            <v>0</v>
          </cell>
          <cell r="AG569">
            <v>310577</v>
          </cell>
          <cell r="AH569">
            <v>7103842</v>
          </cell>
        </row>
        <row r="570">
          <cell r="M570" t="e">
            <v>#N/A</v>
          </cell>
          <cell r="N570" t="e">
            <v>#REF!</v>
          </cell>
          <cell r="O570" t="str">
            <v>L</v>
          </cell>
          <cell r="Q570">
            <v>0</v>
          </cell>
          <cell r="R570">
            <v>0</v>
          </cell>
        </row>
        <row r="571">
          <cell r="H571">
            <v>687000</v>
          </cell>
          <cell r="J571" t="str">
            <v>DEFERRED TAX LIABILITIES (NET)</v>
          </cell>
          <cell r="M571" t="e">
            <v>#N/A</v>
          </cell>
          <cell r="N571" t="e">
            <v>#REF!</v>
          </cell>
          <cell r="O571" t="str">
            <v>L</v>
          </cell>
        </row>
        <row r="572">
          <cell r="G572">
            <v>14287</v>
          </cell>
          <cell r="H572">
            <v>688000</v>
          </cell>
          <cell r="I572" t="str">
            <v>2031</v>
          </cell>
          <cell r="L572" t="str">
            <v>Provision For Deffered Tax (Liab)</v>
          </cell>
          <cell r="M572" t="str">
            <v>DEFFERED TAX (LIAB) (</v>
          </cell>
          <cell r="N572" t="e">
            <v>#REF!</v>
          </cell>
          <cell r="O572" t="str">
            <v>s</v>
          </cell>
          <cell r="Q572">
            <v>42014536</v>
          </cell>
          <cell r="R572">
            <v>46411900</v>
          </cell>
          <cell r="U572">
            <v>42014536</v>
          </cell>
          <cell r="V572">
            <v>46411900</v>
          </cell>
          <cell r="Y572">
            <v>0</v>
          </cell>
          <cell r="Z572">
            <v>0</v>
          </cell>
          <cell r="AC572">
            <v>0</v>
          </cell>
          <cell r="AD572">
            <v>0</v>
          </cell>
          <cell r="AG572">
            <v>0</v>
          </cell>
          <cell r="AH572">
            <v>0</v>
          </cell>
        </row>
        <row r="573">
          <cell r="G573">
            <v>14288</v>
          </cell>
          <cell r="H573">
            <v>689000</v>
          </cell>
          <cell r="I573" t="str">
            <v>4900</v>
          </cell>
          <cell r="L573" t="str">
            <v>Deffered Tax Assets</v>
          </cell>
          <cell r="M573" t="str">
            <v>DEFFERED TAX ASSETS</v>
          </cell>
          <cell r="N573" t="e">
            <v>#REF!</v>
          </cell>
          <cell r="O573" t="str">
            <v>s</v>
          </cell>
          <cell r="Q573">
            <v>-14822407</v>
          </cell>
          <cell r="R573">
            <v>-20124025</v>
          </cell>
          <cell r="U573">
            <v>-14822407</v>
          </cell>
          <cell r="V573">
            <v>-20124025</v>
          </cell>
          <cell r="Y573">
            <v>0</v>
          </cell>
          <cell r="Z573">
            <v>0</v>
          </cell>
          <cell r="AC573">
            <v>0</v>
          </cell>
          <cell r="AD573">
            <v>0</v>
          </cell>
          <cell r="AG573">
            <v>0</v>
          </cell>
          <cell r="AH573">
            <v>0</v>
          </cell>
        </row>
        <row r="574">
          <cell r="H574">
            <v>690000</v>
          </cell>
          <cell r="L574">
            <v>0</v>
          </cell>
          <cell r="M574" t="e">
            <v>#N/A</v>
          </cell>
          <cell r="N574" t="e">
            <v>#REF!</v>
          </cell>
          <cell r="O574" t="str">
            <v>s</v>
          </cell>
          <cell r="Q574">
            <v>0</v>
          </cell>
          <cell r="R574">
            <v>0</v>
          </cell>
          <cell r="Y574">
            <v>0</v>
          </cell>
          <cell r="Z574">
            <v>0</v>
          </cell>
        </row>
        <row r="575">
          <cell r="H575">
            <v>691000</v>
          </cell>
          <cell r="J575" t="str">
            <v>DEFERRED TAX LIABILITIES (NET)</v>
          </cell>
          <cell r="M575" t="e">
            <v>#N/A</v>
          </cell>
          <cell r="N575" t="e">
            <v>#REF!</v>
          </cell>
          <cell r="O575" t="str">
            <v>s</v>
          </cell>
          <cell r="P575">
            <v>0</v>
          </cell>
          <cell r="Q575">
            <v>27192129</v>
          </cell>
          <cell r="R575">
            <v>26287875</v>
          </cell>
          <cell r="T575">
            <v>0</v>
          </cell>
          <cell r="U575">
            <v>27192129</v>
          </cell>
          <cell r="V575">
            <v>26287875</v>
          </cell>
          <cell r="X575">
            <v>0</v>
          </cell>
          <cell r="Y575">
            <v>0</v>
          </cell>
          <cell r="Z575">
            <v>0</v>
          </cell>
          <cell r="AB575">
            <v>0</v>
          </cell>
          <cell r="AC575">
            <v>0</v>
          </cell>
          <cell r="AD575">
            <v>0</v>
          </cell>
          <cell r="AF575">
            <v>0</v>
          </cell>
          <cell r="AG575">
            <v>0</v>
          </cell>
          <cell r="AH575">
            <v>0</v>
          </cell>
        </row>
        <row r="576">
          <cell r="H576">
            <v>699000</v>
          </cell>
          <cell r="M576" t="e">
            <v>#N/A</v>
          </cell>
          <cell r="N576" t="e">
            <v>#REF!</v>
          </cell>
          <cell r="O576" t="str">
            <v>L</v>
          </cell>
          <cell r="R576">
            <v>1</v>
          </cell>
          <cell r="U576">
            <v>904254</v>
          </cell>
        </row>
        <row r="577">
          <cell r="H577">
            <v>700000</v>
          </cell>
          <cell r="J577" t="str">
            <v>LONG TERM PROVISION</v>
          </cell>
          <cell r="M577" t="e">
            <v>#N/A</v>
          </cell>
          <cell r="N577" t="e">
            <v>#REF!</v>
          </cell>
          <cell r="O577" t="str">
            <v>L</v>
          </cell>
        </row>
        <row r="578">
          <cell r="H578">
            <v>701000</v>
          </cell>
          <cell r="K578" t="str">
            <v>Provision For Employee Benefits</v>
          </cell>
          <cell r="M578" t="e">
            <v>#N/A</v>
          </cell>
          <cell r="N578" t="e">
            <v>#REF!</v>
          </cell>
          <cell r="O578" t="str">
            <v>L</v>
          </cell>
        </row>
        <row r="579">
          <cell r="H579">
            <v>702000</v>
          </cell>
          <cell r="L579" t="str">
            <v>Provision For Gratuity</v>
          </cell>
          <cell r="M579" t="e">
            <v>#N/A</v>
          </cell>
          <cell r="N579" t="e">
            <v>#REF!</v>
          </cell>
          <cell r="O579" t="str">
            <v>L</v>
          </cell>
          <cell r="Q579">
            <v>0</v>
          </cell>
          <cell r="R579">
            <v>0</v>
          </cell>
          <cell r="U579">
            <v>0</v>
          </cell>
          <cell r="V579">
            <v>0</v>
          </cell>
          <cell r="Y579">
            <v>0</v>
          </cell>
          <cell r="Z579">
            <v>0</v>
          </cell>
          <cell r="AC579">
            <v>0</v>
          </cell>
          <cell r="AD579">
            <v>0</v>
          </cell>
          <cell r="AG579">
            <v>0</v>
          </cell>
          <cell r="AH579">
            <v>0</v>
          </cell>
        </row>
        <row r="580">
          <cell r="H580">
            <v>703000</v>
          </cell>
          <cell r="L580" t="str">
            <v>Provision For Compensated Absances</v>
          </cell>
          <cell r="M580" t="e">
            <v>#N/A</v>
          </cell>
          <cell r="N580" t="e">
            <v>#REF!</v>
          </cell>
          <cell r="O580" t="str">
            <v>L</v>
          </cell>
          <cell r="Q580">
            <v>18889776</v>
          </cell>
          <cell r="R580">
            <v>15923622</v>
          </cell>
          <cell r="U580">
            <v>18889776</v>
          </cell>
          <cell r="V580">
            <v>15923622</v>
          </cell>
        </row>
        <row r="581">
          <cell r="H581">
            <v>704000</v>
          </cell>
          <cell r="K581" t="str">
            <v>Provision For Employee Benefits</v>
          </cell>
          <cell r="M581" t="e">
            <v>#N/A</v>
          </cell>
          <cell r="N581" t="e">
            <v>#REF!</v>
          </cell>
          <cell r="O581" t="str">
            <v>L</v>
          </cell>
          <cell r="P581">
            <v>0</v>
          </cell>
          <cell r="Q581">
            <v>18889776</v>
          </cell>
          <cell r="R581">
            <v>15923622</v>
          </cell>
          <cell r="T581">
            <v>0</v>
          </cell>
          <cell r="U581">
            <v>18889776</v>
          </cell>
          <cell r="V581">
            <v>15923622</v>
          </cell>
          <cell r="X581">
            <v>0</v>
          </cell>
          <cell r="Y581">
            <v>0</v>
          </cell>
          <cell r="Z581">
            <v>0</v>
          </cell>
          <cell r="AB581">
            <v>0</v>
          </cell>
          <cell r="AC581">
            <v>0</v>
          </cell>
          <cell r="AD581">
            <v>0</v>
          </cell>
          <cell r="AF581">
            <v>0</v>
          </cell>
          <cell r="AG581">
            <v>0</v>
          </cell>
          <cell r="AH581">
            <v>0</v>
          </cell>
        </row>
        <row r="582">
          <cell r="H582">
            <v>705000</v>
          </cell>
          <cell r="K582" t="str">
            <v>Provision for Indirect Taxes</v>
          </cell>
          <cell r="M582" t="e">
            <v>#N/A</v>
          </cell>
          <cell r="N582" t="e">
            <v>#REF!</v>
          </cell>
          <cell r="O582" t="str">
            <v>L</v>
          </cell>
        </row>
        <row r="583">
          <cell r="G583">
            <v>15526</v>
          </cell>
          <cell r="H583">
            <v>706000</v>
          </cell>
          <cell r="L583" t="str">
            <v>Liabilities Towards Sales Tax</v>
          </cell>
          <cell r="M583" t="str">
            <v>LIABILITES TOWARDS SALES TAX</v>
          </cell>
          <cell r="N583" t="e">
            <v>#REF!</v>
          </cell>
          <cell r="O583" t="str">
            <v>L</v>
          </cell>
          <cell r="Q583">
            <v>19781972</v>
          </cell>
          <cell r="R583">
            <v>16343036</v>
          </cell>
          <cell r="U583">
            <v>6313860</v>
          </cell>
          <cell r="V583">
            <v>7564199</v>
          </cell>
          <cell r="Y583">
            <v>13468112</v>
          </cell>
          <cell r="Z583">
            <v>8778837</v>
          </cell>
          <cell r="AC583">
            <v>0</v>
          </cell>
          <cell r="AD583">
            <v>0</v>
          </cell>
          <cell r="AG583">
            <v>0</v>
          </cell>
          <cell r="AH583">
            <v>0</v>
          </cell>
        </row>
        <row r="584">
          <cell r="H584">
            <v>707000</v>
          </cell>
          <cell r="L584">
            <v>0</v>
          </cell>
          <cell r="M584" t="e">
            <v>#N/A</v>
          </cell>
          <cell r="N584" t="e">
            <v>#REF!</v>
          </cell>
          <cell r="O584" t="str">
            <v>L</v>
          </cell>
          <cell r="Q584">
            <v>0</v>
          </cell>
          <cell r="R584">
            <v>0</v>
          </cell>
          <cell r="T584" t="e">
            <v>#REF!</v>
          </cell>
        </row>
        <row r="585">
          <cell r="H585">
            <v>708000</v>
          </cell>
          <cell r="K585" t="str">
            <v>Provision for Indirect Taxes</v>
          </cell>
          <cell r="M585" t="e">
            <v>#N/A</v>
          </cell>
          <cell r="N585" t="e">
            <v>#REF!</v>
          </cell>
          <cell r="O585" t="str">
            <v>L</v>
          </cell>
          <cell r="P585">
            <v>0</v>
          </cell>
          <cell r="Q585">
            <v>19781972</v>
          </cell>
          <cell r="R585">
            <v>16343036</v>
          </cell>
          <cell r="T585" t="e">
            <v>#REF!</v>
          </cell>
          <cell r="U585">
            <v>6313860</v>
          </cell>
          <cell r="V585">
            <v>7564199</v>
          </cell>
          <cell r="X585">
            <v>0</v>
          </cell>
          <cell r="Y585">
            <v>13468112</v>
          </cell>
          <cell r="Z585">
            <v>8778837</v>
          </cell>
          <cell r="AB585">
            <v>0</v>
          </cell>
          <cell r="AC585">
            <v>0</v>
          </cell>
          <cell r="AD585">
            <v>0</v>
          </cell>
          <cell r="AF585">
            <v>0</v>
          </cell>
          <cell r="AG585">
            <v>0</v>
          </cell>
          <cell r="AH585">
            <v>0</v>
          </cell>
        </row>
        <row r="586">
          <cell r="H586">
            <v>709000</v>
          </cell>
          <cell r="J586" t="str">
            <v>LONG TERM PROVISION</v>
          </cell>
          <cell r="M586" t="e">
            <v>#N/A</v>
          </cell>
          <cell r="N586" t="e">
            <v>#REF!</v>
          </cell>
          <cell r="O586" t="str">
            <v>L</v>
          </cell>
          <cell r="P586">
            <v>0</v>
          </cell>
          <cell r="Q586">
            <v>38671748</v>
          </cell>
          <cell r="R586">
            <v>32266658</v>
          </cell>
          <cell r="T586" t="e">
            <v>#REF!</v>
          </cell>
          <cell r="U586">
            <v>25203636</v>
          </cell>
          <cell r="V586">
            <v>23487821</v>
          </cell>
          <cell r="X586">
            <v>0</v>
          </cell>
          <cell r="Y586">
            <v>13468112</v>
          </cell>
          <cell r="Z586">
            <v>8778837</v>
          </cell>
          <cell r="AB586">
            <v>0</v>
          </cell>
          <cell r="AC586">
            <v>0</v>
          </cell>
          <cell r="AD586">
            <v>0</v>
          </cell>
          <cell r="AF586">
            <v>0</v>
          </cell>
          <cell r="AG586">
            <v>0</v>
          </cell>
          <cell r="AH586">
            <v>0</v>
          </cell>
        </row>
        <row r="587">
          <cell r="H587">
            <v>710000</v>
          </cell>
          <cell r="J587" t="str">
            <v>NON-CURRENT LIABILITIES</v>
          </cell>
          <cell r="M587" t="e">
            <v>#N/A</v>
          </cell>
          <cell r="N587" t="e">
            <v>#REF!</v>
          </cell>
          <cell r="O587" t="str">
            <v>L</v>
          </cell>
          <cell r="P587">
            <v>0</v>
          </cell>
          <cell r="Q587">
            <v>281163268</v>
          </cell>
          <cell r="R587">
            <v>295031489</v>
          </cell>
          <cell r="T587" t="e">
            <v>#REF!</v>
          </cell>
          <cell r="U587">
            <v>236802190</v>
          </cell>
          <cell r="V587">
            <v>279254146</v>
          </cell>
          <cell r="X587">
            <v>0</v>
          </cell>
          <cell r="Y587">
            <v>43350501</v>
          </cell>
          <cell r="Z587">
            <v>8673501</v>
          </cell>
          <cell r="AB587">
            <v>0</v>
          </cell>
          <cell r="AC587">
            <v>700000</v>
          </cell>
          <cell r="AD587">
            <v>0</v>
          </cell>
          <cell r="AF587">
            <v>0</v>
          </cell>
          <cell r="AG587">
            <v>310577</v>
          </cell>
          <cell r="AH587">
            <v>7103842</v>
          </cell>
        </row>
        <row r="588">
          <cell r="H588">
            <v>711000</v>
          </cell>
          <cell r="O588" t="str">
            <v>L</v>
          </cell>
        </row>
        <row r="589">
          <cell r="H589">
            <v>715000</v>
          </cell>
          <cell r="J589" t="str">
            <v>SHORT TERM BOROWINGS</v>
          </cell>
          <cell r="M589" t="e">
            <v>#N/A</v>
          </cell>
          <cell r="N589" t="e">
            <v>#REF!</v>
          </cell>
          <cell r="O589" t="str">
            <v>L</v>
          </cell>
        </row>
        <row r="590">
          <cell r="H590">
            <v>716000</v>
          </cell>
          <cell r="J590" t="str">
            <v>Secured</v>
          </cell>
          <cell r="M590" t="e">
            <v>#N/A</v>
          </cell>
          <cell r="N590" t="e">
            <v>#REF!</v>
          </cell>
          <cell r="O590" t="str">
            <v>L</v>
          </cell>
        </row>
        <row r="591">
          <cell r="H591">
            <v>717000</v>
          </cell>
          <cell r="K591" t="str">
            <v>Cash Credit From Bank</v>
          </cell>
          <cell r="M591" t="e">
            <v>#N/A</v>
          </cell>
          <cell r="N591" t="e">
            <v>#REF!</v>
          </cell>
          <cell r="O591" t="str">
            <v>L</v>
          </cell>
        </row>
        <row r="592">
          <cell r="G592">
            <v>14070</v>
          </cell>
          <cell r="H592">
            <v>718000</v>
          </cell>
          <cell r="I592" t="str">
            <v>0510</v>
          </cell>
          <cell r="L592" t="str">
            <v>Cash Credit - Stock [Boi]</v>
          </cell>
          <cell r="M592" t="str">
            <v>CASH CREDIT - BOI (21049) (0510)</v>
          </cell>
          <cell r="N592" t="e">
            <v>#REF!</v>
          </cell>
          <cell r="O592" t="str">
            <v>L</v>
          </cell>
          <cell r="Q592">
            <v>46546346</v>
          </cell>
          <cell r="R592">
            <v>77755305</v>
          </cell>
          <cell r="U592">
            <v>-1139365900</v>
          </cell>
          <cell r="V592">
            <v>-492602184</v>
          </cell>
          <cell r="Y592">
            <v>1185912246</v>
          </cell>
          <cell r="Z592">
            <v>570357489</v>
          </cell>
          <cell r="AC592">
            <v>0</v>
          </cell>
          <cell r="AD592">
            <v>0</v>
          </cell>
          <cell r="AG592">
            <v>0</v>
          </cell>
          <cell r="AH592">
            <v>0</v>
          </cell>
        </row>
        <row r="593">
          <cell r="I593" t="str">
            <v>511</v>
          </cell>
          <cell r="L593" t="str">
            <v>Cash Credit - Kotak Bank [A/c - 131158650]</v>
          </cell>
          <cell r="Q593">
            <v>2753788</v>
          </cell>
          <cell r="R593">
            <v>0</v>
          </cell>
          <cell r="U593">
            <v>0</v>
          </cell>
          <cell r="V593">
            <v>0</v>
          </cell>
          <cell r="Y593">
            <v>0</v>
          </cell>
          <cell r="Z593">
            <v>0</v>
          </cell>
          <cell r="AC593">
            <v>0</v>
          </cell>
          <cell r="AD593">
            <v>0</v>
          </cell>
          <cell r="AG593">
            <v>2753788</v>
          </cell>
          <cell r="AH593">
            <v>0</v>
          </cell>
        </row>
        <row r="594">
          <cell r="G594">
            <v>14072</v>
          </cell>
          <cell r="H594">
            <v>719000</v>
          </cell>
          <cell r="I594" t="str">
            <v>0520</v>
          </cell>
          <cell r="L594" t="str">
            <v>Packing Credit [Boi]</v>
          </cell>
          <cell r="M594" t="str">
            <v>PACKING CREDIT [BOI] (0520)</v>
          </cell>
          <cell r="N594" t="e">
            <v>#REF!</v>
          </cell>
          <cell r="O594" t="str">
            <v>L</v>
          </cell>
          <cell r="Q594">
            <v>7750000</v>
          </cell>
          <cell r="R594">
            <v>13923291</v>
          </cell>
          <cell r="U594">
            <v>7750000</v>
          </cell>
          <cell r="V594">
            <v>13923291</v>
          </cell>
          <cell r="Y594">
            <v>0</v>
          </cell>
          <cell r="Z594">
            <v>0</v>
          </cell>
          <cell r="AC594">
            <v>0</v>
          </cell>
          <cell r="AD594">
            <v>0</v>
          </cell>
          <cell r="AG594">
            <v>0</v>
          </cell>
          <cell r="AH594">
            <v>0</v>
          </cell>
        </row>
        <row r="595">
          <cell r="H595">
            <v>720000</v>
          </cell>
          <cell r="I595" t="str">
            <v>05201</v>
          </cell>
          <cell r="L595" t="str">
            <v>Boi - Packing Credit</v>
          </cell>
          <cell r="M595" t="e">
            <v>#N/A</v>
          </cell>
          <cell r="N595" t="e">
            <v>#REF!</v>
          </cell>
          <cell r="O595" t="str">
            <v>L</v>
          </cell>
          <cell r="Q595">
            <v>0</v>
          </cell>
          <cell r="R595">
            <v>0</v>
          </cell>
          <cell r="U595">
            <v>0</v>
          </cell>
          <cell r="V595">
            <v>0</v>
          </cell>
          <cell r="Y595">
            <v>0</v>
          </cell>
          <cell r="Z595">
            <v>0</v>
          </cell>
          <cell r="AC595">
            <v>0</v>
          </cell>
          <cell r="AD595">
            <v>0</v>
          </cell>
          <cell r="AG595">
            <v>0</v>
          </cell>
          <cell r="AH595">
            <v>0</v>
          </cell>
        </row>
        <row r="596">
          <cell r="G596">
            <v>14079</v>
          </cell>
          <cell r="H596">
            <v>721000</v>
          </cell>
          <cell r="I596" t="str">
            <v>0600</v>
          </cell>
          <cell r="L596" t="str">
            <v>Current Account - Hsbc (Cbr)</v>
          </cell>
          <cell r="M596" t="str">
            <v>CASH CREDIT - HSBC (005-464698-001) (0600)</v>
          </cell>
          <cell r="N596" t="e">
            <v>#REF!</v>
          </cell>
          <cell r="O596" t="str">
            <v>L</v>
          </cell>
          <cell r="Q596">
            <v>8781024</v>
          </cell>
          <cell r="R596">
            <v>8251160</v>
          </cell>
          <cell r="U596">
            <v>31157387</v>
          </cell>
          <cell r="V596">
            <v>8251160</v>
          </cell>
          <cell r="Y596">
            <v>-22376363</v>
          </cell>
          <cell r="Z596">
            <v>0</v>
          </cell>
          <cell r="AC596">
            <v>0</v>
          </cell>
          <cell r="AD596">
            <v>0</v>
          </cell>
          <cell r="AG596">
            <v>0</v>
          </cell>
          <cell r="AH596">
            <v>0</v>
          </cell>
        </row>
        <row r="597">
          <cell r="H597">
            <v>722000</v>
          </cell>
          <cell r="I597" t="str">
            <v>0603</v>
          </cell>
          <cell r="L597" t="str">
            <v>Hsbc - Bill Discounting</v>
          </cell>
          <cell r="M597" t="e">
            <v>#N/A</v>
          </cell>
          <cell r="N597" t="e">
            <v>#REF!</v>
          </cell>
          <cell r="O597" t="str">
            <v>L</v>
          </cell>
          <cell r="Q597">
            <v>0</v>
          </cell>
          <cell r="R597">
            <v>0</v>
          </cell>
          <cell r="U597">
            <v>0</v>
          </cell>
          <cell r="V597">
            <v>0</v>
          </cell>
          <cell r="Y597">
            <v>0</v>
          </cell>
          <cell r="Z597">
            <v>0</v>
          </cell>
          <cell r="AC597">
            <v>0</v>
          </cell>
          <cell r="AD597">
            <v>0</v>
          </cell>
          <cell r="AG597">
            <v>0</v>
          </cell>
          <cell r="AH597">
            <v>0</v>
          </cell>
        </row>
        <row r="598">
          <cell r="G598">
            <v>14080</v>
          </cell>
          <cell r="H598">
            <v>723000</v>
          </cell>
          <cell r="I598" t="str">
            <v>0608</v>
          </cell>
          <cell r="L598" t="str">
            <v>Current Account - Hsbc (Vlx)</v>
          </cell>
          <cell r="M598" t="str">
            <v>CASH CREDIT - HSBC (005-464698-002)</v>
          </cell>
          <cell r="N598" t="e">
            <v>#REF!</v>
          </cell>
          <cell r="O598" t="str">
            <v>L</v>
          </cell>
          <cell r="Q598">
            <v>8188897</v>
          </cell>
          <cell r="R598">
            <v>6112927</v>
          </cell>
          <cell r="U598">
            <v>230131376</v>
          </cell>
          <cell r="V598">
            <v>-122916106</v>
          </cell>
          <cell r="Y598">
            <v>-221942479</v>
          </cell>
          <cell r="Z598">
            <v>129029033</v>
          </cell>
          <cell r="AC598">
            <v>0</v>
          </cell>
          <cell r="AD598">
            <v>0</v>
          </cell>
          <cell r="AG598">
            <v>0</v>
          </cell>
          <cell r="AH598">
            <v>0</v>
          </cell>
        </row>
        <row r="599">
          <cell r="G599">
            <v>14083</v>
          </cell>
          <cell r="H599">
            <v>724000</v>
          </cell>
          <cell r="I599" t="str">
            <v>0610</v>
          </cell>
          <cell r="L599" t="str">
            <v>Packing Credit - Hsbc</v>
          </cell>
          <cell r="M599" t="str">
            <v>PACKING CREDIT - HSBC (0610)</v>
          </cell>
          <cell r="N599" t="e">
            <v>#REF!</v>
          </cell>
          <cell r="O599" t="str">
            <v>L</v>
          </cell>
          <cell r="Q599">
            <v>24522617</v>
          </cell>
          <cell r="R599">
            <v>37944303</v>
          </cell>
          <cell r="U599">
            <v>24522617</v>
          </cell>
          <cell r="V599">
            <v>37944303</v>
          </cell>
          <cell r="Y599">
            <v>0</v>
          </cell>
          <cell r="Z599">
            <v>0</v>
          </cell>
          <cell r="AC599">
            <v>0</v>
          </cell>
          <cell r="AD599">
            <v>0</v>
          </cell>
          <cell r="AG599">
            <v>0</v>
          </cell>
          <cell r="AH599">
            <v>0</v>
          </cell>
        </row>
        <row r="600">
          <cell r="G600">
            <v>14082</v>
          </cell>
          <cell r="H600">
            <v>725000</v>
          </cell>
          <cell r="I600" t="str">
            <v>0630</v>
          </cell>
          <cell r="L600" t="str">
            <v>Demand Loan - Hsbc</v>
          </cell>
          <cell r="M600" t="str">
            <v>DEMAND LOAN - HSBC (0630)</v>
          </cell>
          <cell r="N600" t="e">
            <v>#REF!</v>
          </cell>
          <cell r="O600" t="str">
            <v>L</v>
          </cell>
          <cell r="Q600">
            <v>190000000</v>
          </cell>
          <cell r="R600">
            <v>95000000</v>
          </cell>
          <cell r="U600">
            <v>190000000</v>
          </cell>
          <cell r="V600">
            <v>95000000</v>
          </cell>
          <cell r="Y600">
            <v>0</v>
          </cell>
          <cell r="Z600">
            <v>0</v>
          </cell>
          <cell r="AC600">
            <v>0</v>
          </cell>
          <cell r="AD600">
            <v>0</v>
          </cell>
          <cell r="AG600">
            <v>0</v>
          </cell>
          <cell r="AH600">
            <v>0</v>
          </cell>
        </row>
        <row r="601">
          <cell r="H601">
            <v>726000</v>
          </cell>
          <cell r="L601" t="str">
            <v>Debit Balance regouped in Cash &amp; Bank</v>
          </cell>
          <cell r="M601" t="e">
            <v>#N/A</v>
          </cell>
          <cell r="N601" t="e">
            <v>#REF!</v>
          </cell>
          <cell r="O601" t="str">
            <v>L</v>
          </cell>
          <cell r="Q601">
            <v>0</v>
          </cell>
          <cell r="R601">
            <v>0</v>
          </cell>
          <cell r="Y601">
            <v>0</v>
          </cell>
          <cell r="Z601">
            <v>0</v>
          </cell>
          <cell r="AC601">
            <v>0</v>
          </cell>
          <cell r="AD601">
            <v>0</v>
          </cell>
          <cell r="AG601">
            <v>0</v>
          </cell>
          <cell r="AH601">
            <v>0</v>
          </cell>
        </row>
        <row r="602">
          <cell r="H602">
            <v>727000</v>
          </cell>
          <cell r="K602" t="str">
            <v>Cash Credit From Bank</v>
          </cell>
          <cell r="M602" t="e">
            <v>#N/A</v>
          </cell>
          <cell r="N602" t="e">
            <v>#REF!</v>
          </cell>
          <cell r="O602" t="str">
            <v>L</v>
          </cell>
          <cell r="P602">
            <v>0</v>
          </cell>
          <cell r="Q602">
            <v>288542672</v>
          </cell>
          <cell r="R602">
            <v>238986986</v>
          </cell>
          <cell r="T602">
            <v>0</v>
          </cell>
          <cell r="U602">
            <v>-655804520</v>
          </cell>
          <cell r="V602">
            <v>-460399536</v>
          </cell>
          <cell r="X602">
            <v>0</v>
          </cell>
          <cell r="Y602">
            <v>941593404</v>
          </cell>
          <cell r="Z602">
            <v>699386522</v>
          </cell>
          <cell r="AB602">
            <v>0</v>
          </cell>
          <cell r="AC602">
            <v>0</v>
          </cell>
          <cell r="AD602">
            <v>0</v>
          </cell>
          <cell r="AF602">
            <v>0</v>
          </cell>
          <cell r="AG602">
            <v>2753788</v>
          </cell>
          <cell r="AH602">
            <v>0</v>
          </cell>
        </row>
        <row r="603">
          <cell r="H603">
            <v>728000</v>
          </cell>
          <cell r="J603" t="str">
            <v>Unsecured</v>
          </cell>
          <cell r="M603" t="e">
            <v>#N/A</v>
          </cell>
          <cell r="N603" t="e">
            <v>#REF!</v>
          </cell>
          <cell r="O603" t="str">
            <v>L</v>
          </cell>
        </row>
        <row r="604">
          <cell r="H604">
            <v>729000</v>
          </cell>
          <cell r="K604" t="str">
            <v>Overdraft With Bank</v>
          </cell>
          <cell r="M604" t="e">
            <v>#N/A</v>
          </cell>
          <cell r="N604" t="e">
            <v>#REF!</v>
          </cell>
          <cell r="O604" t="str">
            <v>L</v>
          </cell>
          <cell r="AC604">
            <v>0</v>
          </cell>
          <cell r="AD604">
            <v>0</v>
          </cell>
          <cell r="AG604">
            <v>0</v>
          </cell>
          <cell r="AH604">
            <v>0</v>
          </cell>
        </row>
        <row r="605">
          <cell r="G605">
            <v>14235</v>
          </cell>
          <cell r="H605">
            <v>730000</v>
          </cell>
          <cell r="I605" t="str">
            <v>1226</v>
          </cell>
          <cell r="L605" t="str">
            <v>Loan From -Rbs</v>
          </cell>
          <cell r="M605" t="str">
            <v>LOAN FROM BANKS (UNSECURED-RBS) (1226)</v>
          </cell>
          <cell r="N605" t="e">
            <v>#REF!</v>
          </cell>
          <cell r="O605" t="str">
            <v>L</v>
          </cell>
          <cell r="Q605">
            <v>0</v>
          </cell>
          <cell r="R605">
            <v>120037397</v>
          </cell>
          <cell r="U605">
            <v>0</v>
          </cell>
          <cell r="V605">
            <v>120037397</v>
          </cell>
          <cell r="Y605">
            <v>0</v>
          </cell>
          <cell r="Z605">
            <v>0</v>
          </cell>
          <cell r="AC605">
            <v>0</v>
          </cell>
          <cell r="AD605">
            <v>0</v>
          </cell>
          <cell r="AG605">
            <v>0</v>
          </cell>
          <cell r="AH605">
            <v>0</v>
          </cell>
        </row>
        <row r="606">
          <cell r="G606">
            <v>15163</v>
          </cell>
          <cell r="H606">
            <v>731000</v>
          </cell>
          <cell r="I606" t="str">
            <v>0612</v>
          </cell>
          <cell r="L606" t="str">
            <v>Rbs - Bank Account</v>
          </cell>
          <cell r="M606" t="str">
            <v>RBS BANK</v>
          </cell>
          <cell r="N606" t="e">
            <v>#REF!</v>
          </cell>
          <cell r="O606" t="str">
            <v>L</v>
          </cell>
          <cell r="Q606">
            <v>48977106</v>
          </cell>
          <cell r="R606">
            <v>-60601460</v>
          </cell>
          <cell r="U606">
            <v>48977106</v>
          </cell>
          <cell r="V606">
            <v>-60601460</v>
          </cell>
          <cell r="Y606">
            <v>0</v>
          </cell>
          <cell r="Z606">
            <v>0</v>
          </cell>
          <cell r="AC606">
            <v>0</v>
          </cell>
          <cell r="AD606">
            <v>0</v>
          </cell>
          <cell r="AG606">
            <v>0</v>
          </cell>
          <cell r="AH606">
            <v>0</v>
          </cell>
        </row>
        <row r="607">
          <cell r="H607">
            <v>732000</v>
          </cell>
          <cell r="K607" t="str">
            <v>Overdraft With Bank</v>
          </cell>
          <cell r="M607" t="e">
            <v>#N/A</v>
          </cell>
          <cell r="N607" t="e">
            <v>#REF!</v>
          </cell>
          <cell r="O607" t="str">
            <v>L</v>
          </cell>
          <cell r="P607">
            <v>0</v>
          </cell>
          <cell r="Q607">
            <v>48977106</v>
          </cell>
          <cell r="R607">
            <v>59435937</v>
          </cell>
          <cell r="T607">
            <v>0</v>
          </cell>
          <cell r="U607">
            <v>48977106</v>
          </cell>
          <cell r="V607">
            <v>59435937</v>
          </cell>
          <cell r="X607">
            <v>0</v>
          </cell>
          <cell r="Y607">
            <v>0</v>
          </cell>
          <cell r="Z607">
            <v>0</v>
          </cell>
          <cell r="AB607">
            <v>0</v>
          </cell>
          <cell r="AC607">
            <v>0</v>
          </cell>
          <cell r="AD607">
            <v>0</v>
          </cell>
          <cell r="AF607">
            <v>0</v>
          </cell>
          <cell r="AG607">
            <v>0</v>
          </cell>
          <cell r="AH607">
            <v>0</v>
          </cell>
        </row>
        <row r="608">
          <cell r="H608">
            <v>733000</v>
          </cell>
          <cell r="L608" t="str">
            <v>Regrouping to Short Term Loans</v>
          </cell>
          <cell r="O608" t="str">
            <v>L</v>
          </cell>
          <cell r="Q608">
            <v>0</v>
          </cell>
          <cell r="R608">
            <v>30000000</v>
          </cell>
          <cell r="U608">
            <v>0</v>
          </cell>
          <cell r="V608">
            <v>0</v>
          </cell>
          <cell r="X608">
            <v>0</v>
          </cell>
          <cell r="Y608">
            <v>0</v>
          </cell>
          <cell r="Z608">
            <v>30000000</v>
          </cell>
          <cell r="AB608">
            <v>0</v>
          </cell>
          <cell r="AC608">
            <v>0</v>
          </cell>
          <cell r="AD608">
            <v>0</v>
          </cell>
          <cell r="AF608">
            <v>0</v>
          </cell>
          <cell r="AG608">
            <v>0</v>
          </cell>
          <cell r="AH608">
            <v>0</v>
          </cell>
        </row>
        <row r="609">
          <cell r="H609">
            <v>734000</v>
          </cell>
          <cell r="J609" t="str">
            <v>SHORT TERM BOROWINGS</v>
          </cell>
          <cell r="M609" t="e">
            <v>#N/A</v>
          </cell>
          <cell r="N609" t="e">
            <v>#REF!</v>
          </cell>
          <cell r="O609" t="str">
            <v>L</v>
          </cell>
          <cell r="P609">
            <v>0</v>
          </cell>
          <cell r="Q609">
            <v>337519778</v>
          </cell>
          <cell r="R609">
            <v>328422923</v>
          </cell>
          <cell r="T609">
            <v>0</v>
          </cell>
          <cell r="U609">
            <v>-606827414</v>
          </cell>
          <cell r="V609">
            <v>-400963599</v>
          </cell>
          <cell r="X609">
            <v>0</v>
          </cell>
          <cell r="Y609">
            <v>941593404</v>
          </cell>
          <cell r="Z609">
            <v>729386522</v>
          </cell>
          <cell r="AB609">
            <v>0</v>
          </cell>
          <cell r="AC609">
            <v>0</v>
          </cell>
          <cell r="AD609">
            <v>0</v>
          </cell>
          <cell r="AF609">
            <v>0</v>
          </cell>
          <cell r="AG609">
            <v>2753788</v>
          </cell>
          <cell r="AH609">
            <v>0</v>
          </cell>
        </row>
        <row r="610">
          <cell r="H610">
            <v>735000</v>
          </cell>
          <cell r="M610" t="e">
            <v>#N/A</v>
          </cell>
          <cell r="N610" t="e">
            <v>#REF!</v>
          </cell>
          <cell r="O610" t="str">
            <v>L</v>
          </cell>
        </row>
        <row r="611">
          <cell r="H611">
            <v>750000</v>
          </cell>
          <cell r="J611" t="str">
            <v>TRADE PAYABLES</v>
          </cell>
          <cell r="M611" t="e">
            <v>#N/A</v>
          </cell>
          <cell r="N611" t="e">
            <v>#REF!</v>
          </cell>
          <cell r="O611" t="str">
            <v>L</v>
          </cell>
          <cell r="R611">
            <v>0</v>
          </cell>
        </row>
        <row r="612">
          <cell r="H612">
            <v>751000</v>
          </cell>
          <cell r="K612" t="str">
            <v>Sundry  Creditors</v>
          </cell>
          <cell r="M612" t="e">
            <v>#N/A</v>
          </cell>
          <cell r="N612" t="e">
            <v>#REF!</v>
          </cell>
          <cell r="O612" t="str">
            <v>L</v>
          </cell>
        </row>
        <row r="613">
          <cell r="G613">
            <v>15427</v>
          </cell>
          <cell r="H613">
            <v>752000</v>
          </cell>
          <cell r="I613" t="str">
            <v>1510</v>
          </cell>
          <cell r="L613" t="str">
            <v>Sundry Creditors Domestic/ Control A/c</v>
          </cell>
          <cell r="M613" t="str">
            <v>SUNDRY CREDITORS DOMESTIC</v>
          </cell>
          <cell r="N613" t="e">
            <v>#REF!</v>
          </cell>
          <cell r="O613" t="str">
            <v>L</v>
          </cell>
          <cell r="Q613">
            <v>68991424</v>
          </cell>
          <cell r="R613">
            <v>104425506</v>
          </cell>
          <cell r="U613">
            <v>17734424</v>
          </cell>
          <cell r="V613">
            <v>43869432</v>
          </cell>
          <cell r="Y613">
            <v>20539402</v>
          </cell>
          <cell r="Z613">
            <v>17432815</v>
          </cell>
          <cell r="AC613">
            <v>29428005</v>
          </cell>
          <cell r="AD613">
            <v>37597415</v>
          </cell>
          <cell r="AG613">
            <v>1289593</v>
          </cell>
          <cell r="AH613">
            <v>5525844</v>
          </cell>
        </row>
        <row r="614">
          <cell r="G614">
            <v>15428</v>
          </cell>
          <cell r="H614">
            <v>755000</v>
          </cell>
          <cell r="L614" t="str">
            <v>Sundry Creditors Foreign</v>
          </cell>
          <cell r="M614" t="str">
            <v>SUNDRY CREDITORS FOREIGN</v>
          </cell>
          <cell r="N614" t="e">
            <v>#REF!</v>
          </cell>
          <cell r="O614" t="str">
            <v>L</v>
          </cell>
          <cell r="Q614">
            <v>209673888</v>
          </cell>
          <cell r="R614">
            <v>118862008</v>
          </cell>
          <cell r="U614">
            <v>13331099</v>
          </cell>
          <cell r="V614">
            <v>3258778</v>
          </cell>
          <cell r="Y614">
            <v>196342789</v>
          </cell>
          <cell r="Z614">
            <v>115603230</v>
          </cell>
          <cell r="AC614">
            <v>0</v>
          </cell>
          <cell r="AD614">
            <v>0</v>
          </cell>
          <cell r="AG614">
            <v>0</v>
          </cell>
          <cell r="AH614">
            <v>0</v>
          </cell>
        </row>
        <row r="615">
          <cell r="G615">
            <v>15434</v>
          </cell>
          <cell r="H615">
            <v>756000</v>
          </cell>
          <cell r="L615" t="str">
            <v>Creditors For Expenses (Service Providers)</v>
          </cell>
          <cell r="M615" t="str">
            <v>CREDITORS FOR EXPENSES (SERVICE PROVIDERS)</v>
          </cell>
          <cell r="N615" t="e">
            <v>#REF!</v>
          </cell>
          <cell r="O615" t="str">
            <v>L</v>
          </cell>
          <cell r="Q615">
            <v>8592952</v>
          </cell>
          <cell r="R615">
            <v>9070691</v>
          </cell>
          <cell r="U615">
            <v>-169252</v>
          </cell>
          <cell r="V615">
            <v>958457</v>
          </cell>
          <cell r="Y615">
            <v>8762204</v>
          </cell>
          <cell r="Z615">
            <v>8112234</v>
          </cell>
          <cell r="AC615">
            <v>0</v>
          </cell>
          <cell r="AD615">
            <v>0</v>
          </cell>
          <cell r="AG615">
            <v>0</v>
          </cell>
          <cell r="AH615">
            <v>0</v>
          </cell>
        </row>
        <row r="616">
          <cell r="G616">
            <v>15078</v>
          </cell>
          <cell r="H616">
            <v>753000</v>
          </cell>
          <cell r="L616" t="str">
            <v>Purchase, Packing Slip (Pending Grn)(Net Off With 15429)</v>
          </cell>
          <cell r="M616" t="str">
            <v>PURCHASE, PACKING SLIP (PENDING GRN)(NET OFF WITH 15429)</v>
          </cell>
          <cell r="N616" t="e">
            <v>#REF!</v>
          </cell>
          <cell r="O616" t="str">
            <v>L</v>
          </cell>
          <cell r="Q616">
            <v>-1081811</v>
          </cell>
          <cell r="R616">
            <v>-1107173</v>
          </cell>
          <cell r="U616">
            <v>-1005299</v>
          </cell>
          <cell r="V616">
            <v>-1025861</v>
          </cell>
          <cell r="Y616">
            <v>-76512</v>
          </cell>
          <cell r="Z616">
            <v>-81312</v>
          </cell>
          <cell r="AC616">
            <v>0</v>
          </cell>
          <cell r="AD616">
            <v>0</v>
          </cell>
          <cell r="AG616">
            <v>0</v>
          </cell>
          <cell r="AH616">
            <v>0</v>
          </cell>
        </row>
        <row r="617">
          <cell r="G617">
            <v>15297</v>
          </cell>
          <cell r="H617">
            <v>754000</v>
          </cell>
          <cell r="L617" t="str">
            <v>PROVISION FOR PENDING GRN (PURCHASE PACKING SLIP OFFSET AC)</v>
          </cell>
          <cell r="M617" t="str">
            <v>PROVISION FOR PENDING GRN (PURCHASE PACKING SLIP OFFSET AC)</v>
          </cell>
          <cell r="N617" t="e">
            <v>#REF!</v>
          </cell>
          <cell r="O617" t="str">
            <v>L</v>
          </cell>
          <cell r="Q617">
            <v>0</v>
          </cell>
          <cell r="R617">
            <v>0</v>
          </cell>
          <cell r="U617">
            <v>0</v>
          </cell>
          <cell r="V617">
            <v>0</v>
          </cell>
          <cell r="Y617">
            <v>0</v>
          </cell>
          <cell r="Z617">
            <v>0</v>
          </cell>
          <cell r="AC617">
            <v>0</v>
          </cell>
          <cell r="AD617">
            <v>0</v>
          </cell>
          <cell r="AG617">
            <v>0</v>
          </cell>
          <cell r="AH617">
            <v>0</v>
          </cell>
        </row>
        <row r="618">
          <cell r="G618">
            <v>15429</v>
          </cell>
          <cell r="H618">
            <v>754000</v>
          </cell>
          <cell r="L618" t="str">
            <v>Provision For Pending Grn (Purc Pack Slip Offset Net W15078)</v>
          </cell>
          <cell r="M618" t="str">
            <v>PROVISION FOR PENDING GRN (PURC PACK SLIP OFFSET NET W15078)</v>
          </cell>
          <cell r="N618" t="e">
            <v>#REF!</v>
          </cell>
          <cell r="O618" t="str">
            <v>L</v>
          </cell>
          <cell r="Q618">
            <v>1082591</v>
          </cell>
          <cell r="R618">
            <v>1107953</v>
          </cell>
          <cell r="U618">
            <v>1006079</v>
          </cell>
          <cell r="V618">
            <v>1026641</v>
          </cell>
          <cell r="Y618">
            <v>76512</v>
          </cell>
          <cell r="Z618">
            <v>81312</v>
          </cell>
          <cell r="AC618">
            <v>0</v>
          </cell>
          <cell r="AD618">
            <v>0</v>
          </cell>
          <cell r="AG618">
            <v>0</v>
          </cell>
          <cell r="AH618">
            <v>0</v>
          </cell>
        </row>
        <row r="619">
          <cell r="Q619">
            <v>287259044</v>
          </cell>
          <cell r="R619">
            <v>232358985</v>
          </cell>
          <cell r="S619">
            <v>0</v>
          </cell>
          <cell r="T619">
            <v>0</v>
          </cell>
          <cell r="U619">
            <v>30897051</v>
          </cell>
          <cell r="V619">
            <v>48087447</v>
          </cell>
          <cell r="W619">
            <v>0</v>
          </cell>
          <cell r="X619">
            <v>0</v>
          </cell>
          <cell r="Y619">
            <v>225644395</v>
          </cell>
          <cell r="Z619">
            <v>141148279</v>
          </cell>
          <cell r="AA619">
            <v>0</v>
          </cell>
          <cell r="AB619">
            <v>0</v>
          </cell>
          <cell r="AC619">
            <v>29428005</v>
          </cell>
          <cell r="AD619">
            <v>37597415</v>
          </cell>
          <cell r="AE619">
            <v>0</v>
          </cell>
          <cell r="AF619">
            <v>0</v>
          </cell>
          <cell r="AG619">
            <v>1289593</v>
          </cell>
          <cell r="AH619">
            <v>5525844</v>
          </cell>
        </row>
        <row r="620">
          <cell r="G620">
            <v>15433</v>
          </cell>
          <cell r="H620">
            <v>757000</v>
          </cell>
          <cell r="I620" t="str">
            <v>0451</v>
          </cell>
          <cell r="J620" t="str">
            <v>451</v>
          </cell>
          <cell r="L620" t="str">
            <v>Cheques  Adj.A/C (Stale Cheque)</v>
          </cell>
          <cell r="M620" t="str">
            <v>STALE CHEQUE A/C</v>
          </cell>
          <cell r="N620" t="e">
            <v>#REF!</v>
          </cell>
          <cell r="O620" t="str">
            <v>L</v>
          </cell>
          <cell r="Q620">
            <v>1479223</v>
          </cell>
          <cell r="R620">
            <v>2158513</v>
          </cell>
          <cell r="U620">
            <v>696204</v>
          </cell>
          <cell r="V620">
            <v>625859</v>
          </cell>
          <cell r="Y620">
            <v>597448</v>
          </cell>
          <cell r="Z620">
            <v>1301715</v>
          </cell>
          <cell r="AC620">
            <v>167317</v>
          </cell>
          <cell r="AD620">
            <v>212685</v>
          </cell>
          <cell r="AG620">
            <v>18254</v>
          </cell>
          <cell r="AH620">
            <v>18254</v>
          </cell>
        </row>
        <row r="621">
          <cell r="L621" t="str">
            <v>Credtiors dr balance</v>
          </cell>
          <cell r="O621" t="str">
            <v>L</v>
          </cell>
          <cell r="Q621">
            <v>13397890</v>
          </cell>
          <cell r="R621">
            <v>23134729</v>
          </cell>
          <cell r="U621">
            <v>11514015</v>
          </cell>
          <cell r="V621">
            <v>14044380</v>
          </cell>
          <cell r="Y621">
            <v>1539961</v>
          </cell>
          <cell r="Z621">
            <v>6927578</v>
          </cell>
          <cell r="AC621">
            <v>343914</v>
          </cell>
          <cell r="AD621">
            <v>830288</v>
          </cell>
          <cell r="AH621">
            <v>1332483</v>
          </cell>
        </row>
        <row r="622">
          <cell r="L622" t="str">
            <v>Advance Capex</v>
          </cell>
          <cell r="Q622">
            <v>15873383</v>
          </cell>
          <cell r="R622">
            <v>0</v>
          </cell>
          <cell r="U622">
            <v>4396556</v>
          </cell>
          <cell r="Y622">
            <v>1728060</v>
          </cell>
          <cell r="AC622">
            <v>1153237</v>
          </cell>
          <cell r="AG622">
            <v>8595530</v>
          </cell>
        </row>
        <row r="623">
          <cell r="H623">
            <v>758000</v>
          </cell>
          <cell r="L623" t="str">
            <v>Payable to Fixed Assets</v>
          </cell>
          <cell r="O623" t="str">
            <v>L</v>
          </cell>
          <cell r="Q623">
            <v>2955392</v>
          </cell>
          <cell r="R623">
            <v>15561162</v>
          </cell>
          <cell r="U623">
            <v>1817827</v>
          </cell>
          <cell r="V623">
            <v>1223622</v>
          </cell>
          <cell r="Y623">
            <v>1137565</v>
          </cell>
          <cell r="Z623">
            <v>14337540</v>
          </cell>
          <cell r="AC623">
            <v>0</v>
          </cell>
          <cell r="AG623">
            <v>0</v>
          </cell>
        </row>
        <row r="624">
          <cell r="H624">
            <v>759000</v>
          </cell>
          <cell r="O624" t="str">
            <v>L</v>
          </cell>
          <cell r="Q624">
            <v>0</v>
          </cell>
          <cell r="R624">
            <v>38429</v>
          </cell>
          <cell r="AD624">
            <v>38429</v>
          </cell>
        </row>
        <row r="625">
          <cell r="H625">
            <v>760000</v>
          </cell>
          <cell r="J625" t="str">
            <v>TRADE PAYABLES</v>
          </cell>
          <cell r="M625" t="e">
            <v>#N/A</v>
          </cell>
          <cell r="N625" t="e">
            <v>#REF!</v>
          </cell>
          <cell r="O625" t="str">
            <v>L</v>
          </cell>
          <cell r="P625">
            <v>0</v>
          </cell>
          <cell r="Q625">
            <v>320964932</v>
          </cell>
          <cell r="R625">
            <v>273251818</v>
          </cell>
          <cell r="S625">
            <v>0</v>
          </cell>
          <cell r="T625">
            <v>0</v>
          </cell>
          <cell r="U625">
            <v>49321653</v>
          </cell>
          <cell r="V625">
            <v>63981308</v>
          </cell>
          <cell r="W625">
            <v>0</v>
          </cell>
          <cell r="X625">
            <v>0</v>
          </cell>
          <cell r="Y625">
            <v>230647429</v>
          </cell>
          <cell r="Z625">
            <v>163715112</v>
          </cell>
          <cell r="AA625">
            <v>0</v>
          </cell>
          <cell r="AB625">
            <v>0</v>
          </cell>
          <cell r="AC625">
            <v>31092473</v>
          </cell>
          <cell r="AD625">
            <v>38678817</v>
          </cell>
          <cell r="AE625">
            <v>0</v>
          </cell>
          <cell r="AF625">
            <v>0</v>
          </cell>
          <cell r="AG625">
            <v>9903377</v>
          </cell>
          <cell r="AH625">
            <v>6876581</v>
          </cell>
        </row>
        <row r="627">
          <cell r="H627">
            <v>761000</v>
          </cell>
          <cell r="J627" t="str">
            <v>OTHER CURRENT LIABILITIES</v>
          </cell>
          <cell r="M627" t="e">
            <v>#N/A</v>
          </cell>
          <cell r="N627" t="e">
            <v>#REF!</v>
          </cell>
          <cell r="O627" t="str">
            <v>L</v>
          </cell>
          <cell r="Q627">
            <v>290213655</v>
          </cell>
          <cell r="U627">
            <v>38391184</v>
          </cell>
          <cell r="Y627">
            <v>221104873</v>
          </cell>
          <cell r="AC627">
            <v>29428005</v>
          </cell>
          <cell r="AD627">
            <v>0</v>
          </cell>
          <cell r="AG627">
            <v>1289593</v>
          </cell>
        </row>
        <row r="628">
          <cell r="H628">
            <v>762000</v>
          </cell>
          <cell r="K628" t="str">
            <v>Current Maturities Of Long Term Boirrowings</v>
          </cell>
          <cell r="M628" t="e">
            <v>#N/A</v>
          </cell>
          <cell r="N628" t="e">
            <v>#REF!</v>
          </cell>
          <cell r="O628" t="str">
            <v>L</v>
          </cell>
        </row>
        <row r="629">
          <cell r="H629">
            <v>763000</v>
          </cell>
          <cell r="L629" t="str">
            <v>Current Maturities Of Long Term Boirrowings</v>
          </cell>
          <cell r="M629" t="e">
            <v>#N/A</v>
          </cell>
          <cell r="N629" t="e">
            <v>#REF!</v>
          </cell>
          <cell r="O629" t="str">
            <v>L</v>
          </cell>
          <cell r="Q629">
            <v>16790584</v>
          </cell>
          <cell r="R629">
            <v>23982888</v>
          </cell>
          <cell r="U629">
            <v>16790584</v>
          </cell>
          <cell r="V629">
            <v>23982888</v>
          </cell>
          <cell r="X629">
            <v>0</v>
          </cell>
          <cell r="Y629">
            <v>0</v>
          </cell>
          <cell r="Z629">
            <v>0</v>
          </cell>
          <cell r="AB629">
            <v>0</v>
          </cell>
          <cell r="AC629">
            <v>0</v>
          </cell>
          <cell r="AD629">
            <v>0</v>
          </cell>
          <cell r="AF629">
            <v>0</v>
          </cell>
          <cell r="AG629">
            <v>0</v>
          </cell>
          <cell r="AH629">
            <v>0</v>
          </cell>
        </row>
        <row r="630">
          <cell r="H630">
            <v>764000</v>
          </cell>
          <cell r="L630">
            <v>0</v>
          </cell>
          <cell r="M630" t="e">
            <v>#N/A</v>
          </cell>
          <cell r="N630" t="e">
            <v>#REF!</v>
          </cell>
          <cell r="O630" t="str">
            <v>L</v>
          </cell>
          <cell r="Q630">
            <v>0</v>
          </cell>
          <cell r="R630">
            <v>0</v>
          </cell>
        </row>
        <row r="631">
          <cell r="H631">
            <v>765000</v>
          </cell>
          <cell r="K631" t="str">
            <v>Current Maturities Of Long Term Boirrowings</v>
          </cell>
          <cell r="M631" t="e">
            <v>#N/A</v>
          </cell>
          <cell r="N631" t="e">
            <v>#REF!</v>
          </cell>
          <cell r="O631" t="str">
            <v>L</v>
          </cell>
          <cell r="P631">
            <v>0</v>
          </cell>
          <cell r="Q631">
            <v>16790584</v>
          </cell>
          <cell r="R631">
            <v>23982888</v>
          </cell>
          <cell r="T631">
            <v>0</v>
          </cell>
          <cell r="U631">
            <v>16790584</v>
          </cell>
          <cell r="V631">
            <v>23982888</v>
          </cell>
          <cell r="X631">
            <v>0</v>
          </cell>
          <cell r="Y631">
            <v>0</v>
          </cell>
          <cell r="Z631">
            <v>0</v>
          </cell>
          <cell r="AB631">
            <v>0</v>
          </cell>
          <cell r="AC631">
            <v>0</v>
          </cell>
          <cell r="AD631">
            <v>0</v>
          </cell>
          <cell r="AF631">
            <v>0</v>
          </cell>
          <cell r="AG631">
            <v>0</v>
          </cell>
          <cell r="AH631">
            <v>0</v>
          </cell>
        </row>
        <row r="632">
          <cell r="H632">
            <v>766000</v>
          </cell>
          <cell r="K632" t="str">
            <v>Interest Accrued But Not Due On Borrowings</v>
          </cell>
          <cell r="M632" t="e">
            <v>#N/A</v>
          </cell>
          <cell r="N632" t="e">
            <v>#REF!</v>
          </cell>
          <cell r="O632" t="str">
            <v>L</v>
          </cell>
        </row>
        <row r="633">
          <cell r="G633">
            <v>15474</v>
          </cell>
          <cell r="H633">
            <v>767000</v>
          </cell>
          <cell r="I633" t="str">
            <v>1660</v>
          </cell>
          <cell r="L633" t="str">
            <v>Int Accrued But Not Due On Loan</v>
          </cell>
          <cell r="M633" t="str">
            <v>INT ACCRUED BUT NOT DUE ON LOAN</v>
          </cell>
          <cell r="N633" t="e">
            <v>#REF!</v>
          </cell>
          <cell r="O633" t="str">
            <v>L</v>
          </cell>
          <cell r="Q633">
            <v>1301943</v>
          </cell>
          <cell r="R633">
            <v>847783</v>
          </cell>
          <cell r="U633">
            <v>1301943</v>
          </cell>
          <cell r="V633">
            <v>847783</v>
          </cell>
          <cell r="Y633">
            <v>0</v>
          </cell>
          <cell r="Z633">
            <v>0</v>
          </cell>
          <cell r="AC633">
            <v>0</v>
          </cell>
          <cell r="AD633">
            <v>0</v>
          </cell>
          <cell r="AG633">
            <v>0</v>
          </cell>
          <cell r="AH633">
            <v>0</v>
          </cell>
        </row>
        <row r="634">
          <cell r="G634">
            <v>14143</v>
          </cell>
          <cell r="H634">
            <v>768000</v>
          </cell>
          <cell r="I634" t="str">
            <v>1661</v>
          </cell>
          <cell r="L634" t="str">
            <v>Int Accrued &amp; Due On Loan</v>
          </cell>
          <cell r="M634" t="str">
            <v>INTEREST ACCRUED &amp; DUE ON LOAN</v>
          </cell>
          <cell r="N634" t="e">
            <v>#REF!</v>
          </cell>
          <cell r="O634" t="str">
            <v>L</v>
          </cell>
          <cell r="Q634">
            <v>0</v>
          </cell>
          <cell r="R634">
            <v>0</v>
          </cell>
          <cell r="U634">
            <v>0</v>
          </cell>
          <cell r="V634">
            <v>0</v>
          </cell>
          <cell r="Y634">
            <v>0</v>
          </cell>
          <cell r="Z634">
            <v>0</v>
          </cell>
          <cell r="AC634">
            <v>0</v>
          </cell>
          <cell r="AD634">
            <v>0</v>
          </cell>
          <cell r="AG634">
            <v>0</v>
          </cell>
          <cell r="AH634">
            <v>0</v>
          </cell>
        </row>
        <row r="635">
          <cell r="H635">
            <v>769000</v>
          </cell>
          <cell r="K635" t="str">
            <v>Interest Accrued But Not Due On Borrowings</v>
          </cell>
          <cell r="M635" t="e">
            <v>#N/A</v>
          </cell>
          <cell r="N635" t="e">
            <v>#REF!</v>
          </cell>
          <cell r="O635" t="str">
            <v>L</v>
          </cell>
          <cell r="P635">
            <v>0</v>
          </cell>
          <cell r="Q635">
            <v>1301943</v>
          </cell>
          <cell r="R635">
            <v>847783</v>
          </cell>
          <cell r="T635">
            <v>0</v>
          </cell>
          <cell r="U635">
            <v>1301943</v>
          </cell>
          <cell r="V635">
            <v>847783</v>
          </cell>
          <cell r="X635">
            <v>0</v>
          </cell>
          <cell r="Y635">
            <v>0</v>
          </cell>
          <cell r="Z635">
            <v>0</v>
          </cell>
          <cell r="AB635">
            <v>0</v>
          </cell>
          <cell r="AC635">
            <v>0</v>
          </cell>
          <cell r="AD635">
            <v>0</v>
          </cell>
          <cell r="AF635">
            <v>0</v>
          </cell>
          <cell r="AG635">
            <v>0</v>
          </cell>
          <cell r="AH635">
            <v>0</v>
          </cell>
        </row>
        <row r="636">
          <cell r="H636">
            <v>770000</v>
          </cell>
          <cell r="K636" t="str">
            <v>Unclaimed Dividend</v>
          </cell>
          <cell r="M636" t="e">
            <v>#N/A</v>
          </cell>
          <cell r="N636" t="e">
            <v>#REF!</v>
          </cell>
          <cell r="O636" t="str">
            <v>L</v>
          </cell>
        </row>
        <row r="637">
          <cell r="G637">
            <v>15489</v>
          </cell>
          <cell r="H637">
            <v>771000</v>
          </cell>
          <cell r="I637" t="str">
            <v>1734</v>
          </cell>
          <cell r="L637" t="str">
            <v>Dividend A/C</v>
          </cell>
          <cell r="M637" t="str">
            <v>DIVIDEND (LIAB) A/C (1734-1742)</v>
          </cell>
          <cell r="N637" t="e">
            <v>#REF!</v>
          </cell>
          <cell r="O637" t="str">
            <v>L</v>
          </cell>
          <cell r="Q637">
            <v>1671385</v>
          </cell>
          <cell r="R637">
            <v>1332130</v>
          </cell>
          <cell r="U637">
            <v>1671385</v>
          </cell>
          <cell r="V637">
            <v>1332130</v>
          </cell>
          <cell r="Y637">
            <v>0</v>
          </cell>
          <cell r="Z637">
            <v>0</v>
          </cell>
          <cell r="AC637">
            <v>0</v>
          </cell>
          <cell r="AD637">
            <v>0</v>
          </cell>
          <cell r="AG637">
            <v>0</v>
          </cell>
          <cell r="AH637">
            <v>0</v>
          </cell>
        </row>
        <row r="638">
          <cell r="H638">
            <v>772000</v>
          </cell>
          <cell r="L638">
            <v>0</v>
          </cell>
          <cell r="M638" t="e">
            <v>#N/A</v>
          </cell>
          <cell r="N638" t="e">
            <v>#REF!</v>
          </cell>
          <cell r="O638" t="str">
            <v>L</v>
          </cell>
        </row>
        <row r="639">
          <cell r="H639">
            <v>773000</v>
          </cell>
          <cell r="K639" t="str">
            <v>Unclaimed Dividend</v>
          </cell>
          <cell r="M639" t="e">
            <v>#N/A</v>
          </cell>
          <cell r="N639" t="e">
            <v>#REF!</v>
          </cell>
          <cell r="O639" t="str">
            <v>L</v>
          </cell>
          <cell r="P639">
            <v>0</v>
          </cell>
          <cell r="Q639">
            <v>1671385</v>
          </cell>
          <cell r="R639">
            <v>1332130</v>
          </cell>
          <cell r="T639">
            <v>0</v>
          </cell>
          <cell r="U639">
            <v>1671385</v>
          </cell>
          <cell r="V639">
            <v>1332130</v>
          </cell>
          <cell r="X639">
            <v>0</v>
          </cell>
          <cell r="Y639">
            <v>0</v>
          </cell>
          <cell r="Z639">
            <v>0</v>
          </cell>
          <cell r="AB639">
            <v>0</v>
          </cell>
          <cell r="AC639">
            <v>0</v>
          </cell>
          <cell r="AD639">
            <v>0</v>
          </cell>
          <cell r="AF639">
            <v>0</v>
          </cell>
          <cell r="AG639">
            <v>0</v>
          </cell>
          <cell r="AH639">
            <v>0</v>
          </cell>
        </row>
        <row r="640">
          <cell r="H640">
            <v>774000</v>
          </cell>
          <cell r="K640" t="str">
            <v>Deposits Received</v>
          </cell>
          <cell r="M640" t="e">
            <v>#N/A</v>
          </cell>
          <cell r="N640" t="e">
            <v>#REF!</v>
          </cell>
          <cell r="O640" t="str">
            <v>L</v>
          </cell>
        </row>
        <row r="641">
          <cell r="G641">
            <v>15497</v>
          </cell>
          <cell r="H641">
            <v>775000</v>
          </cell>
          <cell r="I641" t="str">
            <v>1810</v>
          </cell>
          <cell r="L641" t="str">
            <v>Deposit Received</v>
          </cell>
          <cell r="M641" t="str">
            <v>DEPOSIT RECEIVED</v>
          </cell>
          <cell r="N641" t="e">
            <v>#REF!</v>
          </cell>
          <cell r="O641" t="str">
            <v>L</v>
          </cell>
          <cell r="Q641">
            <v>10733115</v>
          </cell>
          <cell r="R641">
            <v>9307662</v>
          </cell>
          <cell r="U641">
            <v>1827671</v>
          </cell>
          <cell r="V641">
            <v>2295174</v>
          </cell>
          <cell r="Y641">
            <v>8905444</v>
          </cell>
          <cell r="Z641">
            <v>7012488</v>
          </cell>
          <cell r="AC641">
            <v>0</v>
          </cell>
          <cell r="AD641">
            <v>0</v>
          </cell>
          <cell r="AG641">
            <v>0</v>
          </cell>
          <cell r="AH641">
            <v>0</v>
          </cell>
        </row>
        <row r="642">
          <cell r="H642">
            <v>776000</v>
          </cell>
          <cell r="I642" t="str">
            <v>1811</v>
          </cell>
          <cell r="L642" t="str">
            <v>Deposit Recd From Contractor</v>
          </cell>
          <cell r="M642" t="e">
            <v>#N/A</v>
          </cell>
          <cell r="N642" t="e">
            <v>#REF!</v>
          </cell>
          <cell r="O642" t="str">
            <v>L</v>
          </cell>
          <cell r="Q642">
            <v>1231044</v>
          </cell>
          <cell r="R642">
            <v>804973</v>
          </cell>
          <cell r="U642">
            <v>0</v>
          </cell>
          <cell r="V642">
            <v>0</v>
          </cell>
          <cell r="Y642">
            <v>0</v>
          </cell>
          <cell r="Z642">
            <v>0</v>
          </cell>
          <cell r="AC642">
            <v>0</v>
          </cell>
          <cell r="AD642">
            <v>0</v>
          </cell>
          <cell r="AG642">
            <v>1231044</v>
          </cell>
          <cell r="AH642">
            <v>804973</v>
          </cell>
        </row>
        <row r="643">
          <cell r="G643">
            <v>15498</v>
          </cell>
          <cell r="H643">
            <v>777000</v>
          </cell>
          <cell r="I643" t="str">
            <v>1820</v>
          </cell>
          <cell r="L643" t="str">
            <v>Emd Received</v>
          </cell>
          <cell r="M643" t="str">
            <v>EMD RECEIVED</v>
          </cell>
          <cell r="N643" t="e">
            <v>#REF!</v>
          </cell>
          <cell r="O643" t="str">
            <v>L</v>
          </cell>
          <cell r="Q643">
            <v>0</v>
          </cell>
          <cell r="R643">
            <v>0</v>
          </cell>
          <cell r="U643">
            <v>0</v>
          </cell>
          <cell r="V643">
            <v>0</v>
          </cell>
          <cell r="Y643">
            <v>0</v>
          </cell>
          <cell r="Z643">
            <v>0</v>
          </cell>
          <cell r="AC643">
            <v>0</v>
          </cell>
          <cell r="AD643">
            <v>0</v>
          </cell>
          <cell r="AG643">
            <v>0</v>
          </cell>
          <cell r="AH643">
            <v>0</v>
          </cell>
        </row>
        <row r="644">
          <cell r="H644">
            <v>778000</v>
          </cell>
          <cell r="O644" t="str">
            <v>L</v>
          </cell>
        </row>
        <row r="645">
          <cell r="H645">
            <v>779000</v>
          </cell>
          <cell r="K645" t="str">
            <v>Deposits Received</v>
          </cell>
          <cell r="M645" t="e">
            <v>#N/A</v>
          </cell>
          <cell r="N645" t="e">
            <v>#REF!</v>
          </cell>
          <cell r="O645" t="str">
            <v>L</v>
          </cell>
          <cell r="P645">
            <v>0</v>
          </cell>
          <cell r="Q645">
            <v>11964159</v>
          </cell>
          <cell r="R645">
            <v>10112635</v>
          </cell>
          <cell r="T645">
            <v>0</v>
          </cell>
          <cell r="U645">
            <v>1827671</v>
          </cell>
          <cell r="V645">
            <v>2295174</v>
          </cell>
          <cell r="X645">
            <v>0</v>
          </cell>
          <cell r="Y645">
            <v>8905444</v>
          </cell>
          <cell r="Z645">
            <v>7012488</v>
          </cell>
          <cell r="AB645">
            <v>0</v>
          </cell>
          <cell r="AC645">
            <v>0</v>
          </cell>
          <cell r="AD645">
            <v>0</v>
          </cell>
          <cell r="AF645">
            <v>0</v>
          </cell>
          <cell r="AG645">
            <v>1231044</v>
          </cell>
          <cell r="AH645">
            <v>804973</v>
          </cell>
        </row>
        <row r="646">
          <cell r="H646">
            <v>780000</v>
          </cell>
          <cell r="K646" t="str">
            <v>Advances Received</v>
          </cell>
          <cell r="M646" t="e">
            <v>#N/A</v>
          </cell>
          <cell r="N646" t="e">
            <v>#REF!</v>
          </cell>
          <cell r="O646" t="str">
            <v>L</v>
          </cell>
        </row>
        <row r="647">
          <cell r="G647">
            <v>15499</v>
          </cell>
          <cell r="H647">
            <v>781000</v>
          </cell>
          <cell r="I647" t="str">
            <v>1840</v>
          </cell>
          <cell r="L647" t="str">
            <v>Advance Received From Cust</v>
          </cell>
          <cell r="M647" t="str">
            <v>ADVANCE RECEIVED FROM CUST</v>
          </cell>
          <cell r="N647" t="e">
            <v>#REF!</v>
          </cell>
          <cell r="O647" t="str">
            <v>L</v>
          </cell>
          <cell r="Q647">
            <v>7285460</v>
          </cell>
          <cell r="R647">
            <v>2038181</v>
          </cell>
          <cell r="U647">
            <v>7050328</v>
          </cell>
          <cell r="V647">
            <v>1673074</v>
          </cell>
          <cell r="Y647">
            <v>51463</v>
          </cell>
          <cell r="Z647">
            <v>51463</v>
          </cell>
          <cell r="AC647">
            <v>183669</v>
          </cell>
          <cell r="AD647">
            <v>313644</v>
          </cell>
          <cell r="AG647">
            <v>0</v>
          </cell>
          <cell r="AH647">
            <v>0</v>
          </cell>
        </row>
        <row r="648">
          <cell r="G648">
            <v>15500</v>
          </cell>
          <cell r="H648">
            <v>782000</v>
          </cell>
          <cell r="I648" t="str">
            <v>3301</v>
          </cell>
          <cell r="L648" t="str">
            <v>Debtors Cr, Bal</v>
          </cell>
          <cell r="M648" t="str">
            <v>DEBTORS CREDIT BALANCES (2010-11)</v>
          </cell>
          <cell r="N648" t="e">
            <v>#REF!</v>
          </cell>
          <cell r="O648" t="str">
            <v>L</v>
          </cell>
          <cell r="Q648">
            <v>4487892</v>
          </cell>
          <cell r="R648">
            <v>3114520</v>
          </cell>
          <cell r="U648">
            <v>1208257</v>
          </cell>
          <cell r="V648">
            <v>314894</v>
          </cell>
          <cell r="Y648">
            <v>3192158</v>
          </cell>
          <cell r="Z648">
            <v>2577836</v>
          </cell>
          <cell r="AC648">
            <v>87477</v>
          </cell>
          <cell r="AD648">
            <v>207834</v>
          </cell>
          <cell r="AG648">
            <v>0</v>
          </cell>
          <cell r="AH648">
            <v>13956</v>
          </cell>
        </row>
        <row r="649">
          <cell r="H649">
            <v>783000</v>
          </cell>
          <cell r="L649">
            <v>0</v>
          </cell>
          <cell r="M649" t="e">
            <v>#N/A</v>
          </cell>
          <cell r="N649" t="e">
            <v>#REF!</v>
          </cell>
          <cell r="O649" t="str">
            <v>L</v>
          </cell>
          <cell r="Q649">
            <v>0</v>
          </cell>
          <cell r="R649">
            <v>0</v>
          </cell>
        </row>
        <row r="650">
          <cell r="H650">
            <v>784000</v>
          </cell>
          <cell r="K650" t="str">
            <v>Advances Received</v>
          </cell>
          <cell r="M650" t="e">
            <v>#N/A</v>
          </cell>
          <cell r="N650" t="e">
            <v>#REF!</v>
          </cell>
          <cell r="O650" t="str">
            <v>L</v>
          </cell>
          <cell r="P650">
            <v>0</v>
          </cell>
          <cell r="Q650">
            <v>11773352</v>
          </cell>
          <cell r="R650">
            <v>5152701</v>
          </cell>
          <cell r="T650">
            <v>0</v>
          </cell>
          <cell r="U650">
            <v>8258585</v>
          </cell>
          <cell r="V650">
            <v>1987968</v>
          </cell>
          <cell r="X650">
            <v>0</v>
          </cell>
          <cell r="Y650">
            <v>3243621</v>
          </cell>
          <cell r="Z650">
            <v>2629299</v>
          </cell>
          <cell r="AB650">
            <v>0</v>
          </cell>
          <cell r="AC650">
            <v>271146</v>
          </cell>
          <cell r="AD650">
            <v>521478</v>
          </cell>
          <cell r="AF650">
            <v>0</v>
          </cell>
          <cell r="AG650">
            <v>0</v>
          </cell>
          <cell r="AH650">
            <v>13956</v>
          </cell>
        </row>
        <row r="651">
          <cell r="H651">
            <v>785000</v>
          </cell>
          <cell r="K651" t="str">
            <v>Employee Benefits Payable</v>
          </cell>
          <cell r="M651" t="e">
            <v>#N/A</v>
          </cell>
          <cell r="N651" t="e">
            <v>#REF!</v>
          </cell>
          <cell r="O651" t="str">
            <v>L</v>
          </cell>
        </row>
        <row r="652">
          <cell r="H652">
            <v>786000</v>
          </cell>
          <cell r="I652" t="str">
            <v>1600</v>
          </cell>
          <cell r="L652" t="str">
            <v>Laib For Exp Payroll Related</v>
          </cell>
          <cell r="M652" t="e">
            <v>#N/A</v>
          </cell>
          <cell r="N652" t="e">
            <v>#REF!</v>
          </cell>
          <cell r="O652" t="str">
            <v>L</v>
          </cell>
          <cell r="Q652">
            <v>0</v>
          </cell>
          <cell r="R652">
            <v>0</v>
          </cell>
          <cell r="U652">
            <v>0</v>
          </cell>
          <cell r="V652">
            <v>0</v>
          </cell>
          <cell r="Y652">
            <v>0</v>
          </cell>
          <cell r="Z652">
            <v>0</v>
          </cell>
          <cell r="AC652">
            <v>0</v>
          </cell>
          <cell r="AD652">
            <v>0</v>
          </cell>
          <cell r="AG652">
            <v>0</v>
          </cell>
          <cell r="AH652">
            <v>0</v>
          </cell>
        </row>
        <row r="653">
          <cell r="G653">
            <v>15441</v>
          </cell>
          <cell r="H653">
            <v>787000</v>
          </cell>
          <cell r="I653" t="str">
            <v>2618</v>
          </cell>
          <cell r="L653" t="str">
            <v>Superannuation Adjustable</v>
          </cell>
          <cell r="M653" t="str">
            <v>SUPERANNUATION ADJUSTABLE</v>
          </cell>
          <cell r="N653" t="e">
            <v>#REF!</v>
          </cell>
          <cell r="O653" t="str">
            <v>L</v>
          </cell>
          <cell r="Q653">
            <v>338600</v>
          </cell>
          <cell r="R653">
            <v>21701</v>
          </cell>
          <cell r="U653">
            <v>214821</v>
          </cell>
          <cell r="V653">
            <v>21701</v>
          </cell>
          <cell r="Y653">
            <v>123779</v>
          </cell>
          <cell r="Z653">
            <v>0</v>
          </cell>
          <cell r="AC653">
            <v>0</v>
          </cell>
          <cell r="AD653">
            <v>0</v>
          </cell>
          <cell r="AG653">
            <v>0</v>
          </cell>
          <cell r="AH653">
            <v>0</v>
          </cell>
        </row>
        <row r="654">
          <cell r="G654">
            <v>15442</v>
          </cell>
          <cell r="H654">
            <v>788000</v>
          </cell>
          <cell r="I654" t="str">
            <v>2650</v>
          </cell>
          <cell r="L654" t="str">
            <v>Welfare Fund Adjustable</v>
          </cell>
          <cell r="M654" t="str">
            <v>WELFARE FUND ADJUSTABLE</v>
          </cell>
          <cell r="N654" t="e">
            <v>#REF!</v>
          </cell>
          <cell r="O654" t="str">
            <v>L</v>
          </cell>
          <cell r="Q654">
            <v>0</v>
          </cell>
          <cell r="R654">
            <v>0</v>
          </cell>
          <cell r="U654">
            <v>-2814</v>
          </cell>
          <cell r="V654">
            <v>-2814</v>
          </cell>
          <cell r="Y654">
            <v>2814</v>
          </cell>
          <cell r="Z654">
            <v>2814</v>
          </cell>
          <cell r="AC654">
            <v>0</v>
          </cell>
          <cell r="AD654">
            <v>0</v>
          </cell>
          <cell r="AG654">
            <v>0</v>
          </cell>
          <cell r="AH654">
            <v>0</v>
          </cell>
        </row>
        <row r="655">
          <cell r="G655">
            <v>15448</v>
          </cell>
          <cell r="H655">
            <v>789000</v>
          </cell>
          <cell r="I655" t="str">
            <v>2720</v>
          </cell>
          <cell r="L655" t="str">
            <v>Unclaimed Salary\Wages</v>
          </cell>
          <cell r="M655" t="str">
            <v>UNCLAIMED SALARY/WAGES</v>
          </cell>
          <cell r="N655" t="e">
            <v>#REF!</v>
          </cell>
          <cell r="O655" t="str">
            <v>L</v>
          </cell>
          <cell r="Q655">
            <v>31221</v>
          </cell>
          <cell r="R655">
            <v>31221</v>
          </cell>
          <cell r="U655">
            <v>22791</v>
          </cell>
          <cell r="V655">
            <v>22791</v>
          </cell>
          <cell r="Y655">
            <v>0</v>
          </cell>
          <cell r="Z655">
            <v>0</v>
          </cell>
          <cell r="AC655">
            <v>8430</v>
          </cell>
          <cell r="AD655">
            <v>8430</v>
          </cell>
          <cell r="AG655">
            <v>0</v>
          </cell>
          <cell r="AH655">
            <v>0</v>
          </cell>
        </row>
        <row r="656">
          <cell r="G656">
            <v>15449</v>
          </cell>
          <cell r="H656">
            <v>790000</v>
          </cell>
          <cell r="I656" t="str">
            <v>2730</v>
          </cell>
          <cell r="L656" t="str">
            <v>Unclaimed Bonus</v>
          </cell>
          <cell r="M656" t="str">
            <v>UNCLAIMED BONUS</v>
          </cell>
          <cell r="N656" t="e">
            <v>#REF!</v>
          </cell>
          <cell r="O656" t="str">
            <v>L</v>
          </cell>
          <cell r="Q656">
            <v>14972</v>
          </cell>
          <cell r="R656">
            <v>14972</v>
          </cell>
          <cell r="U656">
            <v>11946</v>
          </cell>
          <cell r="V656">
            <v>11946</v>
          </cell>
          <cell r="Y656">
            <v>3026</v>
          </cell>
          <cell r="Z656">
            <v>3026</v>
          </cell>
          <cell r="AC656">
            <v>0</v>
          </cell>
          <cell r="AD656">
            <v>0</v>
          </cell>
          <cell r="AG656">
            <v>0</v>
          </cell>
          <cell r="AH656">
            <v>0</v>
          </cell>
        </row>
        <row r="657">
          <cell r="G657">
            <v>15440</v>
          </cell>
          <cell r="H657">
            <v>791000</v>
          </cell>
          <cell r="I657" t="str">
            <v>2600</v>
          </cell>
          <cell r="L657" t="str">
            <v>Net Salary Adjustable</v>
          </cell>
          <cell r="M657" t="str">
            <v>NET SALARY ADJUSTABLE</v>
          </cell>
          <cell r="N657" t="e">
            <v>#REF!</v>
          </cell>
          <cell r="O657" t="str">
            <v>L</v>
          </cell>
          <cell r="Q657">
            <v>10547852</v>
          </cell>
          <cell r="R657">
            <v>3316340</v>
          </cell>
          <cell r="U657">
            <v>5876510</v>
          </cell>
          <cell r="V657">
            <v>3395393</v>
          </cell>
          <cell r="Y657">
            <v>3333293</v>
          </cell>
          <cell r="Z657">
            <v>-519581</v>
          </cell>
          <cell r="AC657">
            <v>610857</v>
          </cell>
          <cell r="AD657">
            <v>431374</v>
          </cell>
          <cell r="AG657">
            <v>727192</v>
          </cell>
          <cell r="AH657">
            <v>9154</v>
          </cell>
        </row>
        <row r="658">
          <cell r="H658">
            <v>792000</v>
          </cell>
          <cell r="I658" t="str">
            <v>2601</v>
          </cell>
          <cell r="L658" t="str">
            <v>Net Salary Adjustable</v>
          </cell>
          <cell r="M658" t="e">
            <v>#N/A</v>
          </cell>
          <cell r="N658" t="e">
            <v>#REF!</v>
          </cell>
          <cell r="O658" t="str">
            <v>L</v>
          </cell>
          <cell r="Q658">
            <v>0</v>
          </cell>
          <cell r="R658">
            <v>0</v>
          </cell>
          <cell r="U658">
            <v>0</v>
          </cell>
          <cell r="V658">
            <v>0</v>
          </cell>
          <cell r="Y658">
            <v>0</v>
          </cell>
          <cell r="Z658">
            <v>0</v>
          </cell>
          <cell r="AC658">
            <v>0</v>
          </cell>
          <cell r="AD658">
            <v>0</v>
          </cell>
          <cell r="AG658">
            <v>0</v>
          </cell>
          <cell r="AH658">
            <v>0</v>
          </cell>
        </row>
        <row r="659">
          <cell r="G659">
            <v>15454</v>
          </cell>
          <cell r="H659">
            <v>793000</v>
          </cell>
          <cell r="I659" t="str">
            <v>2808</v>
          </cell>
          <cell r="L659" t="str">
            <v>Payable To Employees</v>
          </cell>
          <cell r="M659" t="str">
            <v>PAYABLE TO EMPLOYEES</v>
          </cell>
          <cell r="N659" t="e">
            <v>#REF!</v>
          </cell>
          <cell r="O659" t="str">
            <v>L</v>
          </cell>
          <cell r="Q659">
            <v>66507</v>
          </cell>
          <cell r="R659">
            <v>155346</v>
          </cell>
          <cell r="U659">
            <v>71665</v>
          </cell>
          <cell r="V659">
            <v>121596</v>
          </cell>
          <cell r="Y659">
            <v>-5158</v>
          </cell>
          <cell r="Z659">
            <v>33750</v>
          </cell>
          <cell r="AC659">
            <v>0</v>
          </cell>
          <cell r="AD659">
            <v>0</v>
          </cell>
          <cell r="AG659">
            <v>0</v>
          </cell>
          <cell r="AH659">
            <v>0</v>
          </cell>
        </row>
        <row r="660">
          <cell r="G660">
            <v>15452</v>
          </cell>
          <cell r="H660">
            <v>794000</v>
          </cell>
          <cell r="I660" t="str">
            <v>2161</v>
          </cell>
          <cell r="L660" t="str">
            <v>Pro. For Managerial Exp.</v>
          </cell>
          <cell r="M660" t="str">
            <v>PROVISION FOR MANAGERIAL EXP.</v>
          </cell>
          <cell r="N660" t="e">
            <v>#REF!</v>
          </cell>
          <cell r="O660" t="str">
            <v>L</v>
          </cell>
          <cell r="Q660">
            <v>-114516</v>
          </cell>
          <cell r="R660">
            <v>-114516</v>
          </cell>
          <cell r="U660">
            <v>-114516</v>
          </cell>
          <cell r="V660">
            <v>-114516</v>
          </cell>
          <cell r="Y660">
            <v>0</v>
          </cell>
          <cell r="Z660">
            <v>0</v>
          </cell>
          <cell r="AC660">
            <v>0</v>
          </cell>
          <cell r="AD660">
            <v>0</v>
          </cell>
          <cell r="AG660">
            <v>0</v>
          </cell>
          <cell r="AH660">
            <v>0</v>
          </cell>
        </row>
        <row r="661">
          <cell r="H661">
            <v>795000</v>
          </cell>
          <cell r="L661" t="str">
            <v>Excess Provision regrouped In payable to employees</v>
          </cell>
          <cell r="O661" t="str">
            <v>L</v>
          </cell>
          <cell r="Q661">
            <v>0</v>
          </cell>
          <cell r="R661">
            <v>0</v>
          </cell>
          <cell r="AC661">
            <v>0</v>
          </cell>
          <cell r="AG661">
            <v>0</v>
          </cell>
        </row>
        <row r="662">
          <cell r="H662">
            <v>796000</v>
          </cell>
          <cell r="L662" t="str">
            <v>Regrouping From Trade Paybles</v>
          </cell>
          <cell r="M662" t="e">
            <v>#N/A</v>
          </cell>
          <cell r="N662" t="e">
            <v>#REF!</v>
          </cell>
          <cell r="O662" t="str">
            <v>L</v>
          </cell>
          <cell r="Q662">
            <v>22845795</v>
          </cell>
          <cell r="R662">
            <v>12212023</v>
          </cell>
          <cell r="U662">
            <v>17875783</v>
          </cell>
          <cell r="V662">
            <v>12212023</v>
          </cell>
          <cell r="Y662">
            <v>4140287</v>
          </cell>
          <cell r="Z662">
            <v>0</v>
          </cell>
          <cell r="AC662">
            <v>428916</v>
          </cell>
          <cell r="AD662">
            <v>0</v>
          </cell>
          <cell r="AG662">
            <v>400809</v>
          </cell>
          <cell r="AH662">
            <v>0</v>
          </cell>
        </row>
        <row r="663">
          <cell r="H663">
            <v>797000</v>
          </cell>
          <cell r="K663" t="str">
            <v>Employee Benefits Payable</v>
          </cell>
          <cell r="M663" t="e">
            <v>#N/A</v>
          </cell>
          <cell r="N663" t="e">
            <v>#REF!</v>
          </cell>
          <cell r="O663" t="str">
            <v>L</v>
          </cell>
          <cell r="P663">
            <v>0</v>
          </cell>
          <cell r="Q663">
            <v>33730431</v>
          </cell>
          <cell r="R663">
            <v>15637087</v>
          </cell>
          <cell r="T663">
            <v>0</v>
          </cell>
          <cell r="U663">
            <v>23956186</v>
          </cell>
          <cell r="V663">
            <v>15668120</v>
          </cell>
          <cell r="X663">
            <v>0</v>
          </cell>
          <cell r="Y663">
            <v>7598041</v>
          </cell>
          <cell r="Z663">
            <v>-479991</v>
          </cell>
          <cell r="AB663">
            <v>0</v>
          </cell>
          <cell r="AC663">
            <v>1048203</v>
          </cell>
          <cell r="AD663">
            <v>439804</v>
          </cell>
          <cell r="AF663">
            <v>0</v>
          </cell>
          <cell r="AG663">
            <v>1128001</v>
          </cell>
          <cell r="AH663">
            <v>9154</v>
          </cell>
        </row>
        <row r="664">
          <cell r="H664">
            <v>798000</v>
          </cell>
          <cell r="K664" t="str">
            <v>Statutory Dues Payable</v>
          </cell>
          <cell r="M664" t="e">
            <v>#N/A</v>
          </cell>
          <cell r="N664" t="e">
            <v>#REF!</v>
          </cell>
          <cell r="O664" t="str">
            <v>L</v>
          </cell>
        </row>
        <row r="665">
          <cell r="H665">
            <v>799000</v>
          </cell>
          <cell r="I665" t="str">
            <v>2512</v>
          </cell>
          <cell r="L665" t="str">
            <v>Vat (Mst) -Sales</v>
          </cell>
          <cell r="M665" t="e">
            <v>#N/A</v>
          </cell>
          <cell r="N665" t="e">
            <v>#REF!</v>
          </cell>
          <cell r="O665" t="str">
            <v>L</v>
          </cell>
          <cell r="Q665">
            <v>1162660</v>
          </cell>
          <cell r="R665">
            <v>1275892</v>
          </cell>
          <cell r="U665">
            <v>0</v>
          </cell>
          <cell r="V665">
            <v>0</v>
          </cell>
          <cell r="Y665">
            <v>0</v>
          </cell>
          <cell r="Z665">
            <v>0</v>
          </cell>
          <cell r="AC665">
            <v>935670</v>
          </cell>
          <cell r="AD665">
            <v>1038782</v>
          </cell>
          <cell r="AG665">
            <v>226990</v>
          </cell>
          <cell r="AH665">
            <v>237110</v>
          </cell>
        </row>
        <row r="666">
          <cell r="H666">
            <v>800000</v>
          </cell>
          <cell r="I666" t="str">
            <v>2513</v>
          </cell>
          <cell r="L666" t="str">
            <v>Vat Mst - Purchase</v>
          </cell>
          <cell r="M666" t="e">
            <v>#N/A</v>
          </cell>
          <cell r="N666" t="e">
            <v>#REF!</v>
          </cell>
          <cell r="O666" t="str">
            <v>L</v>
          </cell>
          <cell r="Q666">
            <v>-569118</v>
          </cell>
          <cell r="R666">
            <v>-597398</v>
          </cell>
          <cell r="U666">
            <v>0</v>
          </cell>
          <cell r="V666">
            <v>0</v>
          </cell>
          <cell r="Y666">
            <v>0</v>
          </cell>
          <cell r="Z666">
            <v>0</v>
          </cell>
          <cell r="AC666">
            <v>-533685</v>
          </cell>
          <cell r="AD666">
            <v>-559651</v>
          </cell>
          <cell r="AG666">
            <v>-35433</v>
          </cell>
          <cell r="AH666">
            <v>-37747</v>
          </cell>
        </row>
        <row r="667">
          <cell r="G667">
            <v>15567</v>
          </cell>
          <cell r="L667" t="str">
            <v>Swachh Bharat Cess (Liab)</v>
          </cell>
          <cell r="O667" t="str">
            <v>L</v>
          </cell>
          <cell r="Q667">
            <v>62309</v>
          </cell>
          <cell r="R667">
            <v>0</v>
          </cell>
          <cell r="U667">
            <v>60536</v>
          </cell>
          <cell r="V667">
            <v>0</v>
          </cell>
          <cell r="Y667">
            <v>1773</v>
          </cell>
          <cell r="Z667">
            <v>0</v>
          </cell>
          <cell r="AC667">
            <v>0</v>
          </cell>
          <cell r="AD667">
            <v>0</v>
          </cell>
          <cell r="AG667">
            <v>0</v>
          </cell>
          <cell r="AH667">
            <v>0</v>
          </cell>
        </row>
        <row r="668">
          <cell r="G668">
            <v>15506</v>
          </cell>
          <cell r="H668">
            <v>801000</v>
          </cell>
          <cell r="I668" t="str">
            <v>2514</v>
          </cell>
          <cell r="L668" t="str">
            <v>Vat Payable</v>
          </cell>
          <cell r="M668" t="str">
            <v>VAT PAYABLE</v>
          </cell>
          <cell r="N668" t="e">
            <v>#REF!</v>
          </cell>
          <cell r="O668" t="str">
            <v>L</v>
          </cell>
          <cell r="Q668">
            <v>40381</v>
          </cell>
          <cell r="R668">
            <v>18919</v>
          </cell>
          <cell r="U668">
            <v>64</v>
          </cell>
          <cell r="V668">
            <v>64</v>
          </cell>
          <cell r="Y668">
            <v>0</v>
          </cell>
          <cell r="Z668">
            <v>0</v>
          </cell>
          <cell r="AC668">
            <v>40317</v>
          </cell>
          <cell r="AD668">
            <v>18855</v>
          </cell>
          <cell r="AG668">
            <v>0</v>
          </cell>
          <cell r="AH668">
            <v>0</v>
          </cell>
        </row>
        <row r="669">
          <cell r="G669">
            <v>15507</v>
          </cell>
          <cell r="H669">
            <v>802000</v>
          </cell>
          <cell r="L669" t="str">
            <v>Vat Receivable</v>
          </cell>
          <cell r="M669" t="str">
            <v>VAT RECEIVABLE</v>
          </cell>
          <cell r="N669" t="e">
            <v>#REF!</v>
          </cell>
          <cell r="O669" t="str">
            <v>L</v>
          </cell>
          <cell r="Q669">
            <v>-64</v>
          </cell>
          <cell r="R669">
            <v>-64</v>
          </cell>
          <cell r="U669">
            <v>-64</v>
          </cell>
          <cell r="V669">
            <v>-64</v>
          </cell>
          <cell r="Y669">
            <v>0</v>
          </cell>
          <cell r="Z669">
            <v>0</v>
          </cell>
          <cell r="AC669">
            <v>0</v>
          </cell>
          <cell r="AD669">
            <v>0</v>
          </cell>
          <cell r="AG669">
            <v>0</v>
          </cell>
          <cell r="AH669">
            <v>0</v>
          </cell>
        </row>
        <row r="670">
          <cell r="G670">
            <v>15511</v>
          </cell>
          <cell r="H670">
            <v>803000</v>
          </cell>
          <cell r="I670" t="str">
            <v>2520</v>
          </cell>
          <cell r="L670" t="str">
            <v>Cst Payable</v>
          </cell>
          <cell r="M670" t="str">
            <v>CST PAYABLE</v>
          </cell>
          <cell r="N670" t="e">
            <v>#REF!</v>
          </cell>
          <cell r="O670" t="str">
            <v>L</v>
          </cell>
          <cell r="Q670">
            <v>305162</v>
          </cell>
          <cell r="R670">
            <v>135442</v>
          </cell>
          <cell r="U670">
            <v>0</v>
          </cell>
          <cell r="V670">
            <v>0</v>
          </cell>
          <cell r="Y670">
            <v>0</v>
          </cell>
          <cell r="Z670">
            <v>0</v>
          </cell>
          <cell r="AC670">
            <v>305162</v>
          </cell>
          <cell r="AD670">
            <v>135442</v>
          </cell>
          <cell r="AG670">
            <v>0</v>
          </cell>
          <cell r="AH670">
            <v>0</v>
          </cell>
        </row>
        <row r="671">
          <cell r="H671">
            <v>804000</v>
          </cell>
          <cell r="I671" t="str">
            <v>2522</v>
          </cell>
          <cell r="L671" t="str">
            <v>Vat (Cst) -Sales</v>
          </cell>
          <cell r="M671" t="e">
            <v>#N/A</v>
          </cell>
          <cell r="N671" t="e">
            <v>#REF!</v>
          </cell>
          <cell r="O671" t="str">
            <v>L</v>
          </cell>
          <cell r="Q671">
            <v>592147</v>
          </cell>
          <cell r="R671">
            <v>521449</v>
          </cell>
          <cell r="U671">
            <v>0</v>
          </cell>
          <cell r="V671">
            <v>0</v>
          </cell>
          <cell r="Y671">
            <v>0</v>
          </cell>
          <cell r="Z671">
            <v>0</v>
          </cell>
          <cell r="AC671">
            <v>0</v>
          </cell>
          <cell r="AD671">
            <v>0</v>
          </cell>
          <cell r="AG671">
            <v>592147</v>
          </cell>
          <cell r="AH671">
            <v>521449</v>
          </cell>
        </row>
        <row r="672">
          <cell r="H672">
            <v>805000</v>
          </cell>
          <cell r="I672" t="str">
            <v>7113</v>
          </cell>
          <cell r="L672" t="str">
            <v>Surcharge On Mst</v>
          </cell>
          <cell r="M672" t="e">
            <v>#N/A</v>
          </cell>
          <cell r="N672" t="e">
            <v>#REF!</v>
          </cell>
          <cell r="O672" t="str">
            <v>L</v>
          </cell>
          <cell r="Q672">
            <v>88</v>
          </cell>
          <cell r="R672">
            <v>88</v>
          </cell>
          <cell r="U672">
            <v>0</v>
          </cell>
          <cell r="V672">
            <v>0</v>
          </cell>
          <cell r="Y672">
            <v>0</v>
          </cell>
          <cell r="Z672">
            <v>0</v>
          </cell>
          <cell r="AC672">
            <v>88</v>
          </cell>
          <cell r="AD672">
            <v>88</v>
          </cell>
          <cell r="AG672">
            <v>0</v>
          </cell>
          <cell r="AH672">
            <v>0</v>
          </cell>
        </row>
        <row r="673">
          <cell r="G673">
            <v>15544</v>
          </cell>
          <cell r="H673">
            <v>806000</v>
          </cell>
          <cell r="L673" t="str">
            <v>Tds-On Vat</v>
          </cell>
          <cell r="M673" t="str">
            <v>TDS - ON VAT</v>
          </cell>
          <cell r="N673" t="e">
            <v>#REF!</v>
          </cell>
          <cell r="O673" t="str">
            <v>L</v>
          </cell>
          <cell r="Q673">
            <v>0</v>
          </cell>
          <cell r="R673">
            <v>0</v>
          </cell>
          <cell r="U673">
            <v>0</v>
          </cell>
          <cell r="V673">
            <v>0</v>
          </cell>
          <cell r="Y673">
            <v>0</v>
          </cell>
          <cell r="Z673">
            <v>0</v>
          </cell>
          <cell r="AC673">
            <v>0</v>
          </cell>
          <cell r="AD673">
            <v>0</v>
          </cell>
          <cell r="AG673">
            <v>0</v>
          </cell>
          <cell r="AH673">
            <v>0</v>
          </cell>
        </row>
        <row r="674">
          <cell r="G674">
            <v>15546</v>
          </cell>
          <cell r="L674" t="str">
            <v>TDS- NRI</v>
          </cell>
          <cell r="Q674">
            <v>1446571</v>
          </cell>
          <cell r="R674">
            <v>0</v>
          </cell>
          <cell r="U674">
            <v>1211073</v>
          </cell>
          <cell r="V674">
            <v>0</v>
          </cell>
          <cell r="Y674">
            <v>235498</v>
          </cell>
          <cell r="Z674">
            <v>0</v>
          </cell>
          <cell r="AC674">
            <v>0</v>
          </cell>
          <cell r="AD674">
            <v>0</v>
          </cell>
          <cell r="AG674">
            <v>0</v>
          </cell>
          <cell r="AH674">
            <v>0</v>
          </cell>
        </row>
        <row r="675">
          <cell r="G675">
            <v>15522</v>
          </cell>
          <cell r="H675">
            <v>807000</v>
          </cell>
          <cell r="I675">
            <v>2560</v>
          </cell>
          <cell r="L675" t="str">
            <v>Cst Payable (Cochin)/Control A/c</v>
          </cell>
          <cell r="M675" t="str">
            <v>CST PAYABLE (COCHIN)</v>
          </cell>
          <cell r="N675" t="e">
            <v>#REF!</v>
          </cell>
          <cell r="O675" t="str">
            <v>L</v>
          </cell>
          <cell r="Q675">
            <v>7129</v>
          </cell>
          <cell r="R675">
            <v>3255</v>
          </cell>
          <cell r="U675">
            <v>0</v>
          </cell>
          <cell r="V675">
            <v>0</v>
          </cell>
          <cell r="Y675">
            <v>7129</v>
          </cell>
          <cell r="Z675">
            <v>3196</v>
          </cell>
          <cell r="AC675">
            <v>0</v>
          </cell>
          <cell r="AD675">
            <v>59</v>
          </cell>
          <cell r="AG675">
            <v>0</v>
          </cell>
        </row>
        <row r="676">
          <cell r="G676">
            <v>15518</v>
          </cell>
          <cell r="H676">
            <v>808000</v>
          </cell>
          <cell r="I676" t="str">
            <v>2515</v>
          </cell>
          <cell r="L676" t="str">
            <v>Cochin Vat Payable</v>
          </cell>
          <cell r="M676" t="str">
            <v>COCHIN VAT PAYABLE</v>
          </cell>
          <cell r="N676" t="e">
            <v>#REF!</v>
          </cell>
          <cell r="O676" t="str">
            <v>L</v>
          </cell>
          <cell r="Q676">
            <v>249621</v>
          </cell>
          <cell r="R676">
            <v>203619</v>
          </cell>
          <cell r="U676">
            <v>0</v>
          </cell>
          <cell r="V676">
            <v>0</v>
          </cell>
          <cell r="Y676">
            <v>249621</v>
          </cell>
          <cell r="Z676">
            <v>203619</v>
          </cell>
          <cell r="AC676">
            <v>0</v>
          </cell>
          <cell r="AD676">
            <v>0</v>
          </cell>
          <cell r="AG676">
            <v>0</v>
          </cell>
          <cell r="AH676">
            <v>0</v>
          </cell>
        </row>
        <row r="677">
          <cell r="H677">
            <v>809000</v>
          </cell>
          <cell r="I677" t="str">
            <v>2527</v>
          </cell>
          <cell r="L677" t="str">
            <v>Tds - Others</v>
          </cell>
          <cell r="M677" t="e">
            <v>#N/A</v>
          </cell>
          <cell r="N677" t="e">
            <v>#REF!</v>
          </cell>
          <cell r="O677" t="str">
            <v>L</v>
          </cell>
          <cell r="Q677">
            <v>41757</v>
          </cell>
          <cell r="R677">
            <v>11978</v>
          </cell>
          <cell r="U677">
            <v>0</v>
          </cell>
          <cell r="V677">
            <v>0</v>
          </cell>
          <cell r="Y677">
            <v>0</v>
          </cell>
          <cell r="Z677">
            <v>0</v>
          </cell>
          <cell r="AC677">
            <v>41757</v>
          </cell>
          <cell r="AD677">
            <v>11978</v>
          </cell>
          <cell r="AG677">
            <v>0</v>
          </cell>
          <cell r="AH677">
            <v>0</v>
          </cell>
        </row>
        <row r="678">
          <cell r="G678">
            <v>15535</v>
          </cell>
          <cell r="H678">
            <v>810000</v>
          </cell>
          <cell r="I678" t="str">
            <v>2528</v>
          </cell>
          <cell r="L678" t="str">
            <v>Tcs - Sale Of Scrap</v>
          </cell>
          <cell r="M678" t="str">
            <v>TCS - SCRAP SALES</v>
          </cell>
          <cell r="N678" t="e">
            <v>#REF!</v>
          </cell>
          <cell r="O678" t="str">
            <v>L</v>
          </cell>
          <cell r="Q678">
            <v>59782</v>
          </cell>
          <cell r="R678">
            <v>75704</v>
          </cell>
          <cell r="U678">
            <v>45053</v>
          </cell>
          <cell r="V678">
            <v>68750</v>
          </cell>
          <cell r="Y678">
            <v>5848</v>
          </cell>
          <cell r="Z678">
            <v>3237</v>
          </cell>
          <cell r="AC678">
            <v>8274</v>
          </cell>
          <cell r="AD678">
            <v>2943</v>
          </cell>
          <cell r="AG678">
            <v>607</v>
          </cell>
          <cell r="AH678">
            <v>774</v>
          </cell>
        </row>
        <row r="679">
          <cell r="G679">
            <v>15540</v>
          </cell>
          <cell r="H679">
            <v>811000</v>
          </cell>
          <cell r="I679" t="str">
            <v>2529</v>
          </cell>
          <cell r="L679" t="str">
            <v>Tds - Commission Agent</v>
          </cell>
          <cell r="M679" t="str">
            <v>TDS - COMMISSION/ BROKERAGE (195 H)</v>
          </cell>
          <cell r="N679" t="e">
            <v>#REF!</v>
          </cell>
          <cell r="O679" t="str">
            <v>L</v>
          </cell>
          <cell r="Q679">
            <v>18629</v>
          </cell>
          <cell r="R679">
            <v>197825</v>
          </cell>
          <cell r="U679">
            <v>-702165</v>
          </cell>
          <cell r="V679">
            <v>-702165</v>
          </cell>
          <cell r="Y679">
            <v>720794</v>
          </cell>
          <cell r="Z679">
            <v>899990</v>
          </cell>
          <cell r="AC679">
            <v>0</v>
          </cell>
          <cell r="AD679">
            <v>0</v>
          </cell>
          <cell r="AG679">
            <v>0</v>
          </cell>
          <cell r="AH679">
            <v>0</v>
          </cell>
        </row>
        <row r="680">
          <cell r="G680">
            <v>15537</v>
          </cell>
          <cell r="H680">
            <v>812000</v>
          </cell>
          <cell r="I680" t="str">
            <v>2660</v>
          </cell>
          <cell r="L680" t="str">
            <v>Income Tax Adjustable - Employees</v>
          </cell>
          <cell r="M680" t="str">
            <v>TDS - EMPLOYEES (192)</v>
          </cell>
          <cell r="N680" t="e">
            <v>#REF!</v>
          </cell>
          <cell r="O680" t="str">
            <v>L</v>
          </cell>
          <cell r="Q680">
            <v>1455095</v>
          </cell>
          <cell r="R680">
            <v>1591871</v>
          </cell>
          <cell r="U680">
            <v>979260</v>
          </cell>
          <cell r="V680">
            <v>930153</v>
          </cell>
          <cell r="Y680">
            <v>467862</v>
          </cell>
          <cell r="Z680">
            <v>656092</v>
          </cell>
          <cell r="AC680">
            <v>7973</v>
          </cell>
          <cell r="AD680">
            <v>4500</v>
          </cell>
          <cell r="AG680">
            <v>0</v>
          </cell>
          <cell r="AH680">
            <v>1126</v>
          </cell>
        </row>
        <row r="681">
          <cell r="G681">
            <v>15539</v>
          </cell>
          <cell r="H681">
            <v>813000</v>
          </cell>
          <cell r="I681" t="str">
            <v>2530</v>
          </cell>
          <cell r="L681" t="str">
            <v>Tds - Contractors</v>
          </cell>
          <cell r="M681" t="str">
            <v>TDS - CONTRACTORS (194 C)</v>
          </cell>
          <cell r="N681" t="e">
            <v>#REF!</v>
          </cell>
          <cell r="O681" t="str">
            <v>L</v>
          </cell>
          <cell r="Q681">
            <v>567318</v>
          </cell>
          <cell r="R681">
            <v>299359</v>
          </cell>
          <cell r="U681">
            <v>-1108462</v>
          </cell>
          <cell r="V681">
            <v>-1149303</v>
          </cell>
          <cell r="Y681">
            <v>1560120</v>
          </cell>
          <cell r="Z681">
            <v>1437723</v>
          </cell>
          <cell r="AC681">
            <v>1906</v>
          </cell>
          <cell r="AD681">
            <v>0</v>
          </cell>
          <cell r="AG681">
            <v>113754</v>
          </cell>
          <cell r="AH681">
            <v>10939</v>
          </cell>
        </row>
        <row r="682">
          <cell r="G682">
            <v>15541</v>
          </cell>
          <cell r="H682">
            <v>814000</v>
          </cell>
          <cell r="I682" t="str">
            <v>2534</v>
          </cell>
          <cell r="L682" t="str">
            <v>Tds - Rent</v>
          </cell>
          <cell r="M682" t="str">
            <v>TDS - RENT (194 I)</v>
          </cell>
          <cell r="N682" t="e">
            <v>#REF!</v>
          </cell>
          <cell r="O682" t="str">
            <v>L</v>
          </cell>
          <cell r="Q682">
            <v>11047</v>
          </cell>
          <cell r="R682">
            <v>15938</v>
          </cell>
          <cell r="U682">
            <v>-44785</v>
          </cell>
          <cell r="V682">
            <v>-44136</v>
          </cell>
          <cell r="Y682">
            <v>51632</v>
          </cell>
          <cell r="Z682">
            <v>56824</v>
          </cell>
          <cell r="AC682">
            <v>0</v>
          </cell>
          <cell r="AD682">
            <v>0</v>
          </cell>
          <cell r="AG682">
            <v>4200</v>
          </cell>
          <cell r="AH682">
            <v>3250</v>
          </cell>
        </row>
        <row r="683">
          <cell r="G683">
            <v>15542</v>
          </cell>
          <cell r="H683">
            <v>815000</v>
          </cell>
          <cell r="I683" t="str">
            <v>2535</v>
          </cell>
          <cell r="L683" t="str">
            <v>Tds - Professionals</v>
          </cell>
          <cell r="M683" t="str">
            <v>TDS - PROFESSIONALS/ TECHNICAL SERVICES</v>
          </cell>
          <cell r="N683" t="e">
            <v>#REF!</v>
          </cell>
          <cell r="O683" t="str">
            <v>L</v>
          </cell>
          <cell r="Q683">
            <v>637360</v>
          </cell>
          <cell r="R683">
            <v>275978</v>
          </cell>
          <cell r="U683">
            <v>434404</v>
          </cell>
          <cell r="V683">
            <v>124516</v>
          </cell>
          <cell r="Y683">
            <v>143282</v>
          </cell>
          <cell r="Z683">
            <v>134299</v>
          </cell>
          <cell r="AC683">
            <v>-1800</v>
          </cell>
          <cell r="AD683">
            <v>562</v>
          </cell>
          <cell r="AG683">
            <v>61474</v>
          </cell>
          <cell r="AH683">
            <v>16601</v>
          </cell>
        </row>
        <row r="684">
          <cell r="G684">
            <v>15538</v>
          </cell>
          <cell r="H684">
            <v>816000</v>
          </cell>
          <cell r="I684" t="str">
            <v>2536</v>
          </cell>
          <cell r="L684" t="str">
            <v>Tds - Int Other Than Securities</v>
          </cell>
          <cell r="M684" t="str">
            <v>TDS - INT OTHER THAN SECURITIES (193)</v>
          </cell>
          <cell r="N684" t="e">
            <v>#REF!</v>
          </cell>
          <cell r="O684" t="str">
            <v>L</v>
          </cell>
          <cell r="Q684">
            <v>8077</v>
          </cell>
          <cell r="R684">
            <v>73085</v>
          </cell>
          <cell r="U684">
            <v>-82343</v>
          </cell>
          <cell r="V684">
            <v>-9258</v>
          </cell>
          <cell r="Y684">
            <v>90420</v>
          </cell>
          <cell r="Z684">
            <v>82343</v>
          </cell>
          <cell r="AC684">
            <v>0</v>
          </cell>
          <cell r="AD684">
            <v>0</v>
          </cell>
          <cell r="AG684">
            <v>0</v>
          </cell>
          <cell r="AH684">
            <v>0</v>
          </cell>
        </row>
        <row r="685">
          <cell r="G685">
            <v>15543</v>
          </cell>
          <cell r="H685">
            <v>817000</v>
          </cell>
          <cell r="L685" t="str">
            <v>Tds/ Tcs-Adjustment (Op. Bal.)</v>
          </cell>
          <cell r="M685" t="str">
            <v>TDS/ TCS - ADJUSTMENT (OPENING BALANCE)</v>
          </cell>
          <cell r="N685" t="e">
            <v>#REF!</v>
          </cell>
          <cell r="O685" t="str">
            <v>L</v>
          </cell>
          <cell r="Q685">
            <v>0</v>
          </cell>
          <cell r="R685">
            <v>0</v>
          </cell>
          <cell r="U685">
            <v>-1</v>
          </cell>
          <cell r="V685">
            <v>-1</v>
          </cell>
          <cell r="Y685">
            <v>1</v>
          </cell>
          <cell r="Z685">
            <v>1</v>
          </cell>
          <cell r="AC685">
            <v>0</v>
          </cell>
          <cell r="AD685">
            <v>0</v>
          </cell>
          <cell r="AG685">
            <v>0</v>
          </cell>
          <cell r="AH685">
            <v>0</v>
          </cell>
        </row>
        <row r="686">
          <cell r="G686">
            <v>15556</v>
          </cell>
          <cell r="H686">
            <v>818000</v>
          </cell>
          <cell r="I686" t="str">
            <v>2541</v>
          </cell>
          <cell r="L686" t="str">
            <v>Excise Duty Payable A/C ( Fg Cl St)</v>
          </cell>
          <cell r="M686" t="str">
            <v>EXCISE DUTY PAYABLE A/C (FG CL ST)</v>
          </cell>
          <cell r="N686" t="e">
            <v>#REF!</v>
          </cell>
          <cell r="O686" t="str">
            <v>L</v>
          </cell>
          <cell r="Q686">
            <v>9323051</v>
          </cell>
          <cell r="R686">
            <v>9298618</v>
          </cell>
          <cell r="U686">
            <v>5237388</v>
          </cell>
          <cell r="V686">
            <v>5687933</v>
          </cell>
          <cell r="Y686">
            <v>2144585</v>
          </cell>
          <cell r="Z686">
            <v>1794765</v>
          </cell>
          <cell r="AC686">
            <v>595528</v>
          </cell>
          <cell r="AD686">
            <v>649320</v>
          </cell>
          <cell r="AG686">
            <v>1345550</v>
          </cell>
          <cell r="AH686">
            <v>1166600</v>
          </cell>
        </row>
        <row r="687">
          <cell r="H687">
            <v>819000</v>
          </cell>
          <cell r="I687" t="str">
            <v>2545</v>
          </cell>
          <cell r="L687" t="str">
            <v>Education Cess On Tds Deducted</v>
          </cell>
          <cell r="M687" t="e">
            <v>#N/A</v>
          </cell>
          <cell r="N687" t="e">
            <v>#REF!</v>
          </cell>
          <cell r="O687" t="str">
            <v>L</v>
          </cell>
          <cell r="Q687">
            <v>0</v>
          </cell>
          <cell r="R687">
            <v>0</v>
          </cell>
          <cell r="U687">
            <v>0</v>
          </cell>
          <cell r="V687">
            <v>0</v>
          </cell>
          <cell r="Y687">
            <v>0</v>
          </cell>
          <cell r="Z687">
            <v>0</v>
          </cell>
          <cell r="AC687">
            <v>0</v>
          </cell>
          <cell r="AD687">
            <v>0</v>
          </cell>
          <cell r="AG687">
            <v>0</v>
          </cell>
          <cell r="AH687">
            <v>0</v>
          </cell>
        </row>
        <row r="688">
          <cell r="G688">
            <v>15557</v>
          </cell>
          <cell r="H688">
            <v>820000</v>
          </cell>
          <cell r="I688" t="str">
            <v>2610</v>
          </cell>
          <cell r="L688" t="str">
            <v>Provident Fund Adjustable</v>
          </cell>
          <cell r="M688" t="str">
            <v>PROVIDENT FUND ADJUSTABLE - EMPLOYEES</v>
          </cell>
          <cell r="N688" t="e">
            <v>#REF!</v>
          </cell>
          <cell r="O688" t="str">
            <v>L</v>
          </cell>
          <cell r="Q688">
            <v>1863068</v>
          </cell>
          <cell r="R688">
            <v>1778320</v>
          </cell>
          <cell r="U688">
            <v>843539</v>
          </cell>
          <cell r="V688">
            <v>870327</v>
          </cell>
          <cell r="Y688">
            <v>834755</v>
          </cell>
          <cell r="Z688">
            <v>758187</v>
          </cell>
          <cell r="AC688">
            <v>109241</v>
          </cell>
          <cell r="AD688">
            <v>89783</v>
          </cell>
          <cell r="AG688">
            <v>75533</v>
          </cell>
          <cell r="AH688">
            <v>60023</v>
          </cell>
        </row>
        <row r="689">
          <cell r="G689">
            <v>15558</v>
          </cell>
          <cell r="H689">
            <v>821000</v>
          </cell>
          <cell r="I689" t="str">
            <v>2616</v>
          </cell>
          <cell r="L689" t="str">
            <v>Pf &amp; Fpf Adjustable-Contractors &amp; Others</v>
          </cell>
          <cell r="M689" t="str">
            <v>PROVIDENT FUND ADJUSTABLE - CONTRACTORS &amp; OTHERS</v>
          </cell>
          <cell r="N689" t="e">
            <v>#REF!</v>
          </cell>
          <cell r="O689" t="str">
            <v>L</v>
          </cell>
          <cell r="Q689">
            <v>24592</v>
          </cell>
          <cell r="R689">
            <v>22695</v>
          </cell>
          <cell r="U689">
            <v>2438</v>
          </cell>
          <cell r="V689">
            <v>2116</v>
          </cell>
          <cell r="Y689">
            <v>22154</v>
          </cell>
          <cell r="Z689">
            <v>20579</v>
          </cell>
          <cell r="AC689">
            <v>0</v>
          </cell>
          <cell r="AD689">
            <v>0</v>
          </cell>
          <cell r="AG689">
            <v>0</v>
          </cell>
          <cell r="AH689">
            <v>0</v>
          </cell>
        </row>
        <row r="690">
          <cell r="G690">
            <v>15559</v>
          </cell>
          <cell r="H690">
            <v>822000</v>
          </cell>
          <cell r="I690" t="str">
            <v>2630</v>
          </cell>
          <cell r="L690" t="str">
            <v>Professional Tax Adjustable</v>
          </cell>
          <cell r="M690" t="str">
            <v>PROFESSIONAL TAX ADJUSTABLE - EMPLOYEES</v>
          </cell>
          <cell r="N690" t="e">
            <v>#REF!</v>
          </cell>
          <cell r="O690" t="str">
            <v>L</v>
          </cell>
          <cell r="Q690">
            <v>44375</v>
          </cell>
          <cell r="R690">
            <v>44375</v>
          </cell>
          <cell r="U690">
            <v>35375</v>
          </cell>
          <cell r="V690">
            <v>36375</v>
          </cell>
          <cell r="Y690">
            <v>9000</v>
          </cell>
          <cell r="Z690">
            <v>8000</v>
          </cell>
          <cell r="AC690">
            <v>0</v>
          </cell>
          <cell r="AD690">
            <v>0</v>
          </cell>
          <cell r="AG690">
            <v>0</v>
          </cell>
          <cell r="AH690">
            <v>0</v>
          </cell>
        </row>
        <row r="691">
          <cell r="G691">
            <v>15560</v>
          </cell>
          <cell r="H691">
            <v>823000</v>
          </cell>
          <cell r="I691" t="str">
            <v>2631</v>
          </cell>
          <cell r="L691" t="str">
            <v>Professional Tax Adjustable Contractors</v>
          </cell>
          <cell r="M691" t="str">
            <v>PROFESSIONAL TAX ADJUSTABLE - CONTRACTORS &amp; OTHERS</v>
          </cell>
          <cell r="N691" t="e">
            <v>#REF!</v>
          </cell>
          <cell r="O691" t="str">
            <v>L</v>
          </cell>
          <cell r="Q691">
            <v>15375</v>
          </cell>
          <cell r="R691">
            <v>15225</v>
          </cell>
          <cell r="U691">
            <v>575</v>
          </cell>
          <cell r="V691">
            <v>350</v>
          </cell>
          <cell r="Y691">
            <v>14800</v>
          </cell>
          <cell r="Z691">
            <v>14875</v>
          </cell>
          <cell r="AC691">
            <v>0</v>
          </cell>
          <cell r="AD691">
            <v>0</v>
          </cell>
          <cell r="AG691">
            <v>0</v>
          </cell>
          <cell r="AH691">
            <v>0</v>
          </cell>
        </row>
        <row r="692">
          <cell r="G692">
            <v>15561</v>
          </cell>
          <cell r="H692">
            <v>824000</v>
          </cell>
          <cell r="I692" t="str">
            <v>2640</v>
          </cell>
          <cell r="L692" t="str">
            <v>Esic Adjustable</v>
          </cell>
          <cell r="M692" t="str">
            <v>ESIC ADJUSTABLE - EMPLOYEES</v>
          </cell>
          <cell r="N692" t="e">
            <v>#REF!</v>
          </cell>
          <cell r="O692" t="str">
            <v>L</v>
          </cell>
          <cell r="Q692">
            <v>23745</v>
          </cell>
          <cell r="R692">
            <v>1043</v>
          </cell>
          <cell r="U692">
            <v>3995</v>
          </cell>
          <cell r="V692">
            <v>5758</v>
          </cell>
          <cell r="Y692">
            <v>-3995</v>
          </cell>
          <cell r="Z692">
            <v>-4715</v>
          </cell>
          <cell r="AC692">
            <v>0</v>
          </cell>
          <cell r="AD692">
            <v>0</v>
          </cell>
          <cell r="AG692">
            <v>23745</v>
          </cell>
          <cell r="AH692">
            <v>0</v>
          </cell>
        </row>
        <row r="693">
          <cell r="G693">
            <v>15562</v>
          </cell>
          <cell r="H693">
            <v>825000</v>
          </cell>
          <cell r="I693" t="str">
            <v>2641</v>
          </cell>
          <cell r="L693" t="str">
            <v>Esic Adjustable - Contractors &amp; Others</v>
          </cell>
          <cell r="M693" t="str">
            <v>ESIC ADJUSTABLE - CONTRACTORS &amp; OTHERS</v>
          </cell>
          <cell r="N693" t="e">
            <v>#REF!</v>
          </cell>
          <cell r="O693" t="str">
            <v>L</v>
          </cell>
          <cell r="Q693">
            <v>90401</v>
          </cell>
          <cell r="R693">
            <v>123763</v>
          </cell>
          <cell r="U693">
            <v>36745</v>
          </cell>
          <cell r="V693">
            <v>59054</v>
          </cell>
          <cell r="Y693">
            <v>45350</v>
          </cell>
          <cell r="Z693">
            <v>64709</v>
          </cell>
          <cell r="AC693">
            <v>0</v>
          </cell>
          <cell r="AD693">
            <v>0</v>
          </cell>
          <cell r="AG693">
            <v>8306</v>
          </cell>
          <cell r="AH693">
            <v>0</v>
          </cell>
        </row>
        <row r="694">
          <cell r="G694">
            <v>15565</v>
          </cell>
          <cell r="H694">
            <v>826000</v>
          </cell>
          <cell r="L694" t="str">
            <v>Nmmc Cess Liability</v>
          </cell>
          <cell r="M694" t="str">
            <v>NMMC CESS LIABILITY</v>
          </cell>
          <cell r="N694" t="e">
            <v>#REF!</v>
          </cell>
          <cell r="O694" t="str">
            <v>L</v>
          </cell>
          <cell r="Q694">
            <v>0</v>
          </cell>
          <cell r="R694">
            <v>0</v>
          </cell>
          <cell r="U694">
            <v>18141410</v>
          </cell>
          <cell r="V694">
            <v>18141410</v>
          </cell>
          <cell r="Y694">
            <v>-18141410</v>
          </cell>
          <cell r="Z694">
            <v>-18141410</v>
          </cell>
          <cell r="AC694">
            <v>0</v>
          </cell>
          <cell r="AD694">
            <v>0</v>
          </cell>
          <cell r="AG694">
            <v>0</v>
          </cell>
          <cell r="AH694">
            <v>0</v>
          </cell>
        </row>
        <row r="695">
          <cell r="G695">
            <v>15613</v>
          </cell>
          <cell r="H695">
            <v>827000</v>
          </cell>
          <cell r="L695" t="str">
            <v>Liability For Tax Group</v>
          </cell>
          <cell r="M695" t="str">
            <v>LIABILITY FOR TAX Group</v>
          </cell>
          <cell r="N695" t="e">
            <v>#REF!</v>
          </cell>
          <cell r="O695" t="str">
            <v>L</v>
          </cell>
          <cell r="Q695">
            <v>3703936</v>
          </cell>
          <cell r="R695">
            <v>3318545</v>
          </cell>
          <cell r="U695">
            <v>-58051860</v>
          </cell>
          <cell r="V695">
            <v>-26045844</v>
          </cell>
          <cell r="Y695">
            <v>61755796</v>
          </cell>
          <cell r="Z695">
            <v>29364389</v>
          </cell>
          <cell r="AC695">
            <v>0</v>
          </cell>
          <cell r="AD695">
            <v>0</v>
          </cell>
          <cell r="AG695">
            <v>0</v>
          </cell>
          <cell r="AH695">
            <v>0</v>
          </cell>
        </row>
        <row r="696">
          <cell r="H696">
            <v>828000</v>
          </cell>
          <cell r="I696" t="str">
            <v>1741</v>
          </cell>
          <cell r="L696" t="str">
            <v>Share Refund  Pcd</v>
          </cell>
          <cell r="M696" t="e">
            <v>#N/A</v>
          </cell>
          <cell r="N696" t="e">
            <v>#REF!</v>
          </cell>
          <cell r="O696" t="str">
            <v>L</v>
          </cell>
          <cell r="Q696">
            <v>0</v>
          </cell>
          <cell r="R696">
            <v>0</v>
          </cell>
          <cell r="U696">
            <v>0</v>
          </cell>
          <cell r="V696">
            <v>0</v>
          </cell>
          <cell r="Y696">
            <v>0</v>
          </cell>
          <cell r="Z696">
            <v>0</v>
          </cell>
          <cell r="AC696">
            <v>0</v>
          </cell>
          <cell r="AD696">
            <v>0</v>
          </cell>
          <cell r="AG696">
            <v>0</v>
          </cell>
          <cell r="AH696">
            <v>0</v>
          </cell>
        </row>
        <row r="697">
          <cell r="H697">
            <v>829000</v>
          </cell>
          <cell r="I697" t="str">
            <v>3541</v>
          </cell>
          <cell r="L697" t="str">
            <v>Advance Hp (Sale Of Property)</v>
          </cell>
          <cell r="M697" t="e">
            <v>#N/A</v>
          </cell>
          <cell r="N697" t="e">
            <v>#REF!</v>
          </cell>
          <cell r="O697" t="str">
            <v>L</v>
          </cell>
          <cell r="Q697">
            <v>0</v>
          </cell>
          <cell r="R697">
            <v>0</v>
          </cell>
          <cell r="U697">
            <v>0</v>
          </cell>
          <cell r="V697">
            <v>0</v>
          </cell>
          <cell r="Y697">
            <v>0</v>
          </cell>
          <cell r="Z697">
            <v>0</v>
          </cell>
          <cell r="AC697">
            <v>0</v>
          </cell>
          <cell r="AD697">
            <v>0</v>
          </cell>
          <cell r="AG697">
            <v>0</v>
          </cell>
          <cell r="AH697">
            <v>0</v>
          </cell>
        </row>
        <row r="698">
          <cell r="G698">
            <v>15531</v>
          </cell>
          <cell r="H698">
            <v>830000</v>
          </cell>
          <cell r="L698" t="str">
            <v>Purchase Tax Payable (Vat)</v>
          </cell>
          <cell r="M698" t="str">
            <v>PURCHASE TAX PAYABLE (vat)</v>
          </cell>
          <cell r="N698" t="e">
            <v>#REF!</v>
          </cell>
          <cell r="O698" t="str">
            <v>L</v>
          </cell>
          <cell r="Q698">
            <v>0</v>
          </cell>
          <cell r="R698">
            <v>0</v>
          </cell>
          <cell r="U698">
            <v>2484</v>
          </cell>
          <cell r="V698">
            <v>2484</v>
          </cell>
          <cell r="Y698">
            <v>-2484</v>
          </cell>
          <cell r="Z698">
            <v>-2484</v>
          </cell>
          <cell r="AC698">
            <v>0</v>
          </cell>
          <cell r="AD698">
            <v>0</v>
          </cell>
          <cell r="AG698">
            <v>0</v>
          </cell>
          <cell r="AH698">
            <v>0</v>
          </cell>
        </row>
        <row r="699">
          <cell r="H699">
            <v>831000</v>
          </cell>
          <cell r="L699" t="str">
            <v>Regroup Of Stat Dues Provided In Liab For Exp</v>
          </cell>
          <cell r="M699" t="e">
            <v>#N/A</v>
          </cell>
          <cell r="N699" t="e">
            <v>#REF!</v>
          </cell>
          <cell r="O699" t="str">
            <v>L</v>
          </cell>
          <cell r="Q699">
            <v>0</v>
          </cell>
          <cell r="R699">
            <v>0</v>
          </cell>
          <cell r="U699">
            <v>0</v>
          </cell>
          <cell r="V699">
            <v>0</v>
          </cell>
          <cell r="Y699">
            <v>0</v>
          </cell>
          <cell r="Z699">
            <v>0</v>
          </cell>
          <cell r="AC699">
            <v>0</v>
          </cell>
          <cell r="AD699">
            <v>0</v>
          </cell>
          <cell r="AG699">
            <v>0</v>
          </cell>
          <cell r="AH699">
            <v>0</v>
          </cell>
        </row>
        <row r="700">
          <cell r="H700">
            <v>832000</v>
          </cell>
          <cell r="L700" t="str">
            <v>Rgrp of Custom Duty Paid-Bal with Govt. Authorities</v>
          </cell>
          <cell r="M700" t="e">
            <v>#N/A</v>
          </cell>
          <cell r="N700" t="e">
            <v>#REF!</v>
          </cell>
          <cell r="O700" t="str">
            <v>L</v>
          </cell>
          <cell r="Q700">
            <v>0</v>
          </cell>
          <cell r="R700">
            <v>0</v>
          </cell>
          <cell r="AC700">
            <v>0</v>
          </cell>
          <cell r="AD700">
            <v>0</v>
          </cell>
          <cell r="AG700">
            <v>0</v>
          </cell>
          <cell r="AH700">
            <v>0</v>
          </cell>
        </row>
        <row r="701">
          <cell r="H701">
            <v>833000</v>
          </cell>
          <cell r="J701">
            <v>0</v>
          </cell>
          <cell r="K701" t="str">
            <v>Statutory Dues Payable</v>
          </cell>
          <cell r="M701" t="e">
            <v>#N/A</v>
          </cell>
          <cell r="N701" t="e">
            <v>#REF!</v>
          </cell>
          <cell r="O701" t="str">
            <v>L</v>
          </cell>
          <cell r="P701">
            <v>0</v>
          </cell>
          <cell r="Q701">
            <v>21184494</v>
          </cell>
          <cell r="R701">
            <v>18705524</v>
          </cell>
          <cell r="T701">
            <v>0</v>
          </cell>
          <cell r="U701">
            <v>-32955341</v>
          </cell>
          <cell r="V701">
            <v>-2021481</v>
          </cell>
          <cell r="X701">
            <v>0</v>
          </cell>
          <cell r="Y701">
            <v>50212531</v>
          </cell>
          <cell r="Z701">
            <v>17354219</v>
          </cell>
          <cell r="AB701">
            <v>0</v>
          </cell>
          <cell r="AC701">
            <v>1510431</v>
          </cell>
          <cell r="AD701">
            <v>1392661</v>
          </cell>
          <cell r="AF701">
            <v>0</v>
          </cell>
          <cell r="AG701">
            <v>2416873</v>
          </cell>
          <cell r="AH701">
            <v>1980125</v>
          </cell>
        </row>
        <row r="702">
          <cell r="H702">
            <v>834000</v>
          </cell>
          <cell r="K702" t="str">
            <v>PAYABLE TO FIXED ASSETS</v>
          </cell>
          <cell r="M702" t="e">
            <v>#N/A</v>
          </cell>
          <cell r="N702" t="e">
            <v>#REF!</v>
          </cell>
          <cell r="O702" t="str">
            <v>L</v>
          </cell>
          <cell r="U702">
            <v>0</v>
          </cell>
          <cell r="V702">
            <v>0</v>
          </cell>
          <cell r="Y702">
            <v>0</v>
          </cell>
          <cell r="Z702">
            <v>0</v>
          </cell>
        </row>
        <row r="703">
          <cell r="H703">
            <v>835000</v>
          </cell>
          <cell r="L703" t="str">
            <v>Payable For Fixed Assets</v>
          </cell>
          <cell r="M703" t="e">
            <v>#N/A</v>
          </cell>
          <cell r="N703" t="e">
            <v>#REF!</v>
          </cell>
          <cell r="O703" t="str">
            <v>L</v>
          </cell>
          <cell r="Q703">
            <v>0</v>
          </cell>
          <cell r="R703">
            <v>0</v>
          </cell>
          <cell r="U703">
            <v>0</v>
          </cell>
          <cell r="V703">
            <v>0</v>
          </cell>
          <cell r="X703">
            <v>0</v>
          </cell>
          <cell r="Y703">
            <v>0</v>
          </cell>
          <cell r="Z703">
            <v>0</v>
          </cell>
          <cell r="AB703">
            <v>0</v>
          </cell>
          <cell r="AC703">
            <v>0</v>
          </cell>
          <cell r="AD703">
            <v>0</v>
          </cell>
          <cell r="AF703">
            <v>0</v>
          </cell>
          <cell r="AG703">
            <v>0</v>
          </cell>
          <cell r="AH703">
            <v>0</v>
          </cell>
        </row>
        <row r="704">
          <cell r="H704">
            <v>836000</v>
          </cell>
          <cell r="O704" t="str">
            <v>L</v>
          </cell>
        </row>
        <row r="705">
          <cell r="H705">
            <v>837000</v>
          </cell>
          <cell r="K705" t="str">
            <v>PAYABLE TO FIXED ASSETS</v>
          </cell>
          <cell r="M705" t="e">
            <v>#N/A</v>
          </cell>
          <cell r="N705" t="e">
            <v>#REF!</v>
          </cell>
          <cell r="O705" t="str">
            <v>L</v>
          </cell>
          <cell r="P705">
            <v>0</v>
          </cell>
          <cell r="Q705">
            <v>0</v>
          </cell>
          <cell r="R705">
            <v>0</v>
          </cell>
          <cell r="T705">
            <v>0</v>
          </cell>
          <cell r="U705">
            <v>0</v>
          </cell>
          <cell r="V705">
            <v>0</v>
          </cell>
          <cell r="X705">
            <v>0</v>
          </cell>
          <cell r="Y705">
            <v>0</v>
          </cell>
          <cell r="Z705">
            <v>0</v>
          </cell>
          <cell r="AB705">
            <v>0</v>
          </cell>
          <cell r="AC705">
            <v>0</v>
          </cell>
          <cell r="AD705">
            <v>0</v>
          </cell>
          <cell r="AF705">
            <v>0</v>
          </cell>
          <cell r="AG705">
            <v>0</v>
          </cell>
          <cell r="AH705">
            <v>0</v>
          </cell>
        </row>
        <row r="706">
          <cell r="H706">
            <v>838000</v>
          </cell>
          <cell r="K706" t="str">
            <v>OUTSTANDING EXPENSES</v>
          </cell>
          <cell r="O706" t="str">
            <v>L</v>
          </cell>
          <cell r="AG706">
            <v>0</v>
          </cell>
        </row>
        <row r="707">
          <cell r="G707">
            <v>15435</v>
          </cell>
          <cell r="H707">
            <v>839000</v>
          </cell>
          <cell r="I707" t="str">
            <v>1511</v>
          </cell>
          <cell r="L707" t="str">
            <v>Bl - Liability Travel</v>
          </cell>
          <cell r="M707" t="str">
            <v>BL - LIABILITY TRAVEL</v>
          </cell>
          <cell r="N707" t="e">
            <v>#REF!</v>
          </cell>
          <cell r="O707" t="str">
            <v>L</v>
          </cell>
          <cell r="Q707">
            <v>0</v>
          </cell>
          <cell r="R707">
            <v>0</v>
          </cell>
          <cell r="U707">
            <v>-97284</v>
          </cell>
          <cell r="V707">
            <v>-97284</v>
          </cell>
          <cell r="Y707">
            <v>97284</v>
          </cell>
          <cell r="Z707">
            <v>97284</v>
          </cell>
          <cell r="AC707">
            <v>0</v>
          </cell>
          <cell r="AD707">
            <v>0</v>
          </cell>
          <cell r="AG707">
            <v>0</v>
          </cell>
          <cell r="AH707">
            <v>0</v>
          </cell>
        </row>
        <row r="708">
          <cell r="G708">
            <v>15566</v>
          </cell>
          <cell r="H708">
            <v>840000</v>
          </cell>
          <cell r="I708" t="str">
            <v>1610</v>
          </cell>
          <cell r="L708" t="str">
            <v>Liab For Exp</v>
          </cell>
          <cell r="M708" t="str">
            <v>LIABILITY FOR CAPEX</v>
          </cell>
          <cell r="N708" t="e">
            <v>#REF!</v>
          </cell>
          <cell r="O708" t="str">
            <v>L</v>
          </cell>
          <cell r="Q708">
            <v>0</v>
          </cell>
          <cell r="R708">
            <v>460401</v>
          </cell>
          <cell r="U708">
            <v>0</v>
          </cell>
          <cell r="V708">
            <v>61000</v>
          </cell>
          <cell r="Y708">
            <v>0</v>
          </cell>
          <cell r="Z708">
            <v>399401</v>
          </cell>
          <cell r="AC708">
            <v>0</v>
          </cell>
          <cell r="AD708">
            <v>0</v>
          </cell>
          <cell r="AG708">
            <v>0</v>
          </cell>
          <cell r="AH708">
            <v>0</v>
          </cell>
        </row>
        <row r="709">
          <cell r="H709">
            <v>841000</v>
          </cell>
          <cell r="I709" t="str">
            <v>1619</v>
          </cell>
          <cell r="L709" t="str">
            <v>Liabilities For Expenses -2008-09</v>
          </cell>
          <cell r="M709" t="e">
            <v>#N/A</v>
          </cell>
          <cell r="N709" t="e">
            <v>#REF!</v>
          </cell>
          <cell r="O709" t="str">
            <v>L</v>
          </cell>
          <cell r="Q709">
            <v>0</v>
          </cell>
          <cell r="R709">
            <v>0</v>
          </cell>
          <cell r="U709">
            <v>0</v>
          </cell>
          <cell r="V709">
            <v>0</v>
          </cell>
          <cell r="Y709">
            <v>0</v>
          </cell>
          <cell r="Z709">
            <v>0</v>
          </cell>
          <cell r="AC709">
            <v>0</v>
          </cell>
          <cell r="AD709">
            <v>0</v>
          </cell>
          <cell r="AG709">
            <v>0</v>
          </cell>
          <cell r="AH709">
            <v>0</v>
          </cell>
        </row>
        <row r="710">
          <cell r="I710" t="str">
            <v>1620</v>
          </cell>
          <cell r="L710" t="str">
            <v>Liability Account Retention Money</v>
          </cell>
          <cell r="Q710">
            <v>0</v>
          </cell>
          <cell r="R710">
            <v>0</v>
          </cell>
          <cell r="U710">
            <v>0</v>
          </cell>
          <cell r="V710">
            <v>0</v>
          </cell>
          <cell r="Y710">
            <v>0</v>
          </cell>
          <cell r="Z710">
            <v>0</v>
          </cell>
          <cell r="AC710">
            <v>0</v>
          </cell>
          <cell r="AD710">
            <v>0</v>
          </cell>
          <cell r="AG710">
            <v>0</v>
          </cell>
          <cell r="AH710">
            <v>0</v>
          </cell>
        </row>
        <row r="711">
          <cell r="G711">
            <v>15470</v>
          </cell>
          <cell r="H711">
            <v>842000</v>
          </cell>
          <cell r="I711" t="str">
            <v>1621</v>
          </cell>
          <cell r="L711" t="str">
            <v>Liabilities For Expenses -2009-10</v>
          </cell>
          <cell r="M711" t="str">
            <v>LIABILITY FOR EXPENSES (OLD [UPTO 2010])</v>
          </cell>
          <cell r="N711" t="e">
            <v>#REF!</v>
          </cell>
          <cell r="O711" t="str">
            <v>L</v>
          </cell>
          <cell r="Q711">
            <v>342834</v>
          </cell>
          <cell r="R711">
            <v>1074889</v>
          </cell>
          <cell r="U711">
            <v>90245</v>
          </cell>
          <cell r="V711">
            <v>803514</v>
          </cell>
          <cell r="Y711">
            <v>252589</v>
          </cell>
          <cell r="Z711">
            <v>260036</v>
          </cell>
          <cell r="AC711">
            <v>0</v>
          </cell>
          <cell r="AD711">
            <v>11339</v>
          </cell>
          <cell r="AG711">
            <v>0</v>
          </cell>
          <cell r="AH711">
            <v>0</v>
          </cell>
        </row>
        <row r="712">
          <cell r="G712">
            <v>15436</v>
          </cell>
          <cell r="H712">
            <v>843000</v>
          </cell>
          <cell r="I712" t="str">
            <v>1622</v>
          </cell>
          <cell r="L712" t="str">
            <v>Liabilities For Expenses -2010-11</v>
          </cell>
          <cell r="M712" t="str">
            <v>LIABILITY FOR EXPENSES (2010-11)</v>
          </cell>
          <cell r="N712" t="e">
            <v>#REF!</v>
          </cell>
          <cell r="O712" t="str">
            <v>L</v>
          </cell>
          <cell r="Q712">
            <v>466653</v>
          </cell>
          <cell r="R712">
            <v>2289117</v>
          </cell>
          <cell r="U712">
            <v>104612</v>
          </cell>
          <cell r="V712">
            <v>1272753</v>
          </cell>
          <cell r="Y712">
            <v>341058</v>
          </cell>
          <cell r="Z712">
            <v>893757</v>
          </cell>
          <cell r="AC712">
            <v>20983</v>
          </cell>
          <cell r="AD712">
            <v>122607</v>
          </cell>
          <cell r="AG712">
            <v>0</v>
          </cell>
          <cell r="AH712">
            <v>0</v>
          </cell>
        </row>
        <row r="713">
          <cell r="G713">
            <v>15459</v>
          </cell>
          <cell r="H713">
            <v>844000</v>
          </cell>
          <cell r="I713" t="str">
            <v>1623</v>
          </cell>
          <cell r="L713" t="str">
            <v>Liability For Exp. (11-12)</v>
          </cell>
          <cell r="M713" t="str">
            <v>LIABILITY FOR EXPENSES (2011-12)</v>
          </cell>
          <cell r="N713" t="e">
            <v>#REF!</v>
          </cell>
          <cell r="O713" t="str">
            <v>L</v>
          </cell>
          <cell r="Q713">
            <v>1457373</v>
          </cell>
          <cell r="R713">
            <v>2035832</v>
          </cell>
          <cell r="U713">
            <v>1270183</v>
          </cell>
          <cell r="V713">
            <v>1848642</v>
          </cell>
          <cell r="Y713">
            <v>187190</v>
          </cell>
          <cell r="Z713">
            <v>187190</v>
          </cell>
          <cell r="AC713">
            <v>0</v>
          </cell>
          <cell r="AD713">
            <v>0</v>
          </cell>
          <cell r="AG713">
            <v>0</v>
          </cell>
          <cell r="AH713">
            <v>0</v>
          </cell>
        </row>
        <row r="714">
          <cell r="G714">
            <v>15462</v>
          </cell>
          <cell r="H714">
            <v>845000</v>
          </cell>
          <cell r="I714" t="str">
            <v>1624</v>
          </cell>
          <cell r="L714" t="str">
            <v>Liability For Expenses [ 2012-13]</v>
          </cell>
          <cell r="M714" t="str">
            <v>LIABILITY FOR EXPENSES (2012-13)</v>
          </cell>
          <cell r="N714" t="e">
            <v>#REF!</v>
          </cell>
          <cell r="O714" t="str">
            <v>L</v>
          </cell>
          <cell r="Q714">
            <v>2493079</v>
          </cell>
          <cell r="R714">
            <v>2714445</v>
          </cell>
          <cell r="U714">
            <v>1221624</v>
          </cell>
          <cell r="V714">
            <v>1187747</v>
          </cell>
          <cell r="Y714">
            <v>829420</v>
          </cell>
          <cell r="Z714">
            <v>841398</v>
          </cell>
          <cell r="AC714">
            <v>438985</v>
          </cell>
          <cell r="AD714">
            <v>681917</v>
          </cell>
          <cell r="AG714">
            <v>3050</v>
          </cell>
          <cell r="AH714">
            <v>3383</v>
          </cell>
        </row>
        <row r="715">
          <cell r="G715">
            <v>15457</v>
          </cell>
          <cell r="H715">
            <v>846000</v>
          </cell>
          <cell r="L715" t="str">
            <v>Liability For Misc. Charges-(Fera)</v>
          </cell>
          <cell r="M715" t="str">
            <v>*** NOT TO USE *** LIABILITY FOR MISC. CHG (FERA)</v>
          </cell>
          <cell r="N715" t="e">
            <v>#REF!</v>
          </cell>
          <cell r="O715" t="str">
            <v>L</v>
          </cell>
          <cell r="Q715">
            <v>280</v>
          </cell>
          <cell r="R715">
            <v>280</v>
          </cell>
          <cell r="U715">
            <v>-2810</v>
          </cell>
          <cell r="V715">
            <v>-2810</v>
          </cell>
          <cell r="Y715">
            <v>3090</v>
          </cell>
          <cell r="Z715">
            <v>3090</v>
          </cell>
          <cell r="AC715">
            <v>0</v>
          </cell>
          <cell r="AD715">
            <v>0</v>
          </cell>
          <cell r="AG715">
            <v>0</v>
          </cell>
          <cell r="AH715">
            <v>0</v>
          </cell>
        </row>
        <row r="716">
          <cell r="G716">
            <v>15458</v>
          </cell>
          <cell r="H716">
            <v>847000</v>
          </cell>
          <cell r="L716" t="str">
            <v>Liability For Clg. Frd. Charges-(Fera)</v>
          </cell>
          <cell r="M716" t="str">
            <v>LIABILITY FOR CLG FRD CHG (FERA)</v>
          </cell>
          <cell r="N716" t="e">
            <v>#REF!</v>
          </cell>
          <cell r="O716" t="str">
            <v>L</v>
          </cell>
          <cell r="Q716">
            <v>-18860</v>
          </cell>
          <cell r="R716">
            <v>338597</v>
          </cell>
          <cell r="U716">
            <v>615442</v>
          </cell>
          <cell r="V716">
            <v>621641</v>
          </cell>
          <cell r="Y716">
            <v>-634302</v>
          </cell>
          <cell r="Z716">
            <v>-283044</v>
          </cell>
          <cell r="AC716">
            <v>0</v>
          </cell>
          <cell r="AD716">
            <v>0</v>
          </cell>
          <cell r="AG716">
            <v>0</v>
          </cell>
          <cell r="AH716">
            <v>0</v>
          </cell>
        </row>
        <row r="717">
          <cell r="G717">
            <v>15461</v>
          </cell>
          <cell r="H717">
            <v>848000</v>
          </cell>
          <cell r="L717" t="str">
            <v>Liability Of Freight In (Fob) Export</v>
          </cell>
          <cell r="M717" t="str">
            <v>LIABILITY OF FREIGHT IN (FOB) EXPORT</v>
          </cell>
          <cell r="N717" t="e">
            <v>#REF!</v>
          </cell>
          <cell r="O717" t="str">
            <v>L</v>
          </cell>
          <cell r="Q717">
            <v>0</v>
          </cell>
          <cell r="R717">
            <v>0</v>
          </cell>
          <cell r="U717">
            <v>0</v>
          </cell>
          <cell r="V717">
            <v>0</v>
          </cell>
          <cell r="Y717">
            <v>0</v>
          </cell>
          <cell r="Z717">
            <v>0</v>
          </cell>
          <cell r="AC717">
            <v>0</v>
          </cell>
          <cell r="AD717">
            <v>0</v>
          </cell>
          <cell r="AG717">
            <v>0</v>
          </cell>
          <cell r="AH717">
            <v>0</v>
          </cell>
        </row>
        <row r="718">
          <cell r="G718">
            <v>15463</v>
          </cell>
          <cell r="H718">
            <v>849000</v>
          </cell>
          <cell r="I718" t="str">
            <v>1625</v>
          </cell>
          <cell r="L718" t="str">
            <v>LIABILITY FOR EXPENSES (2013-14)</v>
          </cell>
          <cell r="M718" t="str">
            <v>LIABILITY FOR EXPENSES (2013-14)</v>
          </cell>
          <cell r="N718" t="e">
            <v>#REF!</v>
          </cell>
          <cell r="O718" t="str">
            <v>L</v>
          </cell>
          <cell r="Q718">
            <v>1162166</v>
          </cell>
          <cell r="R718">
            <v>1339860</v>
          </cell>
          <cell r="U718">
            <v>2662582</v>
          </cell>
          <cell r="V718">
            <v>2662582</v>
          </cell>
          <cell r="Y718">
            <v>-1573699</v>
          </cell>
          <cell r="Z718">
            <v>-1573699</v>
          </cell>
          <cell r="AC718">
            <v>14596</v>
          </cell>
          <cell r="AD718">
            <v>181657</v>
          </cell>
          <cell r="AG718">
            <v>58687</v>
          </cell>
          <cell r="AH718">
            <v>69320</v>
          </cell>
        </row>
        <row r="719">
          <cell r="G719">
            <v>15464</v>
          </cell>
          <cell r="I719" t="str">
            <v>1626</v>
          </cell>
          <cell r="L719" t="str">
            <v>LIABILITY FOR EXPENSES (2014-15)</v>
          </cell>
          <cell r="O719" t="str">
            <v>L</v>
          </cell>
          <cell r="Q719">
            <v>1923305</v>
          </cell>
          <cell r="R719">
            <v>42965338</v>
          </cell>
          <cell r="U719">
            <v>2010029</v>
          </cell>
          <cell r="V719">
            <v>20692183</v>
          </cell>
          <cell r="Y719">
            <v>-159269</v>
          </cell>
          <cell r="Z719">
            <v>17574365</v>
          </cell>
          <cell r="AC719">
            <v>45354</v>
          </cell>
          <cell r="AD719">
            <v>2608098</v>
          </cell>
          <cell r="AG719">
            <v>27191</v>
          </cell>
          <cell r="AH719">
            <v>2090692</v>
          </cell>
        </row>
        <row r="720">
          <cell r="G720">
            <v>15465</v>
          </cell>
          <cell r="I720" t="str">
            <v>1627</v>
          </cell>
          <cell r="L720" t="str">
            <v>LIABILITY FOR EXPENSES (2015-16)</v>
          </cell>
          <cell r="O720" t="str">
            <v>L</v>
          </cell>
          <cell r="Q720">
            <v>68807150</v>
          </cell>
          <cell r="R720">
            <v>0</v>
          </cell>
          <cell r="U720">
            <v>41295951</v>
          </cell>
          <cell r="V720">
            <v>0</v>
          </cell>
          <cell r="Y720">
            <v>21433811</v>
          </cell>
          <cell r="Z720">
            <v>0</v>
          </cell>
          <cell r="AC720">
            <v>3542164</v>
          </cell>
          <cell r="AD720">
            <v>0</v>
          </cell>
          <cell r="AG720">
            <v>2535224</v>
          </cell>
          <cell r="AH720">
            <v>0</v>
          </cell>
        </row>
        <row r="721">
          <cell r="G721">
            <v>15607</v>
          </cell>
          <cell r="H721">
            <v>850000</v>
          </cell>
          <cell r="L721" t="str">
            <v>Import Duty Payable A/C</v>
          </cell>
          <cell r="M721" t="str">
            <v>IMPORT DUTY PAYABLE A/C</v>
          </cell>
          <cell r="N721" t="e">
            <v>#REF!</v>
          </cell>
          <cell r="O721" t="str">
            <v>L</v>
          </cell>
          <cell r="Q721">
            <v>0</v>
          </cell>
          <cell r="R721">
            <v>0</v>
          </cell>
          <cell r="U721">
            <v>-4886092</v>
          </cell>
          <cell r="V721">
            <v>-4888366</v>
          </cell>
          <cell r="Y721">
            <v>4886092</v>
          </cell>
          <cell r="Z721">
            <v>4888366</v>
          </cell>
          <cell r="AC721">
            <v>0</v>
          </cell>
          <cell r="AD721">
            <v>0</v>
          </cell>
          <cell r="AG721">
            <v>0</v>
          </cell>
          <cell r="AH721">
            <v>0</v>
          </cell>
        </row>
        <row r="722">
          <cell r="G722">
            <v>15564</v>
          </cell>
          <cell r="H722">
            <v>851000</v>
          </cell>
          <cell r="I722" t="str">
            <v>1675</v>
          </cell>
          <cell r="L722" t="str">
            <v>Reimb. Of Expenses To Be Incurred On Delisting Of Shares</v>
          </cell>
          <cell r="M722" t="str">
            <v>REIMB. OF EXP TO BE INCURRED ON DELISTING OF SHARES</v>
          </cell>
          <cell r="N722" t="e">
            <v>#REF!</v>
          </cell>
          <cell r="O722" t="str">
            <v>L</v>
          </cell>
          <cell r="Q722">
            <v>233633</v>
          </cell>
          <cell r="R722">
            <v>233633</v>
          </cell>
          <cell r="U722">
            <v>233633</v>
          </cell>
          <cell r="V722">
            <v>233633</v>
          </cell>
          <cell r="Y722">
            <v>0</v>
          </cell>
          <cell r="Z722">
            <v>0</v>
          </cell>
          <cell r="AC722">
            <v>0</v>
          </cell>
          <cell r="AD722">
            <v>0</v>
          </cell>
          <cell r="AG722">
            <v>0</v>
          </cell>
          <cell r="AH722">
            <v>0</v>
          </cell>
        </row>
        <row r="723">
          <cell r="G723">
            <v>15439</v>
          </cell>
          <cell r="H723">
            <v>852000</v>
          </cell>
          <cell r="I723" t="str">
            <v>1730</v>
          </cell>
          <cell r="L723" t="str">
            <v>Share Appln Money  Boi</v>
          </cell>
          <cell r="M723" t="str">
            <v>SHARE APPLN MONEY BOI</v>
          </cell>
          <cell r="N723" t="e">
            <v>#REF!</v>
          </cell>
          <cell r="O723" t="str">
            <v>L</v>
          </cell>
          <cell r="Q723">
            <v>1550</v>
          </cell>
          <cell r="R723">
            <v>1550</v>
          </cell>
          <cell r="U723">
            <v>1550</v>
          </cell>
          <cell r="V723">
            <v>1550</v>
          </cell>
          <cell r="Y723">
            <v>0</v>
          </cell>
          <cell r="Z723">
            <v>0</v>
          </cell>
          <cell r="AC723">
            <v>0</v>
          </cell>
          <cell r="AD723">
            <v>0</v>
          </cell>
          <cell r="AG723">
            <v>0</v>
          </cell>
          <cell r="AH723">
            <v>0</v>
          </cell>
        </row>
        <row r="724">
          <cell r="G724">
            <v>15443</v>
          </cell>
          <cell r="H724">
            <v>853000</v>
          </cell>
          <cell r="I724" t="str">
            <v>2681</v>
          </cell>
          <cell r="L724" t="str">
            <v>The Chembur Nagrik Sahakari Bank-Adjustable</v>
          </cell>
          <cell r="M724" t="str">
            <v>BANK LOAN ADJUSTABLE A/C</v>
          </cell>
          <cell r="N724" t="e">
            <v>#REF!</v>
          </cell>
          <cell r="O724" t="str">
            <v>L</v>
          </cell>
          <cell r="Q724">
            <v>632811</v>
          </cell>
          <cell r="R724">
            <v>393228</v>
          </cell>
          <cell r="U724">
            <v>649163</v>
          </cell>
          <cell r="V724">
            <v>494778</v>
          </cell>
          <cell r="Y724">
            <v>-16352</v>
          </cell>
          <cell r="Z724">
            <v>-101550</v>
          </cell>
          <cell r="AC724">
            <v>0</v>
          </cell>
          <cell r="AD724">
            <v>0</v>
          </cell>
          <cell r="AG724">
            <v>0</v>
          </cell>
          <cell r="AH724">
            <v>0</v>
          </cell>
        </row>
        <row r="725">
          <cell r="G725">
            <v>15445</v>
          </cell>
          <cell r="H725">
            <v>854000</v>
          </cell>
          <cell r="I725" t="str">
            <v>2682</v>
          </cell>
          <cell r="L725" t="str">
            <v>Misc Deduction Salary Adjustable A/C</v>
          </cell>
          <cell r="M725" t="str">
            <v>MISC DEDUCTION SALARY ADJUSTABLE A/C</v>
          </cell>
          <cell r="N725" t="e">
            <v>#REF!</v>
          </cell>
          <cell r="O725" t="str">
            <v>L</v>
          </cell>
          <cell r="Q725">
            <v>64294</v>
          </cell>
          <cell r="R725">
            <v>35958</v>
          </cell>
          <cell r="U725">
            <v>188422</v>
          </cell>
          <cell r="V725">
            <v>174148</v>
          </cell>
          <cell r="Y725">
            <v>-124128</v>
          </cell>
          <cell r="Z725">
            <v>-138190</v>
          </cell>
          <cell r="AC725">
            <v>0</v>
          </cell>
          <cell r="AD725">
            <v>0</v>
          </cell>
          <cell r="AG725">
            <v>0</v>
          </cell>
          <cell r="AH725">
            <v>0</v>
          </cell>
        </row>
        <row r="726">
          <cell r="G726">
            <v>15444</v>
          </cell>
          <cell r="H726">
            <v>855000</v>
          </cell>
          <cell r="I726" t="str">
            <v>2690</v>
          </cell>
          <cell r="L726" t="str">
            <v>L I C Adjustable</v>
          </cell>
          <cell r="M726" t="str">
            <v>L I C ADJUSTABLE</v>
          </cell>
          <cell r="N726" t="e">
            <v>#REF!</v>
          </cell>
          <cell r="O726" t="str">
            <v>L</v>
          </cell>
          <cell r="Q726">
            <v>156817</v>
          </cell>
          <cell r="R726">
            <v>156125</v>
          </cell>
          <cell r="U726">
            <v>132446</v>
          </cell>
          <cell r="V726">
            <v>126847</v>
          </cell>
          <cell r="Y726">
            <v>24371</v>
          </cell>
          <cell r="Z726">
            <v>29278</v>
          </cell>
          <cell r="AC726">
            <v>0</v>
          </cell>
          <cell r="AD726">
            <v>0</v>
          </cell>
          <cell r="AG726">
            <v>0</v>
          </cell>
          <cell r="AH726">
            <v>0</v>
          </cell>
        </row>
        <row r="727">
          <cell r="G727">
            <v>15446</v>
          </cell>
          <cell r="H727">
            <v>856000</v>
          </cell>
          <cell r="I727" t="str">
            <v>2700</v>
          </cell>
          <cell r="L727" t="str">
            <v>Employees Co-Op Credit Society</v>
          </cell>
          <cell r="M727" t="str">
            <v>EMPLOYEES CO-OP CREDIT SOCIETY</v>
          </cell>
          <cell r="N727" t="e">
            <v>#REF!</v>
          </cell>
          <cell r="O727" t="str">
            <v>L</v>
          </cell>
          <cell r="Q727">
            <v>622633</v>
          </cell>
          <cell r="R727">
            <v>537043</v>
          </cell>
          <cell r="U727">
            <v>311366</v>
          </cell>
          <cell r="V727">
            <v>311777</v>
          </cell>
          <cell r="Y727">
            <v>311267</v>
          </cell>
          <cell r="Z727">
            <v>225266</v>
          </cell>
          <cell r="AC727">
            <v>0</v>
          </cell>
          <cell r="AD727">
            <v>0</v>
          </cell>
          <cell r="AG727">
            <v>0</v>
          </cell>
          <cell r="AH727">
            <v>0</v>
          </cell>
        </row>
        <row r="728">
          <cell r="G728">
            <v>15447</v>
          </cell>
          <cell r="H728">
            <v>857000</v>
          </cell>
          <cell r="I728" t="str">
            <v>2710</v>
          </cell>
          <cell r="L728" t="str">
            <v>Housing Loan Adjustable A/C</v>
          </cell>
          <cell r="M728" t="str">
            <v>HOUSING LOAN ADJUSTABLE A/C</v>
          </cell>
          <cell r="N728" t="e">
            <v>#REF!</v>
          </cell>
          <cell r="O728" t="str">
            <v>L</v>
          </cell>
          <cell r="Q728">
            <v>23274</v>
          </cell>
          <cell r="R728">
            <v>25039</v>
          </cell>
          <cell r="U728">
            <v>0</v>
          </cell>
          <cell r="V728">
            <v>0</v>
          </cell>
          <cell r="Y728">
            <v>23274</v>
          </cell>
          <cell r="Z728">
            <v>25039</v>
          </cell>
          <cell r="AC728">
            <v>0</v>
          </cell>
          <cell r="AD728">
            <v>0</v>
          </cell>
          <cell r="AG728">
            <v>0</v>
          </cell>
          <cell r="AH728">
            <v>0</v>
          </cell>
        </row>
        <row r="729">
          <cell r="G729">
            <v>15450</v>
          </cell>
          <cell r="H729">
            <v>858000</v>
          </cell>
          <cell r="I729" t="str">
            <v>2760</v>
          </cell>
          <cell r="L729" t="str">
            <v>Coin Adj</v>
          </cell>
          <cell r="M729" t="str">
            <v>COIN ADJ</v>
          </cell>
          <cell r="N729" t="e">
            <v>#REF!</v>
          </cell>
          <cell r="O729" t="str">
            <v>L</v>
          </cell>
          <cell r="Q729">
            <v>-77912</v>
          </cell>
          <cell r="R729">
            <v>-76178</v>
          </cell>
          <cell r="U729">
            <v>-2198</v>
          </cell>
          <cell r="V729">
            <v>-171</v>
          </cell>
          <cell r="Y729">
            <v>-79185</v>
          </cell>
          <cell r="Z729">
            <v>-79498</v>
          </cell>
          <cell r="AC729">
            <v>3523</v>
          </cell>
          <cell r="AD729">
            <v>3431</v>
          </cell>
          <cell r="AG729">
            <v>-52</v>
          </cell>
          <cell r="AH729">
            <v>60</v>
          </cell>
        </row>
        <row r="730">
          <cell r="G730">
            <v>12140</v>
          </cell>
          <cell r="H730">
            <v>859000</v>
          </cell>
          <cell r="L730" t="str">
            <v>ROUNDING OF DIFF A/C</v>
          </cell>
          <cell r="M730" t="str">
            <v>ROUNDING OF DIFF A/C</v>
          </cell>
          <cell r="N730" t="e">
            <v>#REF!</v>
          </cell>
          <cell r="O730" t="str">
            <v>L</v>
          </cell>
          <cell r="Q730">
            <v>1</v>
          </cell>
          <cell r="R730">
            <v>0</v>
          </cell>
          <cell r="U730">
            <v>1</v>
          </cell>
          <cell r="V730">
            <v>0</v>
          </cell>
          <cell r="Y730">
            <v>0</v>
          </cell>
          <cell r="Z730">
            <v>0</v>
          </cell>
          <cell r="AC730">
            <v>0</v>
          </cell>
          <cell r="AD730">
            <v>0</v>
          </cell>
          <cell r="AG730">
            <v>0</v>
          </cell>
          <cell r="AH730">
            <v>0</v>
          </cell>
        </row>
        <row r="731">
          <cell r="G731">
            <v>12141</v>
          </cell>
          <cell r="H731">
            <v>859000</v>
          </cell>
          <cell r="L731" t="str">
            <v>Rounding Of Diff A/C</v>
          </cell>
          <cell r="M731" t="str">
            <v>ROUNDING OFF ACCOUNT (JV)</v>
          </cell>
          <cell r="N731" t="e">
            <v>#REF!</v>
          </cell>
          <cell r="O731" t="str">
            <v>L</v>
          </cell>
          <cell r="Q731">
            <v>0</v>
          </cell>
          <cell r="R731">
            <v>-885</v>
          </cell>
          <cell r="U731">
            <v>0</v>
          </cell>
          <cell r="V731">
            <v>-902</v>
          </cell>
          <cell r="Y731">
            <v>0</v>
          </cell>
          <cell r="Z731">
            <v>17</v>
          </cell>
          <cell r="AC731">
            <v>0</v>
          </cell>
          <cell r="AD731">
            <v>0</v>
          </cell>
          <cell r="AG731">
            <v>0</v>
          </cell>
          <cell r="AH731">
            <v>0</v>
          </cell>
        </row>
        <row r="732">
          <cell r="G732">
            <v>13740</v>
          </cell>
          <cell r="H732">
            <v>860000</v>
          </cell>
          <cell r="L732" t="str">
            <v>Round Off Diff In F Currency (Sys)</v>
          </cell>
          <cell r="M732" t="str">
            <v>ROUND OFF DIFF IN F CURRENCY (SYS)</v>
          </cell>
          <cell r="N732" t="e">
            <v>#REF!</v>
          </cell>
          <cell r="O732" t="str">
            <v>L</v>
          </cell>
          <cell r="Q732">
            <v>-491778</v>
          </cell>
          <cell r="R732">
            <v>-491783</v>
          </cell>
          <cell r="U732">
            <v>-394638</v>
          </cell>
          <cell r="V732">
            <v>-394641</v>
          </cell>
          <cell r="Y732">
            <v>-97140</v>
          </cell>
          <cell r="Z732">
            <v>-97142</v>
          </cell>
          <cell r="AC732">
            <v>0</v>
          </cell>
          <cell r="AD732">
            <v>0</v>
          </cell>
          <cell r="AG732">
            <v>0</v>
          </cell>
          <cell r="AH732">
            <v>0</v>
          </cell>
        </row>
        <row r="733">
          <cell r="H733">
            <v>861000</v>
          </cell>
          <cell r="L733" t="str">
            <v>Regroup From Trade Paybles-Payable to Employees</v>
          </cell>
          <cell r="M733" t="e">
            <v>#N/A</v>
          </cell>
          <cell r="N733" t="e">
            <v>#REF!</v>
          </cell>
          <cell r="O733" t="str">
            <v>L</v>
          </cell>
          <cell r="Q733">
            <v>-22845795</v>
          </cell>
          <cell r="R733">
            <v>-12212023</v>
          </cell>
          <cell r="U733">
            <v>-17875783</v>
          </cell>
          <cell r="V733">
            <v>-12212023</v>
          </cell>
          <cell r="Y733">
            <v>-4140287</v>
          </cell>
          <cell r="AC733">
            <v>-428916</v>
          </cell>
          <cell r="AG733">
            <v>-400809</v>
          </cell>
        </row>
        <row r="734">
          <cell r="H734">
            <v>862000</v>
          </cell>
          <cell r="L734" t="str">
            <v>Regroup From Trade Paybles-Statutory Dues</v>
          </cell>
          <cell r="M734" t="e">
            <v>#N/A</v>
          </cell>
          <cell r="N734" t="e">
            <v>#REF!</v>
          </cell>
          <cell r="O734" t="str">
            <v>L</v>
          </cell>
          <cell r="Q734">
            <v>0</v>
          </cell>
          <cell r="R734">
            <v>0</v>
          </cell>
        </row>
        <row r="735">
          <cell r="G735">
            <v>15627</v>
          </cell>
          <cell r="H735">
            <v>863000</v>
          </cell>
          <cell r="L735">
            <v>0</v>
          </cell>
          <cell r="M735" t="str">
            <v>OPENING BALANCE OFF SET A/C</v>
          </cell>
          <cell r="N735" t="e">
            <v>#REF!</v>
          </cell>
          <cell r="O735" t="str">
            <v>L</v>
          </cell>
          <cell r="Q735">
            <v>0</v>
          </cell>
          <cell r="R735">
            <v>0</v>
          </cell>
          <cell r="U735">
            <v>0</v>
          </cell>
          <cell r="V735">
            <v>0</v>
          </cell>
          <cell r="Y735">
            <v>0</v>
          </cell>
          <cell r="Z735">
            <v>0</v>
          </cell>
          <cell r="AC735">
            <v>0</v>
          </cell>
          <cell r="AD735">
            <v>0</v>
          </cell>
          <cell r="AG735">
            <v>0</v>
          </cell>
          <cell r="AH735">
            <v>0</v>
          </cell>
        </row>
        <row r="736">
          <cell r="H736">
            <v>864000</v>
          </cell>
          <cell r="L736" t="str">
            <v>Regrouped from Short Term Provision</v>
          </cell>
          <cell r="O736" t="str">
            <v>L</v>
          </cell>
          <cell r="Q736">
            <v>0</v>
          </cell>
          <cell r="R736">
            <v>0</v>
          </cell>
          <cell r="U736">
            <v>0</v>
          </cell>
          <cell r="V736">
            <v>0</v>
          </cell>
        </row>
        <row r="737">
          <cell r="H737">
            <v>865000</v>
          </cell>
          <cell r="K737" t="str">
            <v>OUTSTANDING EXPENSES</v>
          </cell>
          <cell r="M737" t="e">
            <v>#N/A</v>
          </cell>
          <cell r="N737" t="e">
            <v>#REF!</v>
          </cell>
          <cell r="O737" t="str">
            <v>L</v>
          </cell>
          <cell r="P737">
            <v>0</v>
          </cell>
          <cell r="Q737">
            <v>54953508</v>
          </cell>
          <cell r="R737">
            <v>41820466</v>
          </cell>
          <cell r="T737">
            <v>0</v>
          </cell>
          <cell r="U737">
            <v>27528444</v>
          </cell>
          <cell r="V737">
            <v>12896598</v>
          </cell>
          <cell r="X737">
            <v>0</v>
          </cell>
          <cell r="Y737">
            <v>21565084</v>
          </cell>
          <cell r="Z737">
            <v>23151364</v>
          </cell>
          <cell r="AB737">
            <v>0</v>
          </cell>
          <cell r="AC737">
            <v>3636689</v>
          </cell>
          <cell r="AD737">
            <v>3609049</v>
          </cell>
          <cell r="AF737">
            <v>0</v>
          </cell>
          <cell r="AG737">
            <v>2223291</v>
          </cell>
          <cell r="AH737">
            <v>2163455</v>
          </cell>
        </row>
        <row r="738">
          <cell r="H738">
            <v>866000</v>
          </cell>
          <cell r="M738" t="e">
            <v>#N/A</v>
          </cell>
          <cell r="N738" t="e">
            <v>#REF!</v>
          </cell>
          <cell r="O738" t="str">
            <v>L</v>
          </cell>
        </row>
        <row r="739">
          <cell r="H739">
            <v>867000</v>
          </cell>
          <cell r="K739" t="str">
            <v>OTHERS</v>
          </cell>
          <cell r="O739" t="str">
            <v>L</v>
          </cell>
        </row>
        <row r="740">
          <cell r="G740">
            <v>15456</v>
          </cell>
          <cell r="H740">
            <v>868000</v>
          </cell>
          <cell r="I740" t="str">
            <v>3541</v>
          </cell>
          <cell r="L740" t="str">
            <v>Advance Hp (Sale Of Property)</v>
          </cell>
          <cell r="M740" t="str">
            <v>ADVANCE HP (SALE OF PROPERTY)</v>
          </cell>
          <cell r="N740" t="e">
            <v>#REF!</v>
          </cell>
          <cell r="O740" t="str">
            <v>L</v>
          </cell>
          <cell r="Q740">
            <v>2225000</v>
          </cell>
          <cell r="R740">
            <v>2225000</v>
          </cell>
          <cell r="U740">
            <v>2225000</v>
          </cell>
          <cell r="V740">
            <v>2225000</v>
          </cell>
          <cell r="Y740">
            <v>0</v>
          </cell>
          <cell r="Z740">
            <v>0</v>
          </cell>
          <cell r="AC740">
            <v>0</v>
          </cell>
          <cell r="AD740">
            <v>0</v>
          </cell>
          <cell r="AG740">
            <v>0</v>
          </cell>
          <cell r="AH740">
            <v>0</v>
          </cell>
        </row>
        <row r="741">
          <cell r="G741">
            <v>14304</v>
          </cell>
          <cell r="I741" t="str">
            <v>2572</v>
          </cell>
          <cell r="J741">
            <v>2572</v>
          </cell>
          <cell r="L741" t="str">
            <v>FORWARD CONTRACT PAYABLE</v>
          </cell>
          <cell r="Q741">
            <v>142821304</v>
          </cell>
          <cell r="R741">
            <v>62956579</v>
          </cell>
          <cell r="U741">
            <v>0</v>
          </cell>
          <cell r="V741">
            <v>0</v>
          </cell>
          <cell r="Y741">
            <v>128164944</v>
          </cell>
          <cell r="Z741">
            <v>51692112</v>
          </cell>
          <cell r="AC741">
            <v>14656359</v>
          </cell>
          <cell r="AD741">
            <v>11264467</v>
          </cell>
          <cell r="AG741">
            <v>1</v>
          </cell>
          <cell r="AH741">
            <v>0</v>
          </cell>
        </row>
        <row r="742">
          <cell r="G742">
            <v>14302</v>
          </cell>
          <cell r="I742">
            <v>3606</v>
          </cell>
          <cell r="J742" t="str">
            <v>3606</v>
          </cell>
          <cell r="L742" t="str">
            <v>FORWARD CONTRACT RECEVIABLE</v>
          </cell>
          <cell r="Q742">
            <v>-138025114</v>
          </cell>
          <cell r="R742">
            <v>-62248763</v>
          </cell>
          <cell r="U742">
            <v>0</v>
          </cell>
          <cell r="V742">
            <v>0</v>
          </cell>
          <cell r="Y742">
            <v>-123865422</v>
          </cell>
          <cell r="Z742">
            <v>-51086709</v>
          </cell>
          <cell r="AC742">
            <v>-14159692</v>
          </cell>
          <cell r="AD742">
            <v>-11162054</v>
          </cell>
          <cell r="AG742">
            <v>0</v>
          </cell>
          <cell r="AH742">
            <v>0</v>
          </cell>
        </row>
        <row r="743">
          <cell r="G743">
            <v>14303</v>
          </cell>
          <cell r="I743" t="str">
            <v>2573</v>
          </cell>
          <cell r="L743">
            <v>0</v>
          </cell>
          <cell r="M743" t="str">
            <v>DEFERRED PREMIUM ACCOUNT</v>
          </cell>
          <cell r="N743" t="e">
            <v>#REF!</v>
          </cell>
          <cell r="O743" t="str">
            <v>L</v>
          </cell>
          <cell r="Q743">
            <v>-1223209</v>
          </cell>
          <cell r="R743">
            <v>-494119</v>
          </cell>
          <cell r="U743">
            <v>0</v>
          </cell>
          <cell r="V743">
            <v>0</v>
          </cell>
          <cell r="Y743">
            <v>-1118223</v>
          </cell>
          <cell r="Z743">
            <v>-391706</v>
          </cell>
          <cell r="AC743">
            <v>-104986</v>
          </cell>
          <cell r="AD743">
            <v>-102413</v>
          </cell>
          <cell r="AG743">
            <v>0</v>
          </cell>
          <cell r="AH743">
            <v>0</v>
          </cell>
        </row>
        <row r="744">
          <cell r="H744">
            <v>870000</v>
          </cell>
          <cell r="K744" t="str">
            <v>OTHERS</v>
          </cell>
          <cell r="M744" t="e">
            <v>#N/A</v>
          </cell>
          <cell r="N744" t="e">
            <v>#REF!</v>
          </cell>
          <cell r="O744" t="str">
            <v>L</v>
          </cell>
          <cell r="P744">
            <v>0</v>
          </cell>
          <cell r="Q744">
            <v>5797981</v>
          </cell>
          <cell r="R744">
            <v>2438697</v>
          </cell>
          <cell r="T744">
            <v>0</v>
          </cell>
          <cell r="U744">
            <v>2225000</v>
          </cell>
          <cell r="V744">
            <v>2225000</v>
          </cell>
          <cell r="X744">
            <v>0</v>
          </cell>
          <cell r="Y744">
            <v>3181299</v>
          </cell>
          <cell r="Z744">
            <v>213697</v>
          </cell>
          <cell r="AB744">
            <v>0</v>
          </cell>
          <cell r="AC744">
            <v>391681</v>
          </cell>
          <cell r="AD744">
            <v>0</v>
          </cell>
          <cell r="AF744">
            <v>0</v>
          </cell>
          <cell r="AG744">
            <v>1</v>
          </cell>
          <cell r="AH744">
            <v>0</v>
          </cell>
        </row>
        <row r="745">
          <cell r="H745">
            <v>871000</v>
          </cell>
          <cell r="M745" t="e">
            <v>#N/A</v>
          </cell>
          <cell r="N745" t="e">
            <v>#REF!</v>
          </cell>
          <cell r="O745" t="str">
            <v>L</v>
          </cell>
          <cell r="P745">
            <v>0</v>
          </cell>
          <cell r="Q745">
            <v>159167837</v>
          </cell>
          <cell r="R745">
            <v>120029911</v>
          </cell>
          <cell r="T745">
            <v>0</v>
          </cell>
          <cell r="U745">
            <v>50604457</v>
          </cell>
          <cell r="V745">
            <v>59214180</v>
          </cell>
          <cell r="X745">
            <v>0</v>
          </cell>
          <cell r="Y745">
            <v>94706020</v>
          </cell>
          <cell r="Z745">
            <v>49881076</v>
          </cell>
          <cell r="AB745">
            <v>0</v>
          </cell>
          <cell r="AC745">
            <v>6858150</v>
          </cell>
          <cell r="AD745">
            <v>5962992</v>
          </cell>
          <cell r="AF745">
            <v>0</v>
          </cell>
          <cell r="AG745">
            <v>6999210</v>
          </cell>
          <cell r="AH745">
            <v>4971663</v>
          </cell>
        </row>
        <row r="746">
          <cell r="H746">
            <v>872000</v>
          </cell>
          <cell r="M746" t="e">
            <v>#N/A</v>
          </cell>
          <cell r="N746" t="e">
            <v>#REF!</v>
          </cell>
          <cell r="O746" t="str">
            <v>L</v>
          </cell>
        </row>
        <row r="747">
          <cell r="H747">
            <v>873000</v>
          </cell>
          <cell r="J747" t="str">
            <v>SHORT TERM PROVISIONS</v>
          </cell>
          <cell r="M747" t="e">
            <v>#N/A</v>
          </cell>
          <cell r="N747" t="e">
            <v>#REF!</v>
          </cell>
          <cell r="O747" t="str">
            <v>L</v>
          </cell>
        </row>
        <row r="748">
          <cell r="H748">
            <v>874000</v>
          </cell>
          <cell r="K748" t="str">
            <v>Provision For Employee Benefits</v>
          </cell>
          <cell r="M748" t="e">
            <v>#N/A</v>
          </cell>
          <cell r="N748" t="e">
            <v>#REF!</v>
          </cell>
          <cell r="O748" t="str">
            <v>L</v>
          </cell>
        </row>
        <row r="749">
          <cell r="G749">
            <v>15576</v>
          </cell>
          <cell r="H749">
            <v>875000</v>
          </cell>
          <cell r="I749" t="str">
            <v>2010</v>
          </cell>
          <cell r="L749" t="str">
            <v>Provision For Gratuity</v>
          </cell>
          <cell r="M749" t="str">
            <v>PROVISION FOR GRATUITY</v>
          </cell>
          <cell r="N749" t="e">
            <v>#REF!</v>
          </cell>
          <cell r="O749" t="str">
            <v>L</v>
          </cell>
          <cell r="Q749">
            <v>10598513</v>
          </cell>
          <cell r="R749">
            <v>6905112</v>
          </cell>
          <cell r="U749">
            <v>3440746</v>
          </cell>
          <cell r="V749">
            <v>1124333</v>
          </cell>
          <cell r="Y749">
            <v>6666635</v>
          </cell>
          <cell r="Z749">
            <v>5433585</v>
          </cell>
          <cell r="AC749">
            <v>423882</v>
          </cell>
          <cell r="AD749">
            <v>307085</v>
          </cell>
          <cell r="AG749">
            <v>67250</v>
          </cell>
          <cell r="AH749">
            <v>40109</v>
          </cell>
        </row>
        <row r="750">
          <cell r="H750">
            <v>876000</v>
          </cell>
          <cell r="K750" t="str">
            <v>Provision For Compensated Absences</v>
          </cell>
          <cell r="M750" t="e">
            <v>#N/A</v>
          </cell>
          <cell r="N750" t="e">
            <v>#REF!</v>
          </cell>
          <cell r="O750" t="str">
            <v>L</v>
          </cell>
          <cell r="AC750">
            <v>0</v>
          </cell>
          <cell r="AD750">
            <v>0</v>
          </cell>
          <cell r="AG750">
            <v>0</v>
          </cell>
          <cell r="AH750">
            <v>0</v>
          </cell>
        </row>
        <row r="751">
          <cell r="G751">
            <v>15577</v>
          </cell>
          <cell r="H751">
            <v>877000</v>
          </cell>
          <cell r="I751" t="str">
            <v>2015</v>
          </cell>
          <cell r="L751" t="str">
            <v>Provision For Leave Encashment</v>
          </cell>
          <cell r="M751" t="str">
            <v>PROVISION FOR LEAVE ENCASHMENT</v>
          </cell>
          <cell r="N751" t="e">
            <v>#REF!</v>
          </cell>
          <cell r="O751" t="str">
            <v>L</v>
          </cell>
          <cell r="Q751">
            <v>3298416</v>
          </cell>
          <cell r="R751">
            <v>1140737</v>
          </cell>
          <cell r="U751">
            <v>-6288283</v>
          </cell>
          <cell r="V751">
            <v>-6843600</v>
          </cell>
          <cell r="Y751">
            <v>8289697</v>
          </cell>
          <cell r="Z751">
            <v>7004126</v>
          </cell>
          <cell r="AC751">
            <v>963549</v>
          </cell>
          <cell r="AD751">
            <v>765050</v>
          </cell>
          <cell r="AG751">
            <v>333453</v>
          </cell>
          <cell r="AH751">
            <v>215161</v>
          </cell>
        </row>
        <row r="752">
          <cell r="H752">
            <v>878000</v>
          </cell>
          <cell r="L752" t="str">
            <v>Excess Provision regrouped In payable to employees</v>
          </cell>
          <cell r="O752" t="str">
            <v>L</v>
          </cell>
          <cell r="Q752">
            <v>0</v>
          </cell>
          <cell r="R752">
            <v>0</v>
          </cell>
        </row>
        <row r="753">
          <cell r="H753">
            <v>879000</v>
          </cell>
          <cell r="K753" t="str">
            <v>Provision For Employee Benefits</v>
          </cell>
          <cell r="M753" t="e">
            <v>#N/A</v>
          </cell>
          <cell r="N753" t="e">
            <v>#REF!</v>
          </cell>
          <cell r="O753" t="str">
            <v>L</v>
          </cell>
          <cell r="P753">
            <v>0</v>
          </cell>
          <cell r="Q753">
            <v>13896929</v>
          </cell>
          <cell r="R753">
            <v>8045849</v>
          </cell>
          <cell r="T753">
            <v>0</v>
          </cell>
          <cell r="U753">
            <v>-2847537</v>
          </cell>
          <cell r="V753">
            <v>-5719267</v>
          </cell>
          <cell r="X753">
            <v>0</v>
          </cell>
          <cell r="Y753">
            <v>14956332</v>
          </cell>
          <cell r="Z753">
            <v>12437711</v>
          </cell>
          <cell r="AB753">
            <v>0</v>
          </cell>
          <cell r="AC753">
            <v>1387431</v>
          </cell>
          <cell r="AD753">
            <v>1072135</v>
          </cell>
          <cell r="AF753">
            <v>0</v>
          </cell>
          <cell r="AG753">
            <v>400703</v>
          </cell>
          <cell r="AH753">
            <v>255270</v>
          </cell>
        </row>
        <row r="754">
          <cell r="H754">
            <v>880000</v>
          </cell>
          <cell r="K754" t="str">
            <v>Provision For Income Tax</v>
          </cell>
          <cell r="M754" t="e">
            <v>#N/A</v>
          </cell>
          <cell r="N754" t="e">
            <v>#REF!</v>
          </cell>
          <cell r="O754" t="str">
            <v>s</v>
          </cell>
          <cell r="V754">
            <v>0</v>
          </cell>
        </row>
        <row r="755">
          <cell r="G755">
            <v>15585</v>
          </cell>
          <cell r="H755">
            <v>881000</v>
          </cell>
          <cell r="I755" t="str">
            <v>2030</v>
          </cell>
          <cell r="L755" t="str">
            <v>Provision For Taxation</v>
          </cell>
          <cell r="M755" t="str">
            <v>PROVISION FOR TAXATION</v>
          </cell>
          <cell r="N755" t="e">
            <v>#REF!</v>
          </cell>
          <cell r="O755" t="str">
            <v>s</v>
          </cell>
          <cell r="Q755">
            <v>117293889</v>
          </cell>
          <cell r="R755">
            <v>80993889</v>
          </cell>
          <cell r="U755">
            <v>117293889</v>
          </cell>
          <cell r="V755">
            <v>80993889</v>
          </cell>
          <cell r="Y755">
            <v>0</v>
          </cell>
          <cell r="Z755">
            <v>0</v>
          </cell>
          <cell r="AC755">
            <v>0</v>
          </cell>
          <cell r="AD755">
            <v>0</v>
          </cell>
          <cell r="AG755">
            <v>0</v>
          </cell>
          <cell r="AH755">
            <v>0</v>
          </cell>
        </row>
        <row r="756">
          <cell r="G756">
            <v>15586</v>
          </cell>
          <cell r="H756">
            <v>882000</v>
          </cell>
          <cell r="I756" t="str">
            <v>2032</v>
          </cell>
          <cell r="L756" t="str">
            <v>Provision For Fbt</v>
          </cell>
          <cell r="M756" t="str">
            <v>PROVISION FOR FBT</v>
          </cell>
          <cell r="N756" t="e">
            <v>#REF!</v>
          </cell>
          <cell r="O756" t="str">
            <v>s</v>
          </cell>
          <cell r="Q756">
            <v>6240000</v>
          </cell>
          <cell r="R756">
            <v>6240000</v>
          </cell>
          <cell r="U756">
            <v>6240000</v>
          </cell>
          <cell r="V756">
            <v>6240000</v>
          </cell>
          <cell r="Y756">
            <v>0</v>
          </cell>
          <cell r="Z756">
            <v>0</v>
          </cell>
          <cell r="AC756">
            <v>0</v>
          </cell>
          <cell r="AD756">
            <v>0</v>
          </cell>
          <cell r="AG756">
            <v>0</v>
          </cell>
          <cell r="AH756">
            <v>0</v>
          </cell>
        </row>
        <row r="757">
          <cell r="G757">
            <v>15587</v>
          </cell>
          <cell r="H757">
            <v>883000</v>
          </cell>
          <cell r="I757" t="str">
            <v>2040</v>
          </cell>
          <cell r="L757" t="str">
            <v>Provision For Wealth Tax</v>
          </cell>
          <cell r="M757" t="str">
            <v>PROVISION FOR WEALTH TAX</v>
          </cell>
          <cell r="N757" t="e">
            <v>#REF!</v>
          </cell>
          <cell r="O757" t="str">
            <v>s</v>
          </cell>
          <cell r="Q757">
            <v>132055</v>
          </cell>
          <cell r="R757">
            <v>132055</v>
          </cell>
          <cell r="U757">
            <v>132055</v>
          </cell>
          <cell r="V757">
            <v>132055</v>
          </cell>
          <cell r="Y757">
            <v>0</v>
          </cell>
          <cell r="Z757">
            <v>0</v>
          </cell>
          <cell r="AC757">
            <v>0</v>
          </cell>
          <cell r="AD757">
            <v>0</v>
          </cell>
          <cell r="AG757">
            <v>0</v>
          </cell>
          <cell r="AH757">
            <v>0</v>
          </cell>
        </row>
        <row r="758">
          <cell r="H758">
            <v>884000</v>
          </cell>
          <cell r="L758" t="str">
            <v>Advance Income Tax ( Net)</v>
          </cell>
          <cell r="M758" t="e">
            <v>#N/A</v>
          </cell>
          <cell r="N758" t="e">
            <v>#REF!</v>
          </cell>
          <cell r="O758" t="str">
            <v>s</v>
          </cell>
          <cell r="Q758">
            <v>0</v>
          </cell>
          <cell r="R758">
            <v>0</v>
          </cell>
          <cell r="U758">
            <v>0</v>
          </cell>
          <cell r="V758">
            <v>0</v>
          </cell>
          <cell r="Y758">
            <v>0</v>
          </cell>
          <cell r="Z758">
            <v>0</v>
          </cell>
          <cell r="AC758">
            <v>0</v>
          </cell>
          <cell r="AD758">
            <v>0</v>
          </cell>
          <cell r="AG758">
            <v>0</v>
          </cell>
          <cell r="AH758">
            <v>0</v>
          </cell>
        </row>
        <row r="759">
          <cell r="G759">
            <v>15398</v>
          </cell>
          <cell r="H759">
            <v>885000</v>
          </cell>
          <cell r="I759" t="str">
            <v>3850</v>
          </cell>
          <cell r="L759" t="str">
            <v>Advance Income Tax</v>
          </cell>
          <cell r="M759" t="str">
            <v>ADVANCE INCOME TAX</v>
          </cell>
          <cell r="N759" t="e">
            <v>#REF!</v>
          </cell>
          <cell r="O759" t="str">
            <v>s</v>
          </cell>
          <cell r="Q759">
            <v>-102754509</v>
          </cell>
          <cell r="R759">
            <v>-75207608</v>
          </cell>
          <cell r="U759">
            <v>-102155936</v>
          </cell>
          <cell r="V759">
            <v>-74860770</v>
          </cell>
          <cell r="Y759">
            <v>-434543</v>
          </cell>
          <cell r="Z759">
            <v>-275844</v>
          </cell>
          <cell r="AC759">
            <v>-93819</v>
          </cell>
          <cell r="AD759">
            <v>-27395</v>
          </cell>
          <cell r="AG759">
            <v>-70211</v>
          </cell>
          <cell r="AH759">
            <v>-43599</v>
          </cell>
        </row>
        <row r="760">
          <cell r="H760">
            <v>886000</v>
          </cell>
          <cell r="M760" t="e">
            <v>#N/A</v>
          </cell>
          <cell r="N760" t="e">
            <v>#REF!</v>
          </cell>
          <cell r="O760" t="str">
            <v>s</v>
          </cell>
          <cell r="AC760">
            <v>0</v>
          </cell>
          <cell r="AD760">
            <v>0</v>
          </cell>
          <cell r="AG760">
            <v>0</v>
          </cell>
          <cell r="AH760">
            <v>0</v>
          </cell>
        </row>
        <row r="761">
          <cell r="H761">
            <v>887000</v>
          </cell>
          <cell r="K761" t="str">
            <v>Provision For Income Tax</v>
          </cell>
          <cell r="M761" t="e">
            <v>#N/A</v>
          </cell>
          <cell r="N761" t="e">
            <v>#REF!</v>
          </cell>
          <cell r="O761" t="str">
            <v>s</v>
          </cell>
          <cell r="P761">
            <v>0</v>
          </cell>
          <cell r="Q761">
            <v>20911435</v>
          </cell>
          <cell r="R761">
            <v>12158336</v>
          </cell>
          <cell r="T761">
            <v>0</v>
          </cell>
          <cell r="U761">
            <v>21510008</v>
          </cell>
          <cell r="V761">
            <v>12505174</v>
          </cell>
          <cell r="X761">
            <v>0</v>
          </cell>
          <cell r="Y761">
            <v>-434543</v>
          </cell>
          <cell r="Z761">
            <v>-275844</v>
          </cell>
          <cell r="AB761">
            <v>0</v>
          </cell>
          <cell r="AC761">
            <v>-93819</v>
          </cell>
          <cell r="AD761">
            <v>-27395</v>
          </cell>
          <cell r="AF761">
            <v>0</v>
          </cell>
          <cell r="AG761">
            <v>-70211</v>
          </cell>
          <cell r="AH761">
            <v>-43599</v>
          </cell>
        </row>
        <row r="762">
          <cell r="H762">
            <v>888000</v>
          </cell>
          <cell r="K762" t="str">
            <v>Other Provisions-Proposed Dividend</v>
          </cell>
          <cell r="M762" t="e">
            <v>#N/A</v>
          </cell>
          <cell r="N762" t="e">
            <v>#REF!</v>
          </cell>
          <cell r="O762" t="str">
            <v>s</v>
          </cell>
        </row>
        <row r="763">
          <cell r="G763">
            <v>15595</v>
          </cell>
          <cell r="H763">
            <v>889000</v>
          </cell>
          <cell r="I763" t="str">
            <v>2020</v>
          </cell>
          <cell r="L763" t="str">
            <v>Proposed Dividend</v>
          </cell>
          <cell r="M763" t="str">
            <v>PROPOSED DIVIDEND</v>
          </cell>
          <cell r="N763" t="e">
            <v>#REF!</v>
          </cell>
          <cell r="O763" t="str">
            <v>s</v>
          </cell>
          <cell r="Q763">
            <v>0</v>
          </cell>
          <cell r="R763">
            <v>35904028</v>
          </cell>
          <cell r="U763">
            <v>0</v>
          </cell>
          <cell r="V763">
            <v>35904028</v>
          </cell>
          <cell r="Y763">
            <v>0</v>
          </cell>
          <cell r="Z763">
            <v>0</v>
          </cell>
          <cell r="AC763">
            <v>0</v>
          </cell>
          <cell r="AG763">
            <v>0</v>
          </cell>
        </row>
        <row r="764">
          <cell r="G764">
            <v>15596</v>
          </cell>
          <cell r="H764">
            <v>890000</v>
          </cell>
          <cell r="I764" t="str">
            <v>2021</v>
          </cell>
          <cell r="L764" t="str">
            <v>Distribution Tax</v>
          </cell>
          <cell r="M764" t="str">
            <v>DISTRIBUTION TAX</v>
          </cell>
          <cell r="N764" t="e">
            <v>#REF!</v>
          </cell>
          <cell r="O764" t="str">
            <v>s</v>
          </cell>
          <cell r="Q764">
            <v>7512918</v>
          </cell>
          <cell r="R764">
            <v>7512918</v>
          </cell>
          <cell r="U764">
            <v>7512918</v>
          </cell>
          <cell r="V764">
            <v>7512918</v>
          </cell>
          <cell r="Y764">
            <v>0</v>
          </cell>
          <cell r="Z764">
            <v>0</v>
          </cell>
          <cell r="AC764">
            <v>0</v>
          </cell>
          <cell r="AG764">
            <v>0</v>
          </cell>
        </row>
        <row r="765">
          <cell r="H765">
            <v>891000</v>
          </cell>
          <cell r="K765" t="str">
            <v>Other Provisions-Proposed Dividend</v>
          </cell>
          <cell r="L765" t="str">
            <v>Sub-Total</v>
          </cell>
          <cell r="M765" t="e">
            <v>#N/A</v>
          </cell>
          <cell r="N765" t="e">
            <v>#REF!</v>
          </cell>
          <cell r="O765" t="str">
            <v>s</v>
          </cell>
          <cell r="P765">
            <v>0</v>
          </cell>
          <cell r="Q765">
            <v>7512918</v>
          </cell>
          <cell r="R765">
            <v>43416946</v>
          </cell>
          <cell r="T765">
            <v>0</v>
          </cell>
          <cell r="U765">
            <v>7512918</v>
          </cell>
          <cell r="V765">
            <v>43416946</v>
          </cell>
          <cell r="W765">
            <v>0</v>
          </cell>
          <cell r="X765">
            <v>0</v>
          </cell>
          <cell r="Y765">
            <v>0</v>
          </cell>
          <cell r="Z765">
            <v>0</v>
          </cell>
          <cell r="AA765">
            <v>0</v>
          </cell>
          <cell r="AB765">
            <v>0</v>
          </cell>
          <cell r="AC765">
            <v>0</v>
          </cell>
          <cell r="AD765">
            <v>0</v>
          </cell>
          <cell r="AE765">
            <v>0</v>
          </cell>
          <cell r="AF765">
            <v>0</v>
          </cell>
          <cell r="AG765">
            <v>0</v>
          </cell>
          <cell r="AH765">
            <v>0</v>
          </cell>
        </row>
        <row r="766">
          <cell r="H766">
            <v>892000</v>
          </cell>
          <cell r="J766" t="str">
            <v>SHORT TERM PROVISIONS</v>
          </cell>
          <cell r="M766" t="e">
            <v>#N/A</v>
          </cell>
          <cell r="N766" t="e">
            <v>#REF!</v>
          </cell>
          <cell r="O766" t="str">
            <v>L</v>
          </cell>
          <cell r="P766">
            <v>0</v>
          </cell>
          <cell r="Q766">
            <v>42321282</v>
          </cell>
          <cell r="R766">
            <v>63621131</v>
          </cell>
          <cell r="T766">
            <v>0</v>
          </cell>
          <cell r="U766">
            <v>26175389</v>
          </cell>
          <cell r="V766">
            <v>50202853</v>
          </cell>
          <cell r="W766">
            <v>0</v>
          </cell>
          <cell r="X766">
            <v>0</v>
          </cell>
          <cell r="Y766">
            <v>14521789</v>
          </cell>
          <cell r="Z766">
            <v>12161867</v>
          </cell>
          <cell r="AA766">
            <v>0</v>
          </cell>
          <cell r="AB766">
            <v>0</v>
          </cell>
          <cell r="AC766">
            <v>1293612</v>
          </cell>
          <cell r="AD766">
            <v>1044740</v>
          </cell>
          <cell r="AE766">
            <v>0</v>
          </cell>
          <cell r="AF766">
            <v>0</v>
          </cell>
          <cell r="AG766">
            <v>330492</v>
          </cell>
          <cell r="AH766">
            <v>211671</v>
          </cell>
        </row>
        <row r="767">
          <cell r="O767" t="str">
            <v>L</v>
          </cell>
        </row>
        <row r="768">
          <cell r="H768">
            <v>894000</v>
          </cell>
          <cell r="J768" t="str">
            <v>TOTAL CURRENT LIABILITIES</v>
          </cell>
          <cell r="M768" t="e">
            <v>#N/A</v>
          </cell>
          <cell r="N768" t="e">
            <v>#REF!</v>
          </cell>
          <cell r="O768" t="str">
            <v>L</v>
          </cell>
          <cell r="P768">
            <v>0</v>
          </cell>
          <cell r="Q768">
            <v>859973829</v>
          </cell>
          <cell r="R768">
            <v>785325783</v>
          </cell>
          <cell r="T768">
            <v>0</v>
          </cell>
          <cell r="U768">
            <v>-480725915</v>
          </cell>
          <cell r="V768">
            <v>-227565258</v>
          </cell>
          <cell r="W768">
            <v>0</v>
          </cell>
          <cell r="X768">
            <v>0</v>
          </cell>
          <cell r="Y768">
            <v>1281468642</v>
          </cell>
          <cell r="Z768">
            <v>955144577</v>
          </cell>
          <cell r="AA768">
            <v>0</v>
          </cell>
          <cell r="AB768">
            <v>0</v>
          </cell>
          <cell r="AC768">
            <v>39244235</v>
          </cell>
          <cell r="AD768">
            <v>45686549</v>
          </cell>
          <cell r="AE768">
            <v>0</v>
          </cell>
          <cell r="AF768">
            <v>0</v>
          </cell>
          <cell r="AG768">
            <v>19986867</v>
          </cell>
          <cell r="AH768">
            <v>12059915</v>
          </cell>
        </row>
        <row r="769">
          <cell r="O769" t="str">
            <v>L</v>
          </cell>
        </row>
        <row r="770">
          <cell r="H770">
            <v>1175000</v>
          </cell>
          <cell r="J770" t="str">
            <v>INTERUNIT ACCOUNT</v>
          </cell>
          <cell r="M770" t="e">
            <v>#N/A</v>
          </cell>
          <cell r="N770" t="e">
            <v>#REF!</v>
          </cell>
          <cell r="O770" t="str">
            <v>L</v>
          </cell>
        </row>
        <row r="771">
          <cell r="H771">
            <v>1176000</v>
          </cell>
          <cell r="K771" t="str">
            <v>Current A/C ( Inter Unit) - Sdc &amp; Pcd-T</v>
          </cell>
          <cell r="M771" t="e">
            <v>#N/A</v>
          </cell>
          <cell r="N771" t="e">
            <v>#REF!</v>
          </cell>
          <cell r="O771" t="str">
            <v>L</v>
          </cell>
        </row>
        <row r="772">
          <cell r="H772">
            <v>1177000</v>
          </cell>
          <cell r="I772" t="str">
            <v>0200</v>
          </cell>
          <cell r="L772" t="str">
            <v xml:space="preserve">Current A/C Ho </v>
          </cell>
          <cell r="M772" t="e">
            <v>#N/A</v>
          </cell>
          <cell r="N772" t="e">
            <v>#REF!</v>
          </cell>
          <cell r="O772" t="str">
            <v>L</v>
          </cell>
          <cell r="P772">
            <v>0</v>
          </cell>
          <cell r="Q772">
            <v>0</v>
          </cell>
          <cell r="R772">
            <v>0</v>
          </cell>
          <cell r="T772">
            <v>0</v>
          </cell>
          <cell r="X772">
            <v>0</v>
          </cell>
          <cell r="Y772">
            <v>0</v>
          </cell>
          <cell r="Z772">
            <v>0</v>
          </cell>
          <cell r="AB772">
            <v>0</v>
          </cell>
        </row>
        <row r="773">
          <cell r="H773">
            <v>1178000</v>
          </cell>
          <cell r="I773" t="str">
            <v>0201</v>
          </cell>
          <cell r="L773" t="str">
            <v>Current Account- Valerex ((Pcd-Turbhe)</v>
          </cell>
          <cell r="M773" t="e">
            <v>#N/A</v>
          </cell>
          <cell r="N773" t="e">
            <v>#REF!</v>
          </cell>
          <cell r="O773" t="str">
            <v>L</v>
          </cell>
          <cell r="P773">
            <v>0</v>
          </cell>
          <cell r="Q773">
            <v>0</v>
          </cell>
          <cell r="R773">
            <v>0</v>
          </cell>
          <cell r="T773">
            <v>0</v>
          </cell>
          <cell r="X773">
            <v>0</v>
          </cell>
          <cell r="Y773">
            <v>0</v>
          </cell>
          <cell r="Z773">
            <v>0</v>
          </cell>
          <cell r="AB773">
            <v>0</v>
          </cell>
          <cell r="AC773">
            <v>0</v>
          </cell>
          <cell r="AG773">
            <v>0</v>
          </cell>
          <cell r="AH773">
            <v>0</v>
          </cell>
        </row>
        <row r="774">
          <cell r="G774">
            <v>14274</v>
          </cell>
          <cell r="H774">
            <v>1179000</v>
          </cell>
          <cell r="L774" t="str">
            <v>Inter Unit Account (0200, 206, 608</v>
          </cell>
          <cell r="M774" t="str">
            <v>INTER UNIT A/C - (0200-206,0608,)</v>
          </cell>
          <cell r="N774" t="e">
            <v>#REF!</v>
          </cell>
          <cell r="O774" t="str">
            <v>L</v>
          </cell>
          <cell r="P774">
            <v>0</v>
          </cell>
          <cell r="Q774">
            <v>-913479026</v>
          </cell>
          <cell r="R774">
            <v>-509686294</v>
          </cell>
          <cell r="T774">
            <v>0</v>
          </cell>
          <cell r="U774">
            <v>-3736183623</v>
          </cell>
          <cell r="V774">
            <v>-3557402571</v>
          </cell>
          <cell r="X774">
            <v>0</v>
          </cell>
          <cell r="Y774">
            <v>2822704597</v>
          </cell>
          <cell r="Z774">
            <v>3047716277</v>
          </cell>
          <cell r="AB774">
            <v>0</v>
          </cell>
        </row>
        <row r="775">
          <cell r="G775">
            <v>14275</v>
          </cell>
          <cell r="H775">
            <v>1180000</v>
          </cell>
          <cell r="L775" t="str">
            <v>Inter Unit Account Payable</v>
          </cell>
          <cell r="M775" t="str">
            <v>INTER UNIT A/C - PAyable</v>
          </cell>
          <cell r="N775" t="e">
            <v>#REF!</v>
          </cell>
          <cell r="O775" t="str">
            <v>L</v>
          </cell>
          <cell r="P775">
            <v>0</v>
          </cell>
          <cell r="Q775">
            <v>878571179</v>
          </cell>
          <cell r="R775">
            <v>474778446</v>
          </cell>
          <cell r="T775">
            <v>0</v>
          </cell>
          <cell r="U775">
            <v>12528454</v>
          </cell>
          <cell r="V775">
            <v>11454724</v>
          </cell>
          <cell r="X775">
            <v>0</v>
          </cell>
          <cell r="Y775">
            <v>866042725</v>
          </cell>
          <cell r="Z775">
            <v>463323722</v>
          </cell>
          <cell r="AB775">
            <v>0</v>
          </cell>
        </row>
        <row r="776">
          <cell r="H776">
            <v>1181000</v>
          </cell>
          <cell r="I776" t="str">
            <v>0202</v>
          </cell>
          <cell r="L776" t="str">
            <v>Corrent Account - Ho Ledger</v>
          </cell>
          <cell r="M776" t="e">
            <v>#N/A</v>
          </cell>
          <cell r="N776" t="e">
            <v>#REF!</v>
          </cell>
          <cell r="O776" t="str">
            <v>L</v>
          </cell>
          <cell r="P776">
            <v>0</v>
          </cell>
          <cell r="Q776">
            <v>0</v>
          </cell>
          <cell r="R776">
            <v>0</v>
          </cell>
          <cell r="T776">
            <v>0</v>
          </cell>
          <cell r="X776">
            <v>0</v>
          </cell>
          <cell r="Y776">
            <v>0</v>
          </cell>
          <cell r="Z776">
            <v>0</v>
          </cell>
          <cell r="AB776">
            <v>0</v>
          </cell>
        </row>
        <row r="777">
          <cell r="H777">
            <v>1182000</v>
          </cell>
          <cell r="I777" t="str">
            <v>0204</v>
          </cell>
          <cell r="L777" t="str">
            <v>Ho - A/C - Plastic Contianer - Division - Chennai</v>
          </cell>
          <cell r="M777" t="e">
            <v>#N/A</v>
          </cell>
          <cell r="N777" t="e">
            <v>#REF!</v>
          </cell>
          <cell r="O777" t="str">
            <v>L</v>
          </cell>
          <cell r="P777">
            <v>0</v>
          </cell>
          <cell r="Q777">
            <v>0</v>
          </cell>
          <cell r="R777">
            <v>0</v>
          </cell>
          <cell r="T777">
            <v>0</v>
          </cell>
          <cell r="X777">
            <v>0</v>
          </cell>
          <cell r="Y777">
            <v>0</v>
          </cell>
          <cell r="Z777">
            <v>0</v>
          </cell>
          <cell r="AB777">
            <v>0</v>
          </cell>
        </row>
        <row r="778">
          <cell r="H778">
            <v>1183000</v>
          </cell>
          <cell r="I778" t="str">
            <v>0205</v>
          </cell>
          <cell r="L778" t="str">
            <v>Bank  A/C Closure Division</v>
          </cell>
          <cell r="M778" t="e">
            <v>#N/A</v>
          </cell>
          <cell r="N778" t="e">
            <v>#REF!</v>
          </cell>
          <cell r="O778" t="str">
            <v>L</v>
          </cell>
          <cell r="P778">
            <v>0</v>
          </cell>
          <cell r="Q778">
            <v>0</v>
          </cell>
          <cell r="R778">
            <v>0</v>
          </cell>
          <cell r="T778">
            <v>0</v>
          </cell>
          <cell r="X778">
            <v>0</v>
          </cell>
          <cell r="Y778">
            <v>0</v>
          </cell>
          <cell r="Z778">
            <v>0</v>
          </cell>
          <cell r="AB778">
            <v>0</v>
          </cell>
        </row>
        <row r="779">
          <cell r="H779">
            <v>1184000</v>
          </cell>
          <cell r="I779" t="str">
            <v>0608</v>
          </cell>
          <cell r="L779" t="str">
            <v>Current A/C - (Cbr - Vlx)</v>
          </cell>
          <cell r="M779" t="e">
            <v>#N/A</v>
          </cell>
          <cell r="N779" t="e">
            <v>#REF!</v>
          </cell>
          <cell r="O779" t="str">
            <v>L</v>
          </cell>
          <cell r="P779">
            <v>0</v>
          </cell>
          <cell r="Q779">
            <v>0</v>
          </cell>
          <cell r="R779">
            <v>0</v>
          </cell>
          <cell r="T779">
            <v>0</v>
          </cell>
          <cell r="X779">
            <v>0</v>
          </cell>
          <cell r="Y779">
            <v>0</v>
          </cell>
          <cell r="Z779">
            <v>0</v>
          </cell>
          <cell r="AB779">
            <v>0</v>
          </cell>
        </row>
        <row r="780">
          <cell r="H780">
            <v>1185000</v>
          </cell>
          <cell r="K780" t="str">
            <v>Current A/C ( Inter Unit) - Sdc &amp; Pcd-T</v>
          </cell>
          <cell r="L780">
            <v>0</v>
          </cell>
          <cell r="M780" t="e">
            <v>#N/A</v>
          </cell>
          <cell r="N780" t="e">
            <v>#REF!</v>
          </cell>
          <cell r="O780" t="str">
            <v>L</v>
          </cell>
          <cell r="P780">
            <v>0</v>
          </cell>
          <cell r="Q780">
            <v>-34907847</v>
          </cell>
          <cell r="R780">
            <v>-34907848</v>
          </cell>
          <cell r="T780">
            <v>0</v>
          </cell>
          <cell r="U780">
            <v>-3723655169</v>
          </cell>
          <cell r="V780">
            <v>-3545947847</v>
          </cell>
          <cell r="X780">
            <v>0</v>
          </cell>
          <cell r="Y780">
            <v>3688747322</v>
          </cell>
          <cell r="Z780">
            <v>3511039999</v>
          </cell>
          <cell r="AB780">
            <v>0</v>
          </cell>
          <cell r="AC780">
            <v>0</v>
          </cell>
          <cell r="AD780">
            <v>0</v>
          </cell>
          <cell r="AF780">
            <v>0</v>
          </cell>
          <cell r="AG780">
            <v>0</v>
          </cell>
          <cell r="AH780">
            <v>0</v>
          </cell>
        </row>
        <row r="781">
          <cell r="H781">
            <v>1186000</v>
          </cell>
          <cell r="K781" t="str">
            <v>Current A/c ( Inter Unit) - SDC &amp; PCD-C</v>
          </cell>
          <cell r="M781" t="e">
            <v>#N/A</v>
          </cell>
          <cell r="N781" t="e">
            <v>#REF!</v>
          </cell>
          <cell r="O781" t="str">
            <v>L</v>
          </cell>
          <cell r="X781">
            <v>0</v>
          </cell>
          <cell r="AB781">
            <v>0</v>
          </cell>
          <cell r="AD781">
            <v>0</v>
          </cell>
          <cell r="AF781">
            <v>0</v>
          </cell>
        </row>
        <row r="782">
          <cell r="H782">
            <v>1187000</v>
          </cell>
          <cell r="I782" t="str">
            <v>0200</v>
          </cell>
          <cell r="L782" t="str">
            <v>Current A/C Ho</v>
          </cell>
          <cell r="M782" t="e">
            <v>#N/A</v>
          </cell>
          <cell r="N782" t="e">
            <v>#REF!</v>
          </cell>
          <cell r="O782" t="str">
            <v>L</v>
          </cell>
          <cell r="P782">
            <v>0</v>
          </cell>
          <cell r="Q782">
            <v>-14138382</v>
          </cell>
          <cell r="R782">
            <v>-14161951</v>
          </cell>
          <cell r="T782">
            <v>0</v>
          </cell>
          <cell r="X782">
            <v>0</v>
          </cell>
          <cell r="Y782">
            <v>0</v>
          </cell>
          <cell r="Z782">
            <v>0</v>
          </cell>
          <cell r="AB782">
            <v>0</v>
          </cell>
          <cell r="AC782">
            <v>-14138382</v>
          </cell>
          <cell r="AD782">
            <v>-14161951</v>
          </cell>
          <cell r="AF782">
            <v>0</v>
          </cell>
        </row>
        <row r="783">
          <cell r="G783">
            <v>14276</v>
          </cell>
          <cell r="H783">
            <v>1188000</v>
          </cell>
          <cell r="I783" t="str">
            <v>0203</v>
          </cell>
          <cell r="L783" t="str">
            <v>Ho - A/C - Plastic Contianer - Division- Chennai</v>
          </cell>
          <cell r="M783" t="str">
            <v>INTER UNIT-CHENNAI DIVISION</v>
          </cell>
          <cell r="N783" t="e">
            <v>#REF!</v>
          </cell>
          <cell r="O783" t="str">
            <v>L</v>
          </cell>
          <cell r="P783">
            <v>0</v>
          </cell>
          <cell r="Q783">
            <v>-1041398031</v>
          </cell>
          <cell r="R783">
            <v>-828008504</v>
          </cell>
          <cell r="T783">
            <v>0</v>
          </cell>
          <cell r="U783">
            <v>867356936</v>
          </cell>
          <cell r="V783">
            <v>666084242</v>
          </cell>
          <cell r="X783">
            <v>0</v>
          </cell>
          <cell r="Y783">
            <v>-1079325976</v>
          </cell>
          <cell r="Z783">
            <v>-865745007</v>
          </cell>
          <cell r="AB783">
            <v>0</v>
          </cell>
          <cell r="AC783">
            <v>-829428991</v>
          </cell>
          <cell r="AD783">
            <v>-628347739</v>
          </cell>
          <cell r="AF783">
            <v>0</v>
          </cell>
        </row>
        <row r="784">
          <cell r="H784">
            <v>1189000</v>
          </cell>
          <cell r="I784" t="str">
            <v>0205</v>
          </cell>
          <cell r="L784" t="str">
            <v>Bank  A/C Closure Division</v>
          </cell>
          <cell r="M784" t="e">
            <v>#N/A</v>
          </cell>
          <cell r="N784" t="e">
            <v>#REF!</v>
          </cell>
          <cell r="O784" t="str">
            <v>L</v>
          </cell>
          <cell r="P784">
            <v>0</v>
          </cell>
          <cell r="Q784">
            <v>0</v>
          </cell>
          <cell r="R784">
            <v>0</v>
          </cell>
          <cell r="T784">
            <v>0</v>
          </cell>
          <cell r="X784">
            <v>0</v>
          </cell>
          <cell r="Y784">
            <v>0</v>
          </cell>
          <cell r="Z784">
            <v>0</v>
          </cell>
          <cell r="AB784">
            <v>0</v>
          </cell>
          <cell r="AD784">
            <v>0</v>
          </cell>
          <cell r="AF784">
            <v>0</v>
          </cell>
        </row>
        <row r="785">
          <cell r="H785">
            <v>1190000</v>
          </cell>
          <cell r="I785" t="str">
            <v>0204</v>
          </cell>
          <cell r="L785" t="str">
            <v>Bank A/C Plastic Container Division</v>
          </cell>
          <cell r="M785" t="e">
            <v>#N/A</v>
          </cell>
          <cell r="N785" t="e">
            <v>#REF!</v>
          </cell>
          <cell r="O785" t="str">
            <v>L</v>
          </cell>
          <cell r="P785">
            <v>0</v>
          </cell>
          <cell r="Q785">
            <v>0</v>
          </cell>
          <cell r="R785">
            <v>0</v>
          </cell>
          <cell r="T785">
            <v>0</v>
          </cell>
          <cell r="X785">
            <v>0</v>
          </cell>
          <cell r="Y785">
            <v>0</v>
          </cell>
          <cell r="Z785">
            <v>0</v>
          </cell>
          <cell r="AB785">
            <v>0</v>
          </cell>
          <cell r="AD785">
            <v>0</v>
          </cell>
          <cell r="AF785">
            <v>0</v>
          </cell>
        </row>
        <row r="786">
          <cell r="H786">
            <v>1191000</v>
          </cell>
          <cell r="I786" t="str">
            <v>0208</v>
          </cell>
          <cell r="L786">
            <v>0</v>
          </cell>
          <cell r="M786" t="e">
            <v>#N/A</v>
          </cell>
          <cell r="N786" t="e">
            <v>#REF!</v>
          </cell>
          <cell r="O786" t="str">
            <v>L</v>
          </cell>
          <cell r="P786">
            <v>0</v>
          </cell>
          <cell r="Q786">
            <v>272029100</v>
          </cell>
          <cell r="R786">
            <v>112713675</v>
          </cell>
          <cell r="T786">
            <v>0</v>
          </cell>
          <cell r="X786">
            <v>0</v>
          </cell>
          <cell r="Y786">
            <v>0</v>
          </cell>
          <cell r="Z786">
            <v>0</v>
          </cell>
          <cell r="AB786">
            <v>0</v>
          </cell>
          <cell r="AC786">
            <v>272029100</v>
          </cell>
          <cell r="AD786">
            <v>112713675</v>
          </cell>
          <cell r="AF786">
            <v>0</v>
          </cell>
        </row>
        <row r="787">
          <cell r="H787">
            <v>1192000</v>
          </cell>
          <cell r="K787" t="str">
            <v>Current A/c ( Inter Unit) - SDC &amp; PCD-C</v>
          </cell>
          <cell r="L787">
            <v>0</v>
          </cell>
          <cell r="M787" t="e">
            <v>#N/A</v>
          </cell>
          <cell r="N787" t="e">
            <v>#REF!</v>
          </cell>
          <cell r="O787" t="str">
            <v>L</v>
          </cell>
          <cell r="P787">
            <v>0</v>
          </cell>
          <cell r="Q787">
            <v>-783507313</v>
          </cell>
          <cell r="R787">
            <v>-729456780</v>
          </cell>
          <cell r="T787">
            <v>0</v>
          </cell>
          <cell r="U787">
            <v>867356936</v>
          </cell>
          <cell r="V787">
            <v>666084242</v>
          </cell>
          <cell r="X787">
            <v>0</v>
          </cell>
          <cell r="Y787">
            <v>-1079325976</v>
          </cell>
          <cell r="Z787">
            <v>-865745007</v>
          </cell>
          <cell r="AB787">
            <v>0</v>
          </cell>
          <cell r="AC787">
            <v>-571538273</v>
          </cell>
          <cell r="AD787">
            <v>-529796015</v>
          </cell>
          <cell r="AF787">
            <v>0</v>
          </cell>
          <cell r="AG787">
            <v>0</v>
          </cell>
          <cell r="AH787">
            <v>0</v>
          </cell>
        </row>
        <row r="788">
          <cell r="H788">
            <v>1193000</v>
          </cell>
          <cell r="K788" t="str">
            <v>Current A/c ( Inter Unit) - PCD - T &amp; PCD - C</v>
          </cell>
          <cell r="M788" t="e">
            <v>#N/A</v>
          </cell>
          <cell r="N788" t="e">
            <v>#REF!</v>
          </cell>
          <cell r="O788" t="str">
            <v>L</v>
          </cell>
        </row>
        <row r="789">
          <cell r="H789">
            <v>1194000</v>
          </cell>
          <cell r="I789" t="str">
            <v>0200</v>
          </cell>
          <cell r="L789" t="str">
            <v>Current A/C Ho</v>
          </cell>
          <cell r="M789" t="e">
            <v>#N/A</v>
          </cell>
          <cell r="N789" t="e">
            <v>#REF!</v>
          </cell>
          <cell r="O789" t="str">
            <v>L</v>
          </cell>
          <cell r="P789">
            <v>0</v>
          </cell>
          <cell r="Q789">
            <v>0</v>
          </cell>
          <cell r="R789">
            <v>0</v>
          </cell>
          <cell r="T789">
            <v>0</v>
          </cell>
          <cell r="X789">
            <v>0</v>
          </cell>
          <cell r="Y789">
            <v>0</v>
          </cell>
          <cell r="Z789">
            <v>0</v>
          </cell>
          <cell r="AB789">
            <v>0</v>
          </cell>
          <cell r="AD789">
            <v>0</v>
          </cell>
          <cell r="AF789">
            <v>0</v>
          </cell>
        </row>
        <row r="790">
          <cell r="H790">
            <v>1195000</v>
          </cell>
          <cell r="I790" t="str">
            <v>0201</v>
          </cell>
          <cell r="L790" t="str">
            <v>Current Account+ Valerex</v>
          </cell>
          <cell r="M790" t="e">
            <v>#N/A</v>
          </cell>
          <cell r="N790" t="e">
            <v>#REF!</v>
          </cell>
          <cell r="O790" t="str">
            <v>L</v>
          </cell>
          <cell r="P790">
            <v>0</v>
          </cell>
          <cell r="Q790">
            <v>843360078</v>
          </cell>
          <cell r="R790">
            <v>789309545</v>
          </cell>
          <cell r="T790">
            <v>0</v>
          </cell>
          <cell r="X790">
            <v>0</v>
          </cell>
          <cell r="Y790">
            <v>0</v>
          </cell>
          <cell r="Z790">
            <v>0</v>
          </cell>
          <cell r="AB790">
            <v>0</v>
          </cell>
          <cell r="AC790">
            <v>843360078</v>
          </cell>
          <cell r="AD790">
            <v>789309545</v>
          </cell>
          <cell r="AF790">
            <v>0</v>
          </cell>
        </row>
        <row r="791">
          <cell r="H791">
            <v>1196000</v>
          </cell>
          <cell r="I791" t="str">
            <v>0203</v>
          </cell>
          <cell r="L791" t="str">
            <v>Ho + A/C + Plastic Contianer + Division+ Chennai</v>
          </cell>
          <cell r="M791" t="e">
            <v>#N/A</v>
          </cell>
          <cell r="N791" t="e">
            <v>#REF!</v>
          </cell>
          <cell r="O791" t="str">
            <v>L</v>
          </cell>
          <cell r="P791">
            <v>0</v>
          </cell>
          <cell r="Q791">
            <v>0</v>
          </cell>
          <cell r="R791">
            <v>0</v>
          </cell>
          <cell r="T791">
            <v>0</v>
          </cell>
          <cell r="X791">
            <v>0</v>
          </cell>
          <cell r="Y791">
            <v>0</v>
          </cell>
          <cell r="Z791">
            <v>0</v>
          </cell>
          <cell r="AB791">
            <v>0</v>
          </cell>
          <cell r="AD791">
            <v>0</v>
          </cell>
          <cell r="AF791">
            <v>0</v>
          </cell>
        </row>
        <row r="792">
          <cell r="H792">
            <v>1197000</v>
          </cell>
          <cell r="I792" t="str">
            <v>0204</v>
          </cell>
          <cell r="L792" t="str">
            <v>Bank A/C Plastic Container Division</v>
          </cell>
          <cell r="M792" t="e">
            <v>#N/A</v>
          </cell>
          <cell r="N792" t="e">
            <v>#REF!</v>
          </cell>
          <cell r="O792" t="str">
            <v>L</v>
          </cell>
          <cell r="P792">
            <v>0</v>
          </cell>
          <cell r="Q792">
            <v>0</v>
          </cell>
          <cell r="R792">
            <v>0</v>
          </cell>
          <cell r="T792">
            <v>0</v>
          </cell>
          <cell r="X792">
            <v>0</v>
          </cell>
          <cell r="Y792">
            <v>0</v>
          </cell>
          <cell r="Z792">
            <v>0</v>
          </cell>
          <cell r="AB792">
            <v>0</v>
          </cell>
          <cell r="AD792">
            <v>0</v>
          </cell>
          <cell r="AF792">
            <v>0</v>
          </cell>
        </row>
        <row r="793">
          <cell r="H793">
            <v>1198000</v>
          </cell>
          <cell r="I793" t="str">
            <v>0608</v>
          </cell>
          <cell r="L793" t="str">
            <v>Current A/C - (Cbr-Vlx)</v>
          </cell>
          <cell r="M793" t="e">
            <v>#N/A</v>
          </cell>
          <cell r="N793" t="e">
            <v>#REF!</v>
          </cell>
          <cell r="O793" t="str">
            <v>L</v>
          </cell>
          <cell r="P793">
            <v>0</v>
          </cell>
          <cell r="Q793">
            <v>0</v>
          </cell>
          <cell r="R793">
            <v>0</v>
          </cell>
          <cell r="T793">
            <v>0</v>
          </cell>
          <cell r="X793">
            <v>0</v>
          </cell>
          <cell r="Y793">
            <v>0</v>
          </cell>
          <cell r="Z793">
            <v>0</v>
          </cell>
          <cell r="AB793">
            <v>0</v>
          </cell>
          <cell r="AD793">
            <v>0</v>
          </cell>
          <cell r="AF793">
            <v>0</v>
          </cell>
        </row>
        <row r="794">
          <cell r="H794">
            <v>1199000</v>
          </cell>
          <cell r="K794" t="str">
            <v>Current A/c ( Inter Unit) - PCD - T &amp; PCD - C</v>
          </cell>
          <cell r="L794">
            <v>0</v>
          </cell>
          <cell r="M794" t="e">
            <v>#N/A</v>
          </cell>
          <cell r="N794" t="e">
            <v>#REF!</v>
          </cell>
          <cell r="O794" t="str">
            <v>L</v>
          </cell>
          <cell r="P794">
            <v>0</v>
          </cell>
          <cell r="Q794">
            <v>843360078</v>
          </cell>
          <cell r="R794">
            <v>789309545</v>
          </cell>
          <cell r="T794">
            <v>0</v>
          </cell>
          <cell r="U794">
            <v>0</v>
          </cell>
          <cell r="V794">
            <v>0</v>
          </cell>
          <cell r="X794">
            <v>0</v>
          </cell>
          <cell r="Y794">
            <v>0</v>
          </cell>
          <cell r="Z794">
            <v>0</v>
          </cell>
          <cell r="AB794">
            <v>0</v>
          </cell>
          <cell r="AC794">
            <v>843360078</v>
          </cell>
          <cell r="AD794">
            <v>789309545</v>
          </cell>
          <cell r="AF794">
            <v>0</v>
          </cell>
          <cell r="AG794">
            <v>0</v>
          </cell>
          <cell r="AH794">
            <v>0</v>
          </cell>
        </row>
        <row r="795">
          <cell r="H795">
            <v>1200000</v>
          </cell>
          <cell r="K795" t="str">
            <v>Current A/c ( Inter Unit) - PCD-NORTH</v>
          </cell>
          <cell r="M795" t="e">
            <v>#N/A</v>
          </cell>
          <cell r="N795" t="e">
            <v>#REF!</v>
          </cell>
          <cell r="O795" t="str">
            <v>L</v>
          </cell>
          <cell r="Q795">
            <v>0</v>
          </cell>
          <cell r="R795">
            <v>0</v>
          </cell>
        </row>
        <row r="796">
          <cell r="H796">
            <v>1201000</v>
          </cell>
          <cell r="I796" t="str">
            <v xml:space="preserve">0200 </v>
          </cell>
          <cell r="L796" t="str">
            <v>Current A/C Ho</v>
          </cell>
          <cell r="M796" t="e">
            <v>#N/A</v>
          </cell>
          <cell r="N796" t="e">
            <v>#REF!</v>
          </cell>
          <cell r="O796" t="str">
            <v>L</v>
          </cell>
          <cell r="P796">
            <v>0</v>
          </cell>
          <cell r="Q796">
            <v>0</v>
          </cell>
          <cell r="R796">
            <v>0</v>
          </cell>
          <cell r="T796">
            <v>0</v>
          </cell>
          <cell r="X796">
            <v>0</v>
          </cell>
          <cell r="Y796">
            <v>0</v>
          </cell>
          <cell r="Z796">
            <v>0</v>
          </cell>
          <cell r="AB796">
            <v>0</v>
          </cell>
          <cell r="AF796">
            <v>0</v>
          </cell>
        </row>
        <row r="797">
          <cell r="H797">
            <v>1202000</v>
          </cell>
          <cell r="I797" t="str">
            <v>0201</v>
          </cell>
          <cell r="L797" t="str">
            <v>Current Account - Valerex</v>
          </cell>
          <cell r="M797" t="e">
            <v>#N/A</v>
          </cell>
          <cell r="N797" t="e">
            <v>#REF!</v>
          </cell>
          <cell r="O797" t="str">
            <v>L</v>
          </cell>
          <cell r="P797">
            <v>0</v>
          </cell>
          <cell r="Q797">
            <v>0</v>
          </cell>
          <cell r="R797">
            <v>0</v>
          </cell>
          <cell r="T797">
            <v>0</v>
          </cell>
          <cell r="X797">
            <v>0</v>
          </cell>
          <cell r="Y797">
            <v>0</v>
          </cell>
          <cell r="Z797">
            <v>0</v>
          </cell>
          <cell r="AB797">
            <v>0</v>
          </cell>
          <cell r="AF797">
            <v>0</v>
          </cell>
        </row>
        <row r="798">
          <cell r="G798" t="str">
            <v>203</v>
          </cell>
          <cell r="H798">
            <v>1203000</v>
          </cell>
          <cell r="I798" t="str">
            <v>0203</v>
          </cell>
          <cell r="L798" t="str">
            <v>Ho - A/C - Plastic Contianer - Division - Chennai</v>
          </cell>
          <cell r="M798" t="e">
            <v>#N/A</v>
          </cell>
          <cell r="N798" t="e">
            <v>#REF!</v>
          </cell>
          <cell r="O798" t="str">
            <v>L</v>
          </cell>
          <cell r="P798">
            <v>0</v>
          </cell>
          <cell r="Q798">
            <v>881231</v>
          </cell>
          <cell r="R798">
            <v>881231</v>
          </cell>
          <cell r="T798">
            <v>0</v>
          </cell>
          <cell r="X798">
            <v>0</v>
          </cell>
          <cell r="Y798">
            <v>0</v>
          </cell>
          <cell r="Z798">
            <v>0</v>
          </cell>
          <cell r="AB798">
            <v>0</v>
          </cell>
          <cell r="AF798">
            <v>0</v>
          </cell>
          <cell r="AG798">
            <v>881231</v>
          </cell>
          <cell r="AH798">
            <v>881231</v>
          </cell>
        </row>
        <row r="799">
          <cell r="H799">
            <v>1204000</v>
          </cell>
          <cell r="I799" t="str">
            <v>0204</v>
          </cell>
          <cell r="L799" t="str">
            <v>Bank A/C Plastic Container Division</v>
          </cell>
          <cell r="M799" t="e">
            <v>#N/A</v>
          </cell>
          <cell r="N799" t="e">
            <v>#REF!</v>
          </cell>
          <cell r="O799" t="str">
            <v>L</v>
          </cell>
          <cell r="P799">
            <v>0</v>
          </cell>
          <cell r="Q799">
            <v>0</v>
          </cell>
          <cell r="R799">
            <v>0</v>
          </cell>
          <cell r="T799">
            <v>0</v>
          </cell>
          <cell r="X799">
            <v>0</v>
          </cell>
          <cell r="Y799">
            <v>0</v>
          </cell>
          <cell r="Z799">
            <v>0</v>
          </cell>
          <cell r="AB799">
            <v>0</v>
          </cell>
          <cell r="AC799">
            <v>0</v>
          </cell>
          <cell r="AF799">
            <v>0</v>
          </cell>
          <cell r="AH799">
            <v>0</v>
          </cell>
        </row>
        <row r="800">
          <cell r="G800">
            <v>14277</v>
          </cell>
          <cell r="H800">
            <v>1205000</v>
          </cell>
          <cell r="I800" t="str">
            <v>0206</v>
          </cell>
          <cell r="L800" t="str">
            <v>Ho - A/C Pcd - Dehardun (Gl)</v>
          </cell>
          <cell r="M800" t="str">
            <v>INTER UNIT-DEHARADUN DIVISION</v>
          </cell>
          <cell r="N800" t="e">
            <v>#REF!</v>
          </cell>
          <cell r="O800" t="str">
            <v>L</v>
          </cell>
          <cell r="Q800">
            <v>-247296596</v>
          </cell>
          <cell r="R800">
            <v>129261364</v>
          </cell>
          <cell r="U800">
            <v>87186820</v>
          </cell>
          <cell r="V800">
            <v>7222113</v>
          </cell>
          <cell r="Y800">
            <v>-331744485</v>
          </cell>
          <cell r="Z800">
            <v>-213029601</v>
          </cell>
          <cell r="AC800">
            <v>-2738931</v>
          </cell>
          <cell r="AD800">
            <v>-2738931</v>
          </cell>
          <cell r="AH800">
            <v>337807783</v>
          </cell>
        </row>
        <row r="801">
          <cell r="G801" t="str">
            <v>206</v>
          </cell>
          <cell r="H801">
            <v>1206000</v>
          </cell>
          <cell r="L801" t="str">
            <v>Unrealised Profit/Loss On Transfer</v>
          </cell>
          <cell r="M801" t="e">
            <v>#N/A</v>
          </cell>
          <cell r="N801" t="e">
            <v>#REF!</v>
          </cell>
          <cell r="O801" t="str">
            <v>L</v>
          </cell>
          <cell r="Q801">
            <v>515698804</v>
          </cell>
          <cell r="R801">
            <v>0</v>
          </cell>
          <cell r="U801">
            <v>0</v>
          </cell>
          <cell r="V801">
            <v>0</v>
          </cell>
          <cell r="Y801">
            <v>0</v>
          </cell>
          <cell r="Z801">
            <v>0</v>
          </cell>
          <cell r="AC801">
            <v>0</v>
          </cell>
          <cell r="AG801">
            <v>515698804</v>
          </cell>
        </row>
        <row r="802">
          <cell r="G802" t="str">
            <v>207</v>
          </cell>
          <cell r="H802">
            <v>1207000</v>
          </cell>
          <cell r="I802" t="str">
            <v>0207</v>
          </cell>
          <cell r="L802" t="str">
            <v>Ho -  A/C Pcd - Dehardun (Bank)</v>
          </cell>
          <cell r="M802" t="e">
            <v>#N/A</v>
          </cell>
          <cell r="N802" t="e">
            <v>#REF!</v>
          </cell>
          <cell r="O802" t="str">
            <v>L</v>
          </cell>
          <cell r="P802">
            <v>0</v>
          </cell>
          <cell r="Q802">
            <v>-294228357</v>
          </cell>
          <cell r="R802">
            <v>-155087513</v>
          </cell>
          <cell r="T802">
            <v>0</v>
          </cell>
          <cell r="X802">
            <v>0</v>
          </cell>
          <cell r="Y802">
            <v>0</v>
          </cell>
          <cell r="Z802">
            <v>0</v>
          </cell>
          <cell r="AB802">
            <v>0</v>
          </cell>
          <cell r="AC802">
            <v>0</v>
          </cell>
          <cell r="AF802">
            <v>0</v>
          </cell>
          <cell r="AG802">
            <v>-294228357</v>
          </cell>
          <cell r="AH802">
            <v>-155087513</v>
          </cell>
        </row>
        <row r="803">
          <cell r="H803">
            <v>1208000</v>
          </cell>
          <cell r="I803" t="str">
            <v>0608</v>
          </cell>
          <cell r="L803" t="str">
            <v>Current A/C - (Cbr - Vlx)</v>
          </cell>
          <cell r="M803" t="e">
            <v>#N/A</v>
          </cell>
          <cell r="N803" t="e">
            <v>#REF!</v>
          </cell>
          <cell r="O803" t="str">
            <v>L</v>
          </cell>
          <cell r="P803">
            <v>0</v>
          </cell>
          <cell r="Q803">
            <v>0</v>
          </cell>
          <cell r="R803">
            <v>1</v>
          </cell>
          <cell r="T803">
            <v>0</v>
          </cell>
          <cell r="V803">
            <v>1</v>
          </cell>
          <cell r="X803">
            <v>0</v>
          </cell>
          <cell r="Y803">
            <v>0</v>
          </cell>
          <cell r="Z803">
            <v>0</v>
          </cell>
          <cell r="AB803">
            <v>0</v>
          </cell>
          <cell r="AC803">
            <v>0</v>
          </cell>
          <cell r="AF803">
            <v>0</v>
          </cell>
          <cell r="AG803">
            <v>0</v>
          </cell>
        </row>
        <row r="804">
          <cell r="H804">
            <v>1209000</v>
          </cell>
          <cell r="K804" t="str">
            <v>Current A/c ( Inter Unit) - PCD-NORTH</v>
          </cell>
          <cell r="L804">
            <v>0</v>
          </cell>
          <cell r="M804" t="e">
            <v>#N/A</v>
          </cell>
          <cell r="N804" t="e">
            <v>#REF!</v>
          </cell>
          <cell r="O804" t="str">
            <v>L</v>
          </cell>
          <cell r="P804">
            <v>0</v>
          </cell>
          <cell r="Q804">
            <v>-24944918</v>
          </cell>
          <cell r="R804">
            <v>-24944917</v>
          </cell>
          <cell r="T804">
            <v>0</v>
          </cell>
          <cell r="U804">
            <v>87186820</v>
          </cell>
          <cell r="V804">
            <v>7222114</v>
          </cell>
          <cell r="W804">
            <v>0</v>
          </cell>
          <cell r="X804">
            <v>0</v>
          </cell>
          <cell r="Y804">
            <v>-331744485</v>
          </cell>
          <cell r="Z804">
            <v>-213029601</v>
          </cell>
          <cell r="AA804">
            <v>0</v>
          </cell>
          <cell r="AB804">
            <v>0</v>
          </cell>
          <cell r="AC804">
            <v>-2738931</v>
          </cell>
          <cell r="AD804">
            <v>-2738931</v>
          </cell>
          <cell r="AE804">
            <v>0</v>
          </cell>
          <cell r="AF804">
            <v>0</v>
          </cell>
          <cell r="AG804">
            <v>222351678</v>
          </cell>
          <cell r="AH804">
            <v>183601501</v>
          </cell>
        </row>
        <row r="805">
          <cell r="H805">
            <v>1210000</v>
          </cell>
          <cell r="J805" t="str">
            <v>INTERUNIT ACCOUNT</v>
          </cell>
          <cell r="M805" t="e">
            <v>#N/A</v>
          </cell>
          <cell r="N805" t="e">
            <v>#REF!</v>
          </cell>
          <cell r="O805" t="str">
            <v>L</v>
          </cell>
          <cell r="P805">
            <v>0</v>
          </cell>
          <cell r="Q805">
            <v>0</v>
          </cell>
          <cell r="R805">
            <v>0</v>
          </cell>
          <cell r="T805">
            <v>0</v>
          </cell>
          <cell r="U805">
            <v>-2769111413</v>
          </cell>
          <cell r="V805">
            <v>-2872641491</v>
          </cell>
          <cell r="W805">
            <v>0</v>
          </cell>
          <cell r="X805">
            <v>0</v>
          </cell>
          <cell r="Y805">
            <v>2277676861</v>
          </cell>
          <cell r="Z805">
            <v>2432265391</v>
          </cell>
          <cell r="AA805">
            <v>0</v>
          </cell>
          <cell r="AB805">
            <v>0</v>
          </cell>
          <cell r="AC805">
            <v>269082874</v>
          </cell>
          <cell r="AD805">
            <v>256774599</v>
          </cell>
          <cell r="AE805">
            <v>0</v>
          </cell>
          <cell r="AF805">
            <v>0</v>
          </cell>
          <cell r="AG805">
            <v>222351678</v>
          </cell>
          <cell r="AH805">
            <v>183601501</v>
          </cell>
        </row>
        <row r="806">
          <cell r="H806">
            <v>895000</v>
          </cell>
          <cell r="J806" t="str">
            <v>TOTAL EQUITY &amp; LIABILITIES</v>
          </cell>
          <cell r="M806" t="e">
            <v>#N/A</v>
          </cell>
          <cell r="N806" t="e">
            <v>#REF!</v>
          </cell>
          <cell r="O806" t="str">
            <v>L</v>
          </cell>
          <cell r="P806">
            <v>0</v>
          </cell>
          <cell r="Q806">
            <v>2175871586</v>
          </cell>
          <cell r="R806">
            <v>2004997678</v>
          </cell>
          <cell r="T806" t="e">
            <v>#REF!</v>
          </cell>
          <cell r="U806">
            <v>-2239061337</v>
          </cell>
          <cell r="V806">
            <v>-2069046003</v>
          </cell>
          <cell r="W806">
            <v>0</v>
          </cell>
          <cell r="X806" t="e">
            <v>#REF!</v>
          </cell>
          <cell r="Y806">
            <v>3939771540</v>
          </cell>
          <cell r="Z806">
            <v>3648458516</v>
          </cell>
          <cell r="AA806">
            <v>0</v>
          </cell>
          <cell r="AB806" t="e">
            <v>#REF!</v>
          </cell>
          <cell r="AC806">
            <v>207214107</v>
          </cell>
          <cell r="AD806">
            <v>211695320</v>
          </cell>
          <cell r="AE806">
            <v>0</v>
          </cell>
          <cell r="AF806" t="e">
            <v>#REF!</v>
          </cell>
          <cell r="AG806">
            <v>267947276</v>
          </cell>
          <cell r="AH806">
            <v>213889845</v>
          </cell>
        </row>
        <row r="807">
          <cell r="H807">
            <v>896000</v>
          </cell>
          <cell r="L807" t="str">
            <v>check to tally with financials</v>
          </cell>
          <cell r="M807" t="e">
            <v>#N/A</v>
          </cell>
          <cell r="N807" t="e">
            <v>#REF!</v>
          </cell>
          <cell r="Q807">
            <v>-2</v>
          </cell>
          <cell r="R807">
            <v>3</v>
          </cell>
        </row>
        <row r="808">
          <cell r="H808">
            <v>900000</v>
          </cell>
          <cell r="J808" t="str">
            <v>ASSETS</v>
          </cell>
          <cell r="M808" t="e">
            <v>#N/A</v>
          </cell>
          <cell r="N808" t="e">
            <v>#REF!</v>
          </cell>
          <cell r="O808" t="str">
            <v>A</v>
          </cell>
        </row>
        <row r="809">
          <cell r="H809">
            <v>901000</v>
          </cell>
          <cell r="J809" t="str">
            <v>Fixed Assets</v>
          </cell>
          <cell r="M809" t="e">
            <v>#N/A</v>
          </cell>
          <cell r="N809" t="e">
            <v>#REF!</v>
          </cell>
          <cell r="O809" t="str">
            <v>A</v>
          </cell>
        </row>
        <row r="810">
          <cell r="H810">
            <v>902000</v>
          </cell>
          <cell r="K810" t="str">
            <v>(A) Gross Block</v>
          </cell>
          <cell r="M810" t="e">
            <v>#N/A</v>
          </cell>
          <cell r="N810" t="e">
            <v>#REF!</v>
          </cell>
          <cell r="O810" t="str">
            <v>A</v>
          </cell>
        </row>
        <row r="811">
          <cell r="G811">
            <v>15012</v>
          </cell>
          <cell r="H811">
            <v>903000</v>
          </cell>
          <cell r="I811" t="str">
            <v>3010</v>
          </cell>
          <cell r="L811" t="str">
            <v>Fixed Assets - Gross Block</v>
          </cell>
          <cell r="M811" t="str">
            <v>FIXED ASSETS- GROSS BLOCK</v>
          </cell>
          <cell r="N811" t="e">
            <v>#REF!</v>
          </cell>
          <cell r="O811" t="str">
            <v>A</v>
          </cell>
          <cell r="Q811">
            <v>1633148417</v>
          </cell>
          <cell r="R811">
            <v>1500570984</v>
          </cell>
          <cell r="U811">
            <v>601320463</v>
          </cell>
          <cell r="V811">
            <v>570267754</v>
          </cell>
          <cell r="Y811">
            <v>714548065</v>
          </cell>
          <cell r="Z811">
            <v>662300989</v>
          </cell>
          <cell r="AC811">
            <v>146604535</v>
          </cell>
          <cell r="AD811">
            <v>121864740</v>
          </cell>
          <cell r="AG811">
            <v>170675354</v>
          </cell>
          <cell r="AH811">
            <v>146137501</v>
          </cell>
        </row>
        <row r="812">
          <cell r="G812">
            <v>15001</v>
          </cell>
          <cell r="H812">
            <v>904000</v>
          </cell>
          <cell r="L812" t="str">
            <v>Leasehold Land (Gb)</v>
          </cell>
          <cell r="M812" t="str">
            <v>FIXED ASSETS: ()</v>
          </cell>
          <cell r="N812" t="e">
            <v>#REF!</v>
          </cell>
          <cell r="O812" t="str">
            <v>A</v>
          </cell>
          <cell r="Q812">
            <v>323386</v>
          </cell>
          <cell r="R812">
            <v>323386</v>
          </cell>
          <cell r="U812">
            <v>304886</v>
          </cell>
          <cell r="V812">
            <v>304886</v>
          </cell>
          <cell r="Y812">
            <v>18500</v>
          </cell>
          <cell r="Z812">
            <v>18500</v>
          </cell>
          <cell r="AC812">
            <v>0</v>
          </cell>
          <cell r="AD812">
            <v>0</v>
          </cell>
          <cell r="AG812">
            <v>0</v>
          </cell>
          <cell r="AH812">
            <v>0</v>
          </cell>
        </row>
        <row r="813">
          <cell r="G813">
            <v>15008</v>
          </cell>
          <cell r="H813">
            <v>905000</v>
          </cell>
          <cell r="L813" t="str">
            <v>Computers (Gb)</v>
          </cell>
          <cell r="M813" t="str">
            <v>COMPUTERS (GB)</v>
          </cell>
          <cell r="N813" t="e">
            <v>#REF!</v>
          </cell>
          <cell r="O813" t="str">
            <v>A</v>
          </cell>
          <cell r="Q813">
            <v>30000</v>
          </cell>
          <cell r="R813">
            <v>30000</v>
          </cell>
          <cell r="U813">
            <v>30000</v>
          </cell>
          <cell r="V813">
            <v>30000</v>
          </cell>
          <cell r="Y813">
            <v>0</v>
          </cell>
          <cell r="Z813">
            <v>0</v>
          </cell>
          <cell r="AC813">
            <v>0</v>
          </cell>
          <cell r="AD813">
            <v>0</v>
          </cell>
          <cell r="AG813">
            <v>0</v>
          </cell>
          <cell r="AH813">
            <v>0</v>
          </cell>
        </row>
        <row r="814">
          <cell r="H814">
            <v>906000</v>
          </cell>
          <cell r="K814" t="str">
            <v>(A) Gross Block</v>
          </cell>
          <cell r="M814" t="e">
            <v>#N/A</v>
          </cell>
          <cell r="N814" t="e">
            <v>#REF!</v>
          </cell>
          <cell r="O814" t="str">
            <v>A</v>
          </cell>
          <cell r="Q814">
            <v>1633501803</v>
          </cell>
          <cell r="R814">
            <v>1500924370</v>
          </cell>
          <cell r="T814">
            <v>0</v>
          </cell>
          <cell r="U814">
            <v>601655349</v>
          </cell>
          <cell r="V814">
            <v>570602640</v>
          </cell>
          <cell r="X814">
            <v>0</v>
          </cell>
          <cell r="Y814">
            <v>714566565</v>
          </cell>
          <cell r="Z814">
            <v>662319489</v>
          </cell>
          <cell r="AB814">
            <v>0</v>
          </cell>
          <cell r="AC814">
            <v>146604535</v>
          </cell>
          <cell r="AD814">
            <v>121864740</v>
          </cell>
          <cell r="AF814">
            <v>0</v>
          </cell>
          <cell r="AG814">
            <v>170675354</v>
          </cell>
          <cell r="AH814">
            <v>146137501</v>
          </cell>
        </row>
        <row r="815">
          <cell r="H815">
            <v>907000</v>
          </cell>
          <cell r="K815" t="str">
            <v>(B) Less  : Depreciation</v>
          </cell>
          <cell r="M815" t="e">
            <v>#N/A</v>
          </cell>
          <cell r="N815" t="e">
            <v>#REF!</v>
          </cell>
          <cell r="O815" t="str">
            <v>A</v>
          </cell>
          <cell r="Q815">
            <v>0</v>
          </cell>
          <cell r="R815">
            <v>0</v>
          </cell>
        </row>
        <row r="816">
          <cell r="G816">
            <v>15031</v>
          </cell>
          <cell r="H816">
            <v>908000</v>
          </cell>
          <cell r="I816" t="str">
            <v>2100</v>
          </cell>
          <cell r="L816" t="str">
            <v>Provision For Depreciation</v>
          </cell>
          <cell r="M816" t="str">
            <v>ACCUMLATED DEPRECIATION</v>
          </cell>
          <cell r="N816" t="e">
            <v>#REF!</v>
          </cell>
          <cell r="O816" t="str">
            <v>A</v>
          </cell>
          <cell r="Q816">
            <v>-962344398</v>
          </cell>
          <cell r="R816">
            <v>-913641683</v>
          </cell>
          <cell r="U816">
            <v>-309770547</v>
          </cell>
          <cell r="V816">
            <v>-288930029</v>
          </cell>
          <cell r="Y816">
            <v>-553980077</v>
          </cell>
          <cell r="Z816">
            <v>-540306863</v>
          </cell>
          <cell r="AC816">
            <v>-64238672</v>
          </cell>
          <cell r="AD816">
            <v>-58326953</v>
          </cell>
          <cell r="AG816">
            <v>-34355102</v>
          </cell>
          <cell r="AH816">
            <v>-26077838</v>
          </cell>
        </row>
        <row r="817">
          <cell r="G817">
            <v>15027</v>
          </cell>
          <cell r="H817">
            <v>909000</v>
          </cell>
          <cell r="L817" t="str">
            <v>Accumlated Depreciation Computers</v>
          </cell>
          <cell r="M817" t="str">
            <v>ACCUMLATED DEPRECIATION COMPUTERS</v>
          </cell>
          <cell r="N817" t="e">
            <v>#REF!</v>
          </cell>
          <cell r="O817" t="str">
            <v>A</v>
          </cell>
          <cell r="Q817">
            <v>0</v>
          </cell>
          <cell r="R817">
            <v>0</v>
          </cell>
          <cell r="U817">
            <v>0</v>
          </cell>
          <cell r="V817">
            <v>0</v>
          </cell>
          <cell r="X817">
            <v>0</v>
          </cell>
          <cell r="Y817">
            <v>0</v>
          </cell>
          <cell r="Z817">
            <v>0</v>
          </cell>
          <cell r="AC817">
            <v>0</v>
          </cell>
          <cell r="AG817">
            <v>0</v>
          </cell>
          <cell r="AH817">
            <v>0</v>
          </cell>
        </row>
        <row r="818">
          <cell r="G818">
            <v>15028</v>
          </cell>
          <cell r="H818">
            <v>910000</v>
          </cell>
          <cell r="L818" t="str">
            <v>Accumlated Depreciation Furniture &amp; Fittings</v>
          </cell>
          <cell r="M818" t="str">
            <v>ACCUMLATED DEPRECIATION FURNITURE &amp; FITTINGS</v>
          </cell>
          <cell r="N818" t="e">
            <v>#REF!</v>
          </cell>
          <cell r="O818" t="str">
            <v>A</v>
          </cell>
          <cell r="Q818">
            <v>0</v>
          </cell>
          <cell r="R818">
            <v>0</v>
          </cell>
          <cell r="X818">
            <v>0</v>
          </cell>
        </row>
        <row r="819">
          <cell r="H819">
            <v>911000</v>
          </cell>
          <cell r="K819" t="str">
            <v>(B) Less  : Depreciation</v>
          </cell>
          <cell r="M819" t="e">
            <v>#N/A</v>
          </cell>
          <cell r="N819" t="e">
            <v>#REF!</v>
          </cell>
          <cell r="O819" t="str">
            <v>A</v>
          </cell>
          <cell r="Q819">
            <v>-962344398</v>
          </cell>
          <cell r="R819">
            <v>-913641683</v>
          </cell>
          <cell r="T819">
            <v>0</v>
          </cell>
          <cell r="U819">
            <v>-309770547</v>
          </cell>
          <cell r="V819">
            <v>-288930029</v>
          </cell>
          <cell r="X819">
            <v>0</v>
          </cell>
          <cell r="Y819">
            <v>-553980077</v>
          </cell>
          <cell r="Z819">
            <v>-540306863</v>
          </cell>
          <cell r="AB819">
            <v>0</v>
          </cell>
          <cell r="AC819">
            <v>-64238672</v>
          </cell>
          <cell r="AD819">
            <v>-58326953</v>
          </cell>
          <cell r="AF819">
            <v>0</v>
          </cell>
          <cell r="AG819">
            <v>-34355102</v>
          </cell>
          <cell r="AH819">
            <v>-26077838</v>
          </cell>
        </row>
        <row r="820">
          <cell r="H820">
            <v>912000</v>
          </cell>
          <cell r="K820" t="str">
            <v>(C) Net Block</v>
          </cell>
          <cell r="M820" t="e">
            <v>#N/A</v>
          </cell>
          <cell r="N820" t="e">
            <v>#REF!</v>
          </cell>
          <cell r="O820" t="str">
            <v>A</v>
          </cell>
          <cell r="P820">
            <v>0</v>
          </cell>
          <cell r="Q820">
            <v>671157405</v>
          </cell>
          <cell r="R820">
            <v>587282687</v>
          </cell>
          <cell r="T820">
            <v>0</v>
          </cell>
          <cell r="U820">
            <v>291884802</v>
          </cell>
          <cell r="V820">
            <v>281672611</v>
          </cell>
          <cell r="X820">
            <v>0</v>
          </cell>
          <cell r="Y820">
            <v>160586488</v>
          </cell>
          <cell r="Z820">
            <v>122012626</v>
          </cell>
          <cell r="AB820">
            <v>0</v>
          </cell>
          <cell r="AC820">
            <v>82365863</v>
          </cell>
          <cell r="AD820">
            <v>63537787</v>
          </cell>
          <cell r="AF820">
            <v>0</v>
          </cell>
          <cell r="AG820">
            <v>136320252</v>
          </cell>
          <cell r="AH820">
            <v>120059663</v>
          </cell>
        </row>
        <row r="821">
          <cell r="H821">
            <v>913000</v>
          </cell>
          <cell r="K821" t="str">
            <v>Add : Capital Work -In- Progress</v>
          </cell>
          <cell r="M821" t="e">
            <v>#N/A</v>
          </cell>
          <cell r="N821" t="e">
            <v>#REF!</v>
          </cell>
          <cell r="O821" t="str">
            <v>A</v>
          </cell>
          <cell r="Q821">
            <v>0</v>
          </cell>
          <cell r="R821">
            <v>0</v>
          </cell>
        </row>
        <row r="822">
          <cell r="G822">
            <v>15050</v>
          </cell>
          <cell r="H822">
            <v>914000</v>
          </cell>
          <cell r="I822" t="str">
            <v>3050</v>
          </cell>
          <cell r="L822" t="str">
            <v>Capital Work In Process</v>
          </cell>
          <cell r="M822" t="str">
            <v>CWIP</v>
          </cell>
          <cell r="N822" t="e">
            <v>#REF!</v>
          </cell>
          <cell r="O822" t="str">
            <v>A</v>
          </cell>
          <cell r="Q822">
            <v>-108953713</v>
          </cell>
          <cell r="R822">
            <v>8326732</v>
          </cell>
          <cell r="U822">
            <v>-26473600</v>
          </cell>
          <cell r="V822">
            <v>779454</v>
          </cell>
          <cell r="Y822">
            <v>-2142652</v>
          </cell>
          <cell r="Z822">
            <v>-10140505</v>
          </cell>
          <cell r="AC822">
            <v>2173852</v>
          </cell>
          <cell r="AD822">
            <v>13474688</v>
          </cell>
          <cell r="AG822">
            <v>-82511313</v>
          </cell>
          <cell r="AH822">
            <v>4213095</v>
          </cell>
        </row>
        <row r="823">
          <cell r="G823">
            <v>15044</v>
          </cell>
          <cell r="H823">
            <v>915000</v>
          </cell>
          <cell r="L823" t="str">
            <v>Cwip- Building</v>
          </cell>
          <cell r="M823" t="str">
            <v>CWIP - BUILDLING</v>
          </cell>
          <cell r="N823" t="e">
            <v>#REF!</v>
          </cell>
          <cell r="O823" t="str">
            <v>A</v>
          </cell>
          <cell r="Q823">
            <v>10185240</v>
          </cell>
          <cell r="R823">
            <v>8787321</v>
          </cell>
          <cell r="U823">
            <v>6582632</v>
          </cell>
          <cell r="V823">
            <v>5182362</v>
          </cell>
          <cell r="Y823">
            <v>3602608</v>
          </cell>
          <cell r="Z823">
            <v>3604959</v>
          </cell>
          <cell r="AC823">
            <v>0</v>
          </cell>
          <cell r="AD823">
            <v>0</v>
          </cell>
          <cell r="AG823">
            <v>0</v>
          </cell>
          <cell r="AH823">
            <v>0</v>
          </cell>
        </row>
        <row r="824">
          <cell r="G824">
            <v>15045</v>
          </cell>
          <cell r="H824">
            <v>916000</v>
          </cell>
          <cell r="L824" t="str">
            <v>Cwip- Plant And Machinery</v>
          </cell>
          <cell r="M824" t="str">
            <v>CWIP - PLANT &amp; MACHINERY</v>
          </cell>
          <cell r="N824" t="e">
            <v>#REF!</v>
          </cell>
          <cell r="O824" t="str">
            <v>A</v>
          </cell>
          <cell r="Q824">
            <v>47546001</v>
          </cell>
          <cell r="R824">
            <v>24882110</v>
          </cell>
          <cell r="U824">
            <v>31247353</v>
          </cell>
          <cell r="V824">
            <v>5961136</v>
          </cell>
          <cell r="Y824">
            <v>16298648</v>
          </cell>
          <cell r="Z824">
            <v>18920974</v>
          </cell>
          <cell r="AC824">
            <v>0</v>
          </cell>
          <cell r="AD824">
            <v>0</v>
          </cell>
          <cell r="AG824">
            <v>0</v>
          </cell>
          <cell r="AH824">
            <v>0</v>
          </cell>
        </row>
        <row r="825">
          <cell r="G825">
            <v>15046</v>
          </cell>
          <cell r="H825">
            <v>917000</v>
          </cell>
          <cell r="L825" t="str">
            <v>Cwip- Computers</v>
          </cell>
          <cell r="M825" t="str">
            <v>CWIP - COMPUTERS</v>
          </cell>
          <cell r="N825" t="e">
            <v>#REF!</v>
          </cell>
          <cell r="O825" t="str">
            <v>A</v>
          </cell>
          <cell r="Q825">
            <v>3204458</v>
          </cell>
          <cell r="R825">
            <v>1205660</v>
          </cell>
          <cell r="U825">
            <v>3105759</v>
          </cell>
          <cell r="V825">
            <v>1145266</v>
          </cell>
          <cell r="Y825">
            <v>98699</v>
          </cell>
          <cell r="Z825">
            <v>60394</v>
          </cell>
          <cell r="AC825">
            <v>0</v>
          </cell>
          <cell r="AD825">
            <v>0</v>
          </cell>
          <cell r="AG825">
            <v>0</v>
          </cell>
          <cell r="AH825">
            <v>0</v>
          </cell>
        </row>
        <row r="826">
          <cell r="G826">
            <v>15047</v>
          </cell>
          <cell r="H826">
            <v>918000</v>
          </cell>
          <cell r="L826" t="str">
            <v>Cwip- Furniture And Fittings</v>
          </cell>
          <cell r="M826" t="str">
            <v>CWIP - FURNITURE &amp; FITTINGS</v>
          </cell>
          <cell r="N826" t="e">
            <v>#REF!</v>
          </cell>
          <cell r="O826" t="str">
            <v>A</v>
          </cell>
          <cell r="Q826">
            <v>0</v>
          </cell>
          <cell r="R826">
            <v>0</v>
          </cell>
          <cell r="U826">
            <v>0</v>
          </cell>
          <cell r="V826">
            <v>0</v>
          </cell>
          <cell r="Y826">
            <v>0</v>
          </cell>
          <cell r="Z826">
            <v>0</v>
          </cell>
          <cell r="AC826">
            <v>0</v>
          </cell>
          <cell r="AD826">
            <v>0</v>
          </cell>
          <cell r="AG826">
            <v>0</v>
          </cell>
          <cell r="AH826">
            <v>0</v>
          </cell>
        </row>
        <row r="827">
          <cell r="H827">
            <v>919000</v>
          </cell>
          <cell r="I827" t="str">
            <v>3055</v>
          </cell>
          <cell r="L827" t="str">
            <v>Cwip- Chennai</v>
          </cell>
          <cell r="M827" t="e">
            <v>#N/A</v>
          </cell>
          <cell r="N827" t="e">
            <v>#REF!</v>
          </cell>
          <cell r="O827" t="str">
            <v>A</v>
          </cell>
          <cell r="Q827">
            <v>-28800</v>
          </cell>
          <cell r="R827">
            <v>0</v>
          </cell>
          <cell r="U827">
            <v>0</v>
          </cell>
          <cell r="V827">
            <v>0</v>
          </cell>
          <cell r="Y827">
            <v>0</v>
          </cell>
          <cell r="Z827">
            <v>0</v>
          </cell>
          <cell r="AC827">
            <v>-28800</v>
          </cell>
          <cell r="AD827">
            <v>0</v>
          </cell>
          <cell r="AG827">
            <v>0</v>
          </cell>
          <cell r="AH827">
            <v>0</v>
          </cell>
        </row>
        <row r="828">
          <cell r="H828">
            <v>920000</v>
          </cell>
          <cell r="I828" t="str">
            <v>3056</v>
          </cell>
          <cell r="L828" t="str">
            <v>Cwip- North</v>
          </cell>
          <cell r="M828" t="e">
            <v>#N/A</v>
          </cell>
          <cell r="N828" t="e">
            <v>#REF!</v>
          </cell>
          <cell r="O828" t="str">
            <v>A</v>
          </cell>
          <cell r="Q828">
            <v>86719577</v>
          </cell>
          <cell r="R828">
            <v>2976987</v>
          </cell>
          <cell r="U828">
            <v>0</v>
          </cell>
          <cell r="V828">
            <v>0</v>
          </cell>
          <cell r="Y828">
            <v>0</v>
          </cell>
          <cell r="Z828">
            <v>0</v>
          </cell>
          <cell r="AC828">
            <v>0</v>
          </cell>
          <cell r="AD828">
            <v>0</v>
          </cell>
          <cell r="AG828">
            <v>86719577</v>
          </cell>
          <cell r="AH828">
            <v>2976987</v>
          </cell>
        </row>
        <row r="829">
          <cell r="H829">
            <v>921000</v>
          </cell>
          <cell r="L829">
            <v>0</v>
          </cell>
          <cell r="M829" t="e">
            <v>#N/A</v>
          </cell>
          <cell r="N829" t="e">
            <v>#REF!</v>
          </cell>
          <cell r="O829" t="str">
            <v>A</v>
          </cell>
          <cell r="Q829">
            <v>0</v>
          </cell>
          <cell r="R829">
            <v>0</v>
          </cell>
          <cell r="U829">
            <v>0</v>
          </cell>
          <cell r="V829">
            <v>0</v>
          </cell>
          <cell r="AC829">
            <v>0</v>
          </cell>
          <cell r="AD829">
            <v>0</v>
          </cell>
          <cell r="AG829">
            <v>0</v>
          </cell>
          <cell r="AH829">
            <v>0</v>
          </cell>
        </row>
        <row r="830">
          <cell r="H830">
            <v>922000</v>
          </cell>
          <cell r="K830" t="str">
            <v>Add : Capital Work -In- Progress</v>
          </cell>
          <cell r="M830" t="e">
            <v>#N/A</v>
          </cell>
          <cell r="N830" t="e">
            <v>#REF!</v>
          </cell>
          <cell r="O830" t="str">
            <v>A</v>
          </cell>
          <cell r="P830">
            <v>0</v>
          </cell>
          <cell r="Q830">
            <v>38672763</v>
          </cell>
          <cell r="R830">
            <v>46178810</v>
          </cell>
          <cell r="T830">
            <v>0</v>
          </cell>
          <cell r="U830">
            <v>14462144</v>
          </cell>
          <cell r="V830">
            <v>13068218</v>
          </cell>
          <cell r="X830">
            <v>0</v>
          </cell>
          <cell r="Y830">
            <v>17857303</v>
          </cell>
          <cell r="Z830">
            <v>12445822</v>
          </cell>
          <cell r="AB830">
            <v>0</v>
          </cell>
          <cell r="AC830">
            <v>2145052</v>
          </cell>
          <cell r="AD830">
            <v>13474688</v>
          </cell>
          <cell r="AF830">
            <v>0</v>
          </cell>
          <cell r="AG830">
            <v>4208264</v>
          </cell>
          <cell r="AH830">
            <v>7190082</v>
          </cell>
        </row>
        <row r="831">
          <cell r="H831">
            <v>923000</v>
          </cell>
          <cell r="J831" t="str">
            <v>Fixed Assets</v>
          </cell>
          <cell r="M831" t="e">
            <v>#N/A</v>
          </cell>
          <cell r="N831" t="e">
            <v>#REF!</v>
          </cell>
          <cell r="O831" t="str">
            <v>A</v>
          </cell>
          <cell r="Q831">
            <v>709830168</v>
          </cell>
          <cell r="R831">
            <v>633461497</v>
          </cell>
          <cell r="T831">
            <v>0</v>
          </cell>
          <cell r="U831">
            <v>306346946</v>
          </cell>
          <cell r="V831">
            <v>294740829</v>
          </cell>
          <cell r="X831">
            <v>0</v>
          </cell>
          <cell r="Y831">
            <v>178443791</v>
          </cell>
          <cell r="Z831">
            <v>134458448</v>
          </cell>
          <cell r="AB831">
            <v>0</v>
          </cell>
          <cell r="AC831">
            <v>84510915</v>
          </cell>
          <cell r="AD831">
            <v>77012475</v>
          </cell>
          <cell r="AF831">
            <v>0</v>
          </cell>
          <cell r="AG831">
            <v>140528516</v>
          </cell>
          <cell r="AH831">
            <v>127249745</v>
          </cell>
        </row>
        <row r="832">
          <cell r="H832">
            <v>924000</v>
          </cell>
          <cell r="M832" t="e">
            <v>#N/A</v>
          </cell>
          <cell r="N832" t="e">
            <v>#REF!</v>
          </cell>
          <cell r="O832" t="str">
            <v>A</v>
          </cell>
          <cell r="Q832">
            <v>0</v>
          </cell>
          <cell r="R832">
            <v>0</v>
          </cell>
        </row>
        <row r="833">
          <cell r="H833">
            <v>925000</v>
          </cell>
          <cell r="J833" t="str">
            <v>INVESTMENTS</v>
          </cell>
          <cell r="M833" t="e">
            <v>#N/A</v>
          </cell>
          <cell r="N833" t="e">
            <v>#REF!</v>
          </cell>
          <cell r="O833" t="str">
            <v>A</v>
          </cell>
        </row>
        <row r="834">
          <cell r="G834">
            <v>15062</v>
          </cell>
          <cell r="H834">
            <v>926000</v>
          </cell>
          <cell r="I834" t="str">
            <v>3100</v>
          </cell>
          <cell r="L834" t="str">
            <v>Investment In Subsidiries (Proseal)</v>
          </cell>
          <cell r="M834" t="str">
            <v>INVESTMENTS</v>
          </cell>
          <cell r="N834" t="e">
            <v>#REF!</v>
          </cell>
          <cell r="O834" t="str">
            <v>A</v>
          </cell>
          <cell r="P834">
            <v>0</v>
          </cell>
          <cell r="Q834">
            <v>444291837</v>
          </cell>
          <cell r="R834">
            <v>444291837</v>
          </cell>
          <cell r="T834">
            <v>0</v>
          </cell>
          <cell r="U834">
            <v>444291837</v>
          </cell>
          <cell r="V834">
            <v>444291837</v>
          </cell>
          <cell r="X834">
            <v>0</v>
          </cell>
          <cell r="Y834">
            <v>0</v>
          </cell>
          <cell r="Z834">
            <v>0</v>
          </cell>
          <cell r="AB834">
            <v>0</v>
          </cell>
          <cell r="AC834">
            <v>0</v>
          </cell>
          <cell r="AD834">
            <v>0</v>
          </cell>
          <cell r="AF834">
            <v>0</v>
          </cell>
          <cell r="AG834">
            <v>0</v>
          </cell>
          <cell r="AH834">
            <v>0</v>
          </cell>
        </row>
        <row r="835">
          <cell r="H835">
            <v>927000</v>
          </cell>
          <cell r="L835" t="str">
            <v>Investment In Transafe</v>
          </cell>
          <cell r="M835" t="e">
            <v>#N/A</v>
          </cell>
          <cell r="N835" t="e">
            <v>#REF!</v>
          </cell>
          <cell r="O835" t="str">
            <v>A</v>
          </cell>
          <cell r="AC835">
            <v>0</v>
          </cell>
          <cell r="AG835">
            <v>0</v>
          </cell>
        </row>
        <row r="836">
          <cell r="H836">
            <v>928000</v>
          </cell>
          <cell r="I836" t="str">
            <v>3110</v>
          </cell>
          <cell r="L836" t="str">
            <v>Investment In Mutual Funds</v>
          </cell>
          <cell r="M836" t="e">
            <v>#N/A</v>
          </cell>
          <cell r="N836" t="e">
            <v>#REF!</v>
          </cell>
          <cell r="O836" t="str">
            <v>A</v>
          </cell>
          <cell r="Q836">
            <v>0</v>
          </cell>
          <cell r="R836">
            <v>0</v>
          </cell>
          <cell r="U836">
            <v>0</v>
          </cell>
          <cell r="V836">
            <v>0</v>
          </cell>
          <cell r="Y836">
            <v>0</v>
          </cell>
          <cell r="Z836">
            <v>0</v>
          </cell>
          <cell r="AC836">
            <v>0</v>
          </cell>
          <cell r="AD836">
            <v>0</v>
          </cell>
          <cell r="AG836">
            <v>0</v>
          </cell>
          <cell r="AH836">
            <v>0</v>
          </cell>
        </row>
        <row r="837">
          <cell r="H837">
            <v>929000</v>
          </cell>
          <cell r="J837" t="str">
            <v>INVESTMENTS</v>
          </cell>
          <cell r="M837" t="e">
            <v>#N/A</v>
          </cell>
          <cell r="N837" t="e">
            <v>#REF!</v>
          </cell>
          <cell r="O837" t="str">
            <v>A</v>
          </cell>
          <cell r="P837">
            <v>0</v>
          </cell>
          <cell r="Q837">
            <v>444291837</v>
          </cell>
          <cell r="R837">
            <v>444291837</v>
          </cell>
          <cell r="T837">
            <v>0</v>
          </cell>
          <cell r="U837">
            <v>444291837</v>
          </cell>
          <cell r="V837">
            <v>444291837</v>
          </cell>
          <cell r="X837">
            <v>0</v>
          </cell>
          <cell r="Y837">
            <v>0</v>
          </cell>
          <cell r="Z837">
            <v>0</v>
          </cell>
          <cell r="AB837">
            <v>0</v>
          </cell>
          <cell r="AC837">
            <v>0</v>
          </cell>
          <cell r="AD837">
            <v>0</v>
          </cell>
          <cell r="AF837">
            <v>0</v>
          </cell>
          <cell r="AG837">
            <v>0</v>
          </cell>
          <cell r="AH837">
            <v>0</v>
          </cell>
        </row>
        <row r="838">
          <cell r="H838">
            <v>930000</v>
          </cell>
          <cell r="M838" t="e">
            <v>#N/A</v>
          </cell>
          <cell r="N838" t="e">
            <v>#REF!</v>
          </cell>
          <cell r="O838" t="str">
            <v>A</v>
          </cell>
        </row>
        <row r="839">
          <cell r="H839">
            <v>931000</v>
          </cell>
          <cell r="J839" t="str">
            <v>LONG -TERM LOANS AND ADVANCES</v>
          </cell>
          <cell r="M839" t="e">
            <v>#N/A</v>
          </cell>
          <cell r="N839" t="e">
            <v>#REF!</v>
          </cell>
          <cell r="O839" t="str">
            <v>A</v>
          </cell>
        </row>
        <row r="840">
          <cell r="H840">
            <v>932000</v>
          </cell>
          <cell r="K840" t="str">
            <v>Capital Advance</v>
          </cell>
          <cell r="M840" t="e">
            <v>#N/A</v>
          </cell>
          <cell r="N840" t="e">
            <v>#REF!</v>
          </cell>
          <cell r="O840" t="str">
            <v>A</v>
          </cell>
        </row>
        <row r="841">
          <cell r="G841">
            <v>15049</v>
          </cell>
          <cell r="H841">
            <v>933000</v>
          </cell>
          <cell r="I841" t="str">
            <v>3420</v>
          </cell>
          <cell r="L841" t="str">
            <v>Advance A/C - Capex</v>
          </cell>
          <cell r="M841" t="str">
            <v>CAPITAL ADVANCES</v>
          </cell>
          <cell r="N841" t="e">
            <v>#REF!</v>
          </cell>
          <cell r="O841" t="str">
            <v>A</v>
          </cell>
          <cell r="Q841">
            <v>16622509</v>
          </cell>
          <cell r="R841">
            <v>0</v>
          </cell>
          <cell r="U841">
            <v>4396556</v>
          </cell>
          <cell r="V841">
            <v>0</v>
          </cell>
          <cell r="Y841">
            <v>1728060</v>
          </cell>
          <cell r="Z841">
            <v>0</v>
          </cell>
          <cell r="AC841">
            <v>1853237</v>
          </cell>
          <cell r="AD841">
            <v>0</v>
          </cell>
          <cell r="AG841">
            <v>8644656</v>
          </cell>
          <cell r="AH841">
            <v>0</v>
          </cell>
        </row>
        <row r="842">
          <cell r="Q842">
            <v>0</v>
          </cell>
          <cell r="R842">
            <v>12595264</v>
          </cell>
          <cell r="V842">
            <v>6895744</v>
          </cell>
          <cell r="Z842">
            <v>4387520</v>
          </cell>
          <cell r="AC842">
            <v>0</v>
          </cell>
          <cell r="AG842">
            <v>0</v>
          </cell>
          <cell r="AH842">
            <v>1312000</v>
          </cell>
        </row>
        <row r="843">
          <cell r="H843">
            <v>935000</v>
          </cell>
          <cell r="K843" t="e">
            <v>#REF!</v>
          </cell>
          <cell r="L843" t="str">
            <v>Sub-Total</v>
          </cell>
          <cell r="M843" t="e">
            <v>#N/A</v>
          </cell>
          <cell r="N843" t="e">
            <v>#REF!</v>
          </cell>
          <cell r="O843" t="str">
            <v>A</v>
          </cell>
          <cell r="P843">
            <v>0</v>
          </cell>
          <cell r="Q843">
            <v>16622509</v>
          </cell>
          <cell r="R843">
            <v>12595264</v>
          </cell>
          <cell r="T843">
            <v>0</v>
          </cell>
          <cell r="U843">
            <v>4396556</v>
          </cell>
          <cell r="V843">
            <v>6895744</v>
          </cell>
          <cell r="W843">
            <v>0</v>
          </cell>
          <cell r="X843">
            <v>0</v>
          </cell>
          <cell r="Y843">
            <v>1728060</v>
          </cell>
          <cell r="Z843">
            <v>4387520</v>
          </cell>
          <cell r="AA843">
            <v>0</v>
          </cell>
          <cell r="AB843">
            <v>0</v>
          </cell>
          <cell r="AC843">
            <v>1853237</v>
          </cell>
          <cell r="AD843">
            <v>0</v>
          </cell>
          <cell r="AE843">
            <v>0</v>
          </cell>
          <cell r="AF843">
            <v>0</v>
          </cell>
          <cell r="AG843">
            <v>8644656</v>
          </cell>
          <cell r="AH843">
            <v>1312000</v>
          </cell>
        </row>
        <row r="844">
          <cell r="H844">
            <v>936000</v>
          </cell>
          <cell r="K844" t="str">
            <v>Security Deposits</v>
          </cell>
          <cell r="M844" t="e">
            <v>#N/A</v>
          </cell>
          <cell r="N844" t="e">
            <v>#REF!</v>
          </cell>
          <cell r="O844" t="str">
            <v>A</v>
          </cell>
          <cell r="AC844">
            <v>0</v>
          </cell>
          <cell r="AD844">
            <v>0</v>
          </cell>
          <cell r="AG844">
            <v>0</v>
          </cell>
          <cell r="AH844">
            <v>0</v>
          </cell>
        </row>
        <row r="845">
          <cell r="G845">
            <v>15197</v>
          </cell>
          <cell r="H845">
            <v>937000</v>
          </cell>
          <cell r="I845" t="str">
            <v>3700</v>
          </cell>
          <cell r="L845" t="str">
            <v>Deposits Paid</v>
          </cell>
          <cell r="M845" t="str">
            <v>DEPOSITS PAID</v>
          </cell>
          <cell r="N845" t="e">
            <v>#REF!</v>
          </cell>
          <cell r="O845" t="str">
            <v>A</v>
          </cell>
          <cell r="Q845">
            <v>22688477</v>
          </cell>
          <cell r="R845">
            <v>22709678</v>
          </cell>
          <cell r="U845">
            <v>1502382</v>
          </cell>
          <cell r="V845">
            <v>1460463</v>
          </cell>
          <cell r="Y845">
            <v>16623056</v>
          </cell>
          <cell r="Z845">
            <v>17586215</v>
          </cell>
          <cell r="AC845">
            <v>2533300</v>
          </cell>
          <cell r="AD845">
            <v>1652688</v>
          </cell>
          <cell r="AG845">
            <v>2029739</v>
          </cell>
          <cell r="AH845">
            <v>2010312</v>
          </cell>
        </row>
        <row r="846">
          <cell r="G846">
            <v>15198</v>
          </cell>
          <cell r="H846">
            <v>938000</v>
          </cell>
          <cell r="I846" t="str">
            <v>3705</v>
          </cell>
          <cell r="L846" t="str">
            <v>Rent Deposits</v>
          </cell>
          <cell r="M846" t="str">
            <v>RENT DEPOSITS</v>
          </cell>
          <cell r="N846" t="e">
            <v>#REF!</v>
          </cell>
          <cell r="O846" t="str">
            <v>A</v>
          </cell>
          <cell r="Q846">
            <v>1800</v>
          </cell>
          <cell r="R846">
            <v>1800</v>
          </cell>
          <cell r="U846">
            <v>1800</v>
          </cell>
          <cell r="V846">
            <v>1800</v>
          </cell>
          <cell r="Y846">
            <v>0</v>
          </cell>
          <cell r="Z846">
            <v>0</v>
          </cell>
          <cell r="AC846">
            <v>0</v>
          </cell>
          <cell r="AD846">
            <v>0</v>
          </cell>
          <cell r="AG846">
            <v>0</v>
          </cell>
          <cell r="AH846">
            <v>0</v>
          </cell>
        </row>
        <row r="847">
          <cell r="H847">
            <v>939000</v>
          </cell>
          <cell r="L847" t="str">
            <v>Regrouped to Short Term Deposits</v>
          </cell>
          <cell r="O847" t="str">
            <v>A</v>
          </cell>
          <cell r="Q847">
            <v>-4561948</v>
          </cell>
          <cell r="R847">
            <v>-7027968</v>
          </cell>
          <cell r="U847">
            <v>-4561948</v>
          </cell>
          <cell r="V847">
            <v>-1141013</v>
          </cell>
          <cell r="W847">
            <v>0</v>
          </cell>
          <cell r="X847">
            <v>0</v>
          </cell>
          <cell r="Y847">
            <v>0</v>
          </cell>
          <cell r="Z847">
            <v>-5832133</v>
          </cell>
          <cell r="AA847">
            <v>0</v>
          </cell>
          <cell r="AB847">
            <v>0</v>
          </cell>
          <cell r="AC847">
            <v>0</v>
          </cell>
          <cell r="AD847">
            <v>-7000</v>
          </cell>
          <cell r="AE847">
            <v>0</v>
          </cell>
          <cell r="AF847">
            <v>0</v>
          </cell>
          <cell r="AG847">
            <v>0</v>
          </cell>
          <cell r="AH847">
            <v>-47822</v>
          </cell>
        </row>
        <row r="848">
          <cell r="H848">
            <v>940000</v>
          </cell>
          <cell r="L848" t="str">
            <v>Regrouped from Doubtful</v>
          </cell>
          <cell r="M848" t="e">
            <v>#N/A</v>
          </cell>
          <cell r="N848" t="e">
            <v>#REF!</v>
          </cell>
          <cell r="O848" t="str">
            <v>A</v>
          </cell>
          <cell r="Q848">
            <v>-681671</v>
          </cell>
          <cell r="R848">
            <v>-681671</v>
          </cell>
          <cell r="U848">
            <v>-681671</v>
          </cell>
          <cell r="V848">
            <v>-681671</v>
          </cell>
          <cell r="W848">
            <v>0</v>
          </cell>
          <cell r="X848">
            <v>0</v>
          </cell>
          <cell r="Y848">
            <v>0</v>
          </cell>
          <cell r="Z848">
            <v>0</v>
          </cell>
          <cell r="AA848">
            <v>0</v>
          </cell>
          <cell r="AB848">
            <v>0</v>
          </cell>
          <cell r="AC848">
            <v>0</v>
          </cell>
          <cell r="AD848">
            <v>0</v>
          </cell>
          <cell r="AE848">
            <v>0</v>
          </cell>
          <cell r="AF848">
            <v>0</v>
          </cell>
          <cell r="AG848">
            <v>0</v>
          </cell>
          <cell r="AH848">
            <v>0</v>
          </cell>
        </row>
        <row r="849">
          <cell r="H849">
            <v>941000</v>
          </cell>
          <cell r="K849" t="str">
            <v>Security Deposits</v>
          </cell>
          <cell r="L849" t="str">
            <v>Sub-Total</v>
          </cell>
          <cell r="M849" t="e">
            <v>#N/A</v>
          </cell>
          <cell r="N849" t="e">
            <v>#REF!</v>
          </cell>
          <cell r="O849" t="str">
            <v>A</v>
          </cell>
          <cell r="P849">
            <v>0</v>
          </cell>
          <cell r="Q849">
            <v>17446658</v>
          </cell>
          <cell r="R849">
            <v>15001839</v>
          </cell>
          <cell r="T849">
            <v>0</v>
          </cell>
          <cell r="U849">
            <v>-3739437</v>
          </cell>
          <cell r="V849">
            <v>-360421</v>
          </cell>
          <cell r="X849">
            <v>0</v>
          </cell>
          <cell r="Y849">
            <v>16623056</v>
          </cell>
          <cell r="Z849">
            <v>11754082</v>
          </cell>
          <cell r="AB849">
            <v>0</v>
          </cell>
          <cell r="AC849">
            <v>2533300</v>
          </cell>
          <cell r="AD849">
            <v>1645688</v>
          </cell>
          <cell r="AF849">
            <v>0</v>
          </cell>
          <cell r="AG849">
            <v>2029739</v>
          </cell>
          <cell r="AH849">
            <v>1962490</v>
          </cell>
        </row>
        <row r="850">
          <cell r="H850">
            <v>942000</v>
          </cell>
          <cell r="K850" t="str">
            <v>Balance With Government Authorities</v>
          </cell>
          <cell r="M850" t="e">
            <v>#N/A</v>
          </cell>
          <cell r="N850" t="e">
            <v>#REF!</v>
          </cell>
          <cell r="O850" t="str">
            <v>A</v>
          </cell>
        </row>
        <row r="851">
          <cell r="G851">
            <v>15381</v>
          </cell>
          <cell r="H851">
            <v>943000</v>
          </cell>
          <cell r="I851" t="str">
            <v>3604</v>
          </cell>
          <cell r="L851" t="str">
            <v>Recoverable From Sales Tax A/C</v>
          </cell>
          <cell r="M851" t="str">
            <v>RECOVERABLE FROM SALES TAX A/C</v>
          </cell>
          <cell r="N851" t="e">
            <v>#REF!</v>
          </cell>
          <cell r="O851" t="str">
            <v>A</v>
          </cell>
          <cell r="Q851">
            <v>8295768</v>
          </cell>
          <cell r="R851">
            <v>7654822</v>
          </cell>
          <cell r="U851">
            <v>8176818</v>
          </cell>
          <cell r="V851">
            <v>7535872</v>
          </cell>
          <cell r="Y851">
            <v>118950</v>
          </cell>
          <cell r="Z851">
            <v>118950</v>
          </cell>
          <cell r="AC851">
            <v>0</v>
          </cell>
          <cell r="AD851">
            <v>0</v>
          </cell>
          <cell r="AG851">
            <v>0</v>
          </cell>
          <cell r="AH851">
            <v>0</v>
          </cell>
        </row>
        <row r="852">
          <cell r="H852">
            <v>944000</v>
          </cell>
          <cell r="M852" t="e">
            <v>#N/A</v>
          </cell>
          <cell r="N852" t="e">
            <v>#REF!</v>
          </cell>
          <cell r="O852" t="str">
            <v>A</v>
          </cell>
          <cell r="Q852">
            <v>0</v>
          </cell>
          <cell r="R852">
            <v>0</v>
          </cell>
          <cell r="Y852">
            <v>0</v>
          </cell>
          <cell r="Z852">
            <v>0</v>
          </cell>
          <cell r="AC852">
            <v>0</v>
          </cell>
          <cell r="AD852">
            <v>0</v>
          </cell>
          <cell r="AG852">
            <v>0</v>
          </cell>
          <cell r="AH852">
            <v>0</v>
          </cell>
        </row>
        <row r="853">
          <cell r="H853">
            <v>945000</v>
          </cell>
          <cell r="K853" t="e">
            <v>#REF!</v>
          </cell>
          <cell r="L853" t="str">
            <v>Sub-Total</v>
          </cell>
          <cell r="M853" t="e">
            <v>#N/A</v>
          </cell>
          <cell r="N853" t="e">
            <v>#REF!</v>
          </cell>
          <cell r="O853" t="str">
            <v>A</v>
          </cell>
          <cell r="P853">
            <v>0</v>
          </cell>
          <cell r="Q853">
            <v>8295768</v>
          </cell>
          <cell r="R853">
            <v>7654822</v>
          </cell>
          <cell r="T853">
            <v>0</v>
          </cell>
          <cell r="U853">
            <v>8176818</v>
          </cell>
          <cell r="V853">
            <v>7535872</v>
          </cell>
          <cell r="X853">
            <v>0</v>
          </cell>
          <cell r="Y853">
            <v>118950</v>
          </cell>
          <cell r="Z853">
            <v>118950</v>
          </cell>
          <cell r="AB853">
            <v>0</v>
          </cell>
          <cell r="AC853">
            <v>0</v>
          </cell>
          <cell r="AD853">
            <v>0</v>
          </cell>
          <cell r="AF853">
            <v>0</v>
          </cell>
          <cell r="AG853">
            <v>0</v>
          </cell>
          <cell r="AH853">
            <v>0</v>
          </cell>
        </row>
        <row r="854">
          <cell r="H854">
            <v>946000</v>
          </cell>
          <cell r="K854" t="str">
            <v>Prepaid Expenses</v>
          </cell>
          <cell r="M854" t="e">
            <v>#N/A</v>
          </cell>
          <cell r="N854" t="e">
            <v>#REF!</v>
          </cell>
          <cell r="O854" t="str">
            <v>A</v>
          </cell>
        </row>
        <row r="855">
          <cell r="G855">
            <v>15221</v>
          </cell>
          <cell r="H855">
            <v>947000</v>
          </cell>
          <cell r="I855" t="str">
            <v>3750</v>
          </cell>
          <cell r="L855" t="str">
            <v>Prepaid Expenses</v>
          </cell>
          <cell r="M855" t="str">
            <v>PREPAID EXPENSES</v>
          </cell>
          <cell r="N855" t="e">
            <v>#REF!</v>
          </cell>
          <cell r="O855" t="str">
            <v>A</v>
          </cell>
          <cell r="Q855">
            <v>1714364</v>
          </cell>
          <cell r="R855">
            <v>1947334</v>
          </cell>
          <cell r="U855">
            <v>917610</v>
          </cell>
          <cell r="V855">
            <v>1159887</v>
          </cell>
          <cell r="Y855">
            <v>468712</v>
          </cell>
          <cell r="Z855">
            <v>527365</v>
          </cell>
          <cell r="AC855">
            <v>151658</v>
          </cell>
          <cell r="AD855">
            <v>180995</v>
          </cell>
          <cell r="AG855">
            <v>176384</v>
          </cell>
          <cell r="AH855">
            <v>79087</v>
          </cell>
        </row>
        <row r="856">
          <cell r="G856">
            <v>15222</v>
          </cell>
          <cell r="H856">
            <v>948000</v>
          </cell>
          <cell r="I856" t="str">
            <v>3755</v>
          </cell>
          <cell r="L856" t="str">
            <v>Prepaid Insurance</v>
          </cell>
          <cell r="M856" t="str">
            <v>PREPAID INSURANCE</v>
          </cell>
          <cell r="N856" t="e">
            <v>#REF!</v>
          </cell>
          <cell r="O856" t="str">
            <v>A</v>
          </cell>
          <cell r="Q856">
            <v>2584064</v>
          </cell>
          <cell r="R856">
            <v>2782870</v>
          </cell>
          <cell r="U856">
            <v>2558678</v>
          </cell>
          <cell r="V856">
            <v>2770324</v>
          </cell>
          <cell r="Y856">
            <v>8517</v>
          </cell>
          <cell r="Z856">
            <v>8931</v>
          </cell>
          <cell r="AC856">
            <v>16869</v>
          </cell>
          <cell r="AD856">
            <v>3615</v>
          </cell>
          <cell r="AG856">
            <v>0</v>
          </cell>
          <cell r="AH856">
            <v>0</v>
          </cell>
        </row>
        <row r="857">
          <cell r="H857">
            <v>949000</v>
          </cell>
          <cell r="L857" t="str">
            <v>Regrouped to Short Term Prepaid</v>
          </cell>
          <cell r="O857" t="str">
            <v>A</v>
          </cell>
          <cell r="Q857">
            <v>-3629057</v>
          </cell>
          <cell r="R857">
            <v>-3760090</v>
          </cell>
          <cell r="U857">
            <v>-3629057</v>
          </cell>
          <cell r="V857">
            <v>-3455392</v>
          </cell>
          <cell r="W857">
            <v>0</v>
          </cell>
          <cell r="X857">
            <v>0</v>
          </cell>
          <cell r="Y857">
            <v>0</v>
          </cell>
          <cell r="Z857">
            <v>-93001</v>
          </cell>
          <cell r="AA857">
            <v>0</v>
          </cell>
          <cell r="AB857">
            <v>0</v>
          </cell>
          <cell r="AC857">
            <v>0</v>
          </cell>
          <cell r="AD857">
            <v>-132610</v>
          </cell>
          <cell r="AE857">
            <v>0</v>
          </cell>
          <cell r="AF857">
            <v>0</v>
          </cell>
          <cell r="AG857">
            <v>0</v>
          </cell>
          <cell r="AH857">
            <v>-79087</v>
          </cell>
        </row>
        <row r="858">
          <cell r="H858">
            <v>950000</v>
          </cell>
          <cell r="K858" t="str">
            <v>Prepaid Expenses</v>
          </cell>
          <cell r="L858" t="str">
            <v>Sub-Total</v>
          </cell>
          <cell r="M858" t="e">
            <v>#N/A</v>
          </cell>
          <cell r="N858" t="e">
            <v>#REF!</v>
          </cell>
          <cell r="O858" t="str">
            <v>A</v>
          </cell>
          <cell r="P858">
            <v>0</v>
          </cell>
          <cell r="Q858">
            <v>669371</v>
          </cell>
          <cell r="R858">
            <v>970114</v>
          </cell>
          <cell r="T858">
            <v>0</v>
          </cell>
          <cell r="U858">
            <v>-152769</v>
          </cell>
          <cell r="V858">
            <v>474819</v>
          </cell>
          <cell r="W858">
            <v>0</v>
          </cell>
          <cell r="X858">
            <v>0</v>
          </cell>
          <cell r="Y858">
            <v>477229</v>
          </cell>
          <cell r="Z858">
            <v>443295</v>
          </cell>
          <cell r="AA858">
            <v>0</v>
          </cell>
          <cell r="AB858">
            <v>0</v>
          </cell>
          <cell r="AC858">
            <v>168527</v>
          </cell>
          <cell r="AD858">
            <v>52000</v>
          </cell>
          <cell r="AE858">
            <v>0</v>
          </cell>
          <cell r="AF858">
            <v>0</v>
          </cell>
          <cell r="AG858">
            <v>176384</v>
          </cell>
          <cell r="AH858">
            <v>0</v>
          </cell>
        </row>
        <row r="859">
          <cell r="H859">
            <v>951000</v>
          </cell>
          <cell r="K859" t="str">
            <v>Others Considered Good</v>
          </cell>
          <cell r="M859" t="e">
            <v>#N/A</v>
          </cell>
          <cell r="N859" t="e">
            <v>#REF!</v>
          </cell>
          <cell r="O859" t="str">
            <v>A</v>
          </cell>
        </row>
        <row r="860">
          <cell r="H860">
            <v>952000</v>
          </cell>
          <cell r="L860" t="str">
            <v>Regrouped from Short Term Others</v>
          </cell>
          <cell r="O860" t="str">
            <v>A</v>
          </cell>
          <cell r="Q860">
            <v>1651723</v>
          </cell>
          <cell r="R860">
            <v>4543670</v>
          </cell>
          <cell r="U860">
            <v>629667</v>
          </cell>
          <cell r="V860">
            <v>4543670</v>
          </cell>
          <cell r="Y860">
            <v>1022056</v>
          </cell>
        </row>
        <row r="861">
          <cell r="H861">
            <v>953000</v>
          </cell>
          <cell r="K861" t="e">
            <v>#REF!</v>
          </cell>
          <cell r="L861" t="str">
            <v>Sub-Total</v>
          </cell>
          <cell r="M861" t="e">
            <v>#N/A</v>
          </cell>
          <cell r="N861" t="e">
            <v>#REF!</v>
          </cell>
          <cell r="O861" t="str">
            <v>A</v>
          </cell>
          <cell r="P861">
            <v>0</v>
          </cell>
          <cell r="Q861">
            <v>1651723</v>
          </cell>
          <cell r="R861">
            <v>4543670</v>
          </cell>
          <cell r="T861">
            <v>0</v>
          </cell>
          <cell r="U861">
            <v>629667</v>
          </cell>
          <cell r="V861">
            <v>4543670</v>
          </cell>
          <cell r="W861">
            <v>0</v>
          </cell>
          <cell r="X861">
            <v>0</v>
          </cell>
          <cell r="Y861">
            <v>1022056</v>
          </cell>
          <cell r="Z861">
            <v>0</v>
          </cell>
          <cell r="AA861">
            <v>0</v>
          </cell>
          <cell r="AB861">
            <v>0</v>
          </cell>
          <cell r="AC861">
            <v>0</v>
          </cell>
          <cell r="AD861">
            <v>0</v>
          </cell>
          <cell r="AE861">
            <v>0</v>
          </cell>
          <cell r="AF861">
            <v>0</v>
          </cell>
          <cell r="AG861">
            <v>0</v>
          </cell>
          <cell r="AH861">
            <v>0</v>
          </cell>
        </row>
        <row r="862">
          <cell r="H862">
            <v>954000</v>
          </cell>
          <cell r="K862" t="str">
            <v>Others Considered Doubtful</v>
          </cell>
          <cell r="M862" t="e">
            <v>#N/A</v>
          </cell>
          <cell r="N862" t="e">
            <v>#REF!</v>
          </cell>
          <cell r="O862" t="str">
            <v>A</v>
          </cell>
        </row>
        <row r="863">
          <cell r="G863">
            <v>15269</v>
          </cell>
          <cell r="H863">
            <v>955000</v>
          </cell>
          <cell r="I863" t="str">
            <v>2160</v>
          </cell>
          <cell r="L863" t="str">
            <v>Provision For  Loans &amp; Advances</v>
          </cell>
          <cell r="M863" t="str">
            <v>PROVISION FOR LOANS &amp; ADVANCES</v>
          </cell>
          <cell r="N863" t="e">
            <v>#REF!</v>
          </cell>
          <cell r="O863" t="str">
            <v>A</v>
          </cell>
          <cell r="Q863">
            <v>-2049996</v>
          </cell>
          <cell r="R863">
            <v>-2049996</v>
          </cell>
          <cell r="U863">
            <v>-686451</v>
          </cell>
          <cell r="V863">
            <v>-686451</v>
          </cell>
          <cell r="Y863">
            <v>-627408</v>
          </cell>
          <cell r="Z863">
            <v>-627408</v>
          </cell>
          <cell r="AC863">
            <v>-736137</v>
          </cell>
          <cell r="AD863">
            <v>-736137</v>
          </cell>
          <cell r="AG863">
            <v>0</v>
          </cell>
          <cell r="AH863">
            <v>0</v>
          </cell>
        </row>
        <row r="864">
          <cell r="H864">
            <v>956000</v>
          </cell>
          <cell r="L864" t="str">
            <v>Regrouped in Deposits</v>
          </cell>
          <cell r="O864" t="str">
            <v>A</v>
          </cell>
          <cell r="Q864">
            <v>681671</v>
          </cell>
          <cell r="R864">
            <v>681671</v>
          </cell>
          <cell r="U864">
            <v>681671</v>
          </cell>
          <cell r="V864">
            <v>681671</v>
          </cell>
        </row>
        <row r="865">
          <cell r="H865">
            <v>957000</v>
          </cell>
          <cell r="O865" t="str">
            <v>A</v>
          </cell>
        </row>
        <row r="866">
          <cell r="H866">
            <v>958000</v>
          </cell>
          <cell r="K866" t="e">
            <v>#REF!</v>
          </cell>
          <cell r="L866" t="str">
            <v>Sub-Total</v>
          </cell>
          <cell r="M866" t="e">
            <v>#N/A</v>
          </cell>
          <cell r="N866" t="e">
            <v>#REF!</v>
          </cell>
          <cell r="O866" t="str">
            <v>A</v>
          </cell>
          <cell r="P866">
            <v>0</v>
          </cell>
          <cell r="Q866">
            <v>-1368325</v>
          </cell>
          <cell r="R866">
            <v>-1368325</v>
          </cell>
          <cell r="T866">
            <v>0</v>
          </cell>
          <cell r="U866">
            <v>-4780</v>
          </cell>
          <cell r="V866">
            <v>-4780</v>
          </cell>
          <cell r="W866">
            <v>0</v>
          </cell>
          <cell r="X866">
            <v>0</v>
          </cell>
          <cell r="Y866">
            <v>-627408</v>
          </cell>
          <cell r="Z866">
            <v>-627408</v>
          </cell>
          <cell r="AA866">
            <v>0</v>
          </cell>
          <cell r="AB866">
            <v>0</v>
          </cell>
          <cell r="AC866">
            <v>-736137</v>
          </cell>
          <cell r="AD866">
            <v>-736137</v>
          </cell>
          <cell r="AE866">
            <v>0</v>
          </cell>
          <cell r="AF866">
            <v>0</v>
          </cell>
          <cell r="AG866">
            <v>0</v>
          </cell>
          <cell r="AH866">
            <v>0</v>
          </cell>
        </row>
        <row r="867">
          <cell r="H867">
            <v>959000</v>
          </cell>
          <cell r="K867" t="str">
            <v>Others (Net Good &amp; Doutful)</v>
          </cell>
          <cell r="O867" t="str">
            <v>A</v>
          </cell>
          <cell r="P867">
            <v>0</v>
          </cell>
          <cell r="Q867">
            <v>283398</v>
          </cell>
          <cell r="R867">
            <v>3175345</v>
          </cell>
          <cell r="T867">
            <v>0</v>
          </cell>
          <cell r="U867">
            <v>624887</v>
          </cell>
          <cell r="V867">
            <v>4538890</v>
          </cell>
          <cell r="W867">
            <v>0</v>
          </cell>
          <cell r="X867">
            <v>0</v>
          </cell>
          <cell r="Y867">
            <v>394648</v>
          </cell>
          <cell r="Z867">
            <v>-627408</v>
          </cell>
          <cell r="AA867">
            <v>0</v>
          </cell>
          <cell r="AB867">
            <v>0</v>
          </cell>
          <cell r="AC867">
            <v>-736137</v>
          </cell>
          <cell r="AD867">
            <v>-736137</v>
          </cell>
          <cell r="AE867">
            <v>0</v>
          </cell>
          <cell r="AF867">
            <v>0</v>
          </cell>
          <cell r="AG867">
            <v>0</v>
          </cell>
          <cell r="AH867">
            <v>0</v>
          </cell>
        </row>
        <row r="868">
          <cell r="H868">
            <v>960000</v>
          </cell>
          <cell r="J868" t="str">
            <v>LONG -TERM LOANS AND ADVANCES</v>
          </cell>
          <cell r="O868" t="str">
            <v>A</v>
          </cell>
          <cell r="P868">
            <v>0</v>
          </cell>
          <cell r="Q868">
            <v>43317704</v>
          </cell>
          <cell r="R868">
            <v>39397384</v>
          </cell>
          <cell r="T868">
            <v>0</v>
          </cell>
          <cell r="U868">
            <v>9306055</v>
          </cell>
          <cell r="V868">
            <v>19084904</v>
          </cell>
          <cell r="W868">
            <v>0</v>
          </cell>
          <cell r="X868">
            <v>0</v>
          </cell>
          <cell r="Y868">
            <v>19341943</v>
          </cell>
          <cell r="Z868">
            <v>16076439</v>
          </cell>
          <cell r="AA868">
            <v>0</v>
          </cell>
          <cell r="AB868">
            <v>0</v>
          </cell>
          <cell r="AC868">
            <v>3818927</v>
          </cell>
          <cell r="AD868">
            <v>961551</v>
          </cell>
          <cell r="AE868">
            <v>0</v>
          </cell>
          <cell r="AF868">
            <v>0</v>
          </cell>
          <cell r="AG868">
            <v>10850779</v>
          </cell>
          <cell r="AH868">
            <v>3274490</v>
          </cell>
        </row>
        <row r="869">
          <cell r="H869">
            <v>960000</v>
          </cell>
          <cell r="L869">
            <v>0</v>
          </cell>
          <cell r="M869" t="e">
            <v>#N/A</v>
          </cell>
          <cell r="N869" t="e">
            <v>#REF!</v>
          </cell>
          <cell r="O869" t="str">
            <v>A</v>
          </cell>
        </row>
        <row r="870">
          <cell r="H870">
            <v>961000</v>
          </cell>
          <cell r="J870" t="str">
            <v>OTHER NON-CURRENT ASSETS</v>
          </cell>
          <cell r="M870" t="e">
            <v>#N/A</v>
          </cell>
          <cell r="N870" t="e">
            <v>#REF!</v>
          </cell>
          <cell r="O870" t="str">
            <v>A</v>
          </cell>
        </row>
        <row r="871">
          <cell r="G871">
            <v>15183</v>
          </cell>
          <cell r="H871">
            <v>962000</v>
          </cell>
          <cell r="I871" t="str">
            <v>0740</v>
          </cell>
          <cell r="L871" t="str">
            <v>Fixed Deposits</v>
          </cell>
          <cell r="M871" t="str">
            <v>FIXED DEPOSITS (CO-OP BANK)</v>
          </cell>
          <cell r="N871" t="e">
            <v>#REF!</v>
          </cell>
          <cell r="O871" t="str">
            <v>A</v>
          </cell>
          <cell r="Q871">
            <v>135000</v>
          </cell>
          <cell r="R871">
            <v>10000</v>
          </cell>
          <cell r="U871">
            <v>0</v>
          </cell>
          <cell r="V871">
            <v>0</v>
          </cell>
          <cell r="Y871">
            <v>10000</v>
          </cell>
          <cell r="Z871">
            <v>10000</v>
          </cell>
          <cell r="AC871">
            <v>125000</v>
          </cell>
          <cell r="AD871">
            <v>0</v>
          </cell>
          <cell r="AG871">
            <v>0</v>
          </cell>
          <cell r="AH871">
            <v>0</v>
          </cell>
        </row>
        <row r="872">
          <cell r="H872">
            <v>963000</v>
          </cell>
          <cell r="L872">
            <v>0</v>
          </cell>
          <cell r="M872" t="e">
            <v>#N/A</v>
          </cell>
          <cell r="N872" t="e">
            <v>#REF!</v>
          </cell>
          <cell r="O872" t="str">
            <v>A</v>
          </cell>
          <cell r="Q872">
            <v>0</v>
          </cell>
          <cell r="R872">
            <v>0</v>
          </cell>
          <cell r="AC872">
            <v>0</v>
          </cell>
          <cell r="AD872">
            <v>0</v>
          </cell>
          <cell r="AG872">
            <v>0</v>
          </cell>
          <cell r="AH872">
            <v>0</v>
          </cell>
        </row>
        <row r="873">
          <cell r="H873">
            <v>963000</v>
          </cell>
          <cell r="K873">
            <v>0</v>
          </cell>
          <cell r="L873">
            <v>0</v>
          </cell>
          <cell r="M873" t="e">
            <v>#N/A</v>
          </cell>
          <cell r="N873" t="e">
            <v>#REF!</v>
          </cell>
          <cell r="O873" t="str">
            <v>A</v>
          </cell>
          <cell r="P873">
            <v>0</v>
          </cell>
          <cell r="Q873">
            <v>135000</v>
          </cell>
          <cell r="R873">
            <v>10000</v>
          </cell>
          <cell r="T873">
            <v>0</v>
          </cell>
          <cell r="U873">
            <v>0</v>
          </cell>
          <cell r="V873">
            <v>0</v>
          </cell>
          <cell r="X873">
            <v>0</v>
          </cell>
          <cell r="Y873">
            <v>10000</v>
          </cell>
          <cell r="Z873">
            <v>10000</v>
          </cell>
          <cell r="AB873">
            <v>0</v>
          </cell>
          <cell r="AC873">
            <v>125000</v>
          </cell>
          <cell r="AD873">
            <v>0</v>
          </cell>
          <cell r="AF873">
            <v>0</v>
          </cell>
          <cell r="AG873">
            <v>0</v>
          </cell>
          <cell r="AH873">
            <v>0</v>
          </cell>
        </row>
        <row r="874">
          <cell r="H874">
            <v>964000</v>
          </cell>
          <cell r="L874">
            <v>0</v>
          </cell>
          <cell r="M874" t="e">
            <v>#N/A</v>
          </cell>
          <cell r="N874" t="e">
            <v>#REF!</v>
          </cell>
          <cell r="O874" t="str">
            <v>A</v>
          </cell>
        </row>
        <row r="875">
          <cell r="H875">
            <v>965000</v>
          </cell>
          <cell r="J875" t="str">
            <v>INVENTORIES</v>
          </cell>
          <cell r="M875" t="e">
            <v>#N/A</v>
          </cell>
          <cell r="N875" t="e">
            <v>#REF!</v>
          </cell>
          <cell r="O875" t="str">
            <v>A</v>
          </cell>
        </row>
        <row r="876">
          <cell r="H876">
            <v>966000</v>
          </cell>
          <cell r="K876" t="str">
            <v>Stores &amp; Spares</v>
          </cell>
          <cell r="M876" t="e">
            <v>#N/A</v>
          </cell>
          <cell r="N876" t="e">
            <v>#REF!</v>
          </cell>
          <cell r="O876" t="str">
            <v>A</v>
          </cell>
        </row>
        <row r="877">
          <cell r="G877" t="str">
            <v>15071-1</v>
          </cell>
          <cell r="H877">
            <v>967000</v>
          </cell>
          <cell r="I877" t="str">
            <v>3200</v>
          </cell>
          <cell r="L877" t="str">
            <v>Inventories</v>
          </cell>
          <cell r="M877" t="str">
            <v>CLOSING STOCK OF STORES SPARES BS (2012-13)</v>
          </cell>
          <cell r="N877" t="e">
            <v>#REF!</v>
          </cell>
          <cell r="O877" t="str">
            <v>A</v>
          </cell>
          <cell r="P877">
            <v>0</v>
          </cell>
          <cell r="Q877">
            <v>58030210</v>
          </cell>
          <cell r="R877">
            <v>52744464</v>
          </cell>
          <cell r="T877">
            <v>0</v>
          </cell>
          <cell r="U877">
            <v>36709707</v>
          </cell>
          <cell r="V877">
            <v>32054425</v>
          </cell>
          <cell r="X877">
            <v>0</v>
          </cell>
          <cell r="Y877">
            <v>19624499</v>
          </cell>
          <cell r="Z877">
            <v>18723177</v>
          </cell>
          <cell r="AB877">
            <v>0</v>
          </cell>
          <cell r="AC877">
            <v>239038</v>
          </cell>
          <cell r="AD877">
            <v>554252</v>
          </cell>
          <cell r="AF877">
            <v>0</v>
          </cell>
          <cell r="AG877">
            <v>1456966</v>
          </cell>
          <cell r="AH877">
            <v>1412610</v>
          </cell>
        </row>
        <row r="878">
          <cell r="G878">
            <v>15072</v>
          </cell>
          <cell r="H878">
            <v>968000</v>
          </cell>
          <cell r="I878" t="str">
            <v>6095</v>
          </cell>
          <cell r="L878" t="str">
            <v>Stores Spares Not W/Off</v>
          </cell>
          <cell r="M878" t="str">
            <v>STORES SPARES NOT W/OFF</v>
          </cell>
          <cell r="N878" t="e">
            <v>#REF!</v>
          </cell>
          <cell r="O878" t="str">
            <v>A</v>
          </cell>
          <cell r="P878">
            <v>0</v>
          </cell>
          <cell r="Q878">
            <v>280293</v>
          </cell>
          <cell r="R878">
            <v>221615</v>
          </cell>
          <cell r="T878">
            <v>0</v>
          </cell>
          <cell r="U878">
            <v>0</v>
          </cell>
          <cell r="V878">
            <v>0</v>
          </cell>
          <cell r="X878">
            <v>0</v>
          </cell>
          <cell r="Y878">
            <v>75505</v>
          </cell>
          <cell r="Z878">
            <v>75505</v>
          </cell>
          <cell r="AB878">
            <v>0</v>
          </cell>
          <cell r="AD878">
            <v>0</v>
          </cell>
          <cell r="AF878">
            <v>0</v>
          </cell>
          <cell r="AG878">
            <v>204788</v>
          </cell>
          <cell r="AH878">
            <v>146110</v>
          </cell>
        </row>
        <row r="879">
          <cell r="H879">
            <v>969000</v>
          </cell>
          <cell r="K879" t="str">
            <v>Stores &amp; Spares</v>
          </cell>
          <cell r="M879" t="e">
            <v>#N/A</v>
          </cell>
          <cell r="N879" t="e">
            <v>#REF!</v>
          </cell>
          <cell r="O879" t="str">
            <v>A</v>
          </cell>
          <cell r="P879">
            <v>0</v>
          </cell>
          <cell r="Q879">
            <v>58310503</v>
          </cell>
          <cell r="R879">
            <v>52966079</v>
          </cell>
          <cell r="T879">
            <v>0</v>
          </cell>
          <cell r="U879">
            <v>36709707</v>
          </cell>
          <cell r="V879">
            <v>32054425</v>
          </cell>
          <cell r="X879">
            <v>0</v>
          </cell>
          <cell r="Y879">
            <v>19700004</v>
          </cell>
          <cell r="Z879">
            <v>18798682</v>
          </cell>
          <cell r="AB879">
            <v>0</v>
          </cell>
          <cell r="AC879">
            <v>239038</v>
          </cell>
          <cell r="AD879">
            <v>554252</v>
          </cell>
          <cell r="AF879">
            <v>0</v>
          </cell>
          <cell r="AG879">
            <v>1661754</v>
          </cell>
          <cell r="AH879">
            <v>1558720</v>
          </cell>
        </row>
        <row r="880">
          <cell r="H880">
            <v>970000</v>
          </cell>
          <cell r="K880" t="str">
            <v>Raw Material</v>
          </cell>
          <cell r="M880" t="e">
            <v>#N/A</v>
          </cell>
          <cell r="N880" t="e">
            <v>#REF!</v>
          </cell>
          <cell r="O880" t="str">
            <v>A</v>
          </cell>
        </row>
        <row r="881">
          <cell r="G881">
            <v>15076</v>
          </cell>
          <cell r="H881">
            <v>971000</v>
          </cell>
          <cell r="I881" t="str">
            <v>9001</v>
          </cell>
          <cell r="L881" t="str">
            <v>Cl - St. Of Raw Matl. -B/S</v>
          </cell>
          <cell r="M881" t="str">
            <v>CLOSING STOCK OF RAW MATERIALS (BS 2012-13)</v>
          </cell>
          <cell r="N881" t="e">
            <v>#REF!</v>
          </cell>
          <cell r="O881" t="str">
            <v>A</v>
          </cell>
          <cell r="Q881">
            <v>157718320</v>
          </cell>
          <cell r="R881">
            <v>151712454</v>
          </cell>
          <cell r="U881">
            <v>28821504</v>
          </cell>
          <cell r="V881">
            <v>30804595</v>
          </cell>
          <cell r="Y881">
            <v>87064837</v>
          </cell>
          <cell r="Z881">
            <v>72448239</v>
          </cell>
          <cell r="AC881">
            <v>11840145</v>
          </cell>
          <cell r="AD881">
            <v>36087751</v>
          </cell>
          <cell r="AG881">
            <v>29991834</v>
          </cell>
          <cell r="AH881">
            <v>12371869</v>
          </cell>
        </row>
        <row r="882">
          <cell r="H882">
            <v>972000</v>
          </cell>
          <cell r="I882" t="str">
            <v>9000</v>
          </cell>
          <cell r="L882" t="str">
            <v>Cl.Stock [ Git ] C / F</v>
          </cell>
          <cell r="M882" t="e">
            <v>#N/A</v>
          </cell>
          <cell r="N882" t="e">
            <v>#REF!</v>
          </cell>
          <cell r="O882" t="str">
            <v>A</v>
          </cell>
          <cell r="Q882">
            <v>9079431</v>
          </cell>
          <cell r="R882">
            <v>0</v>
          </cell>
          <cell r="U882">
            <v>0</v>
          </cell>
          <cell r="V882">
            <v>0</v>
          </cell>
          <cell r="Y882">
            <v>0</v>
          </cell>
          <cell r="Z882">
            <v>0</v>
          </cell>
          <cell r="AC882">
            <v>9079431</v>
          </cell>
          <cell r="AD882">
            <v>0</v>
          </cell>
          <cell r="AG882">
            <v>0</v>
          </cell>
          <cell r="AH882">
            <v>0</v>
          </cell>
        </row>
        <row r="883">
          <cell r="G883" t="str">
            <v>15090*</v>
          </cell>
          <cell r="H883">
            <v>973000</v>
          </cell>
          <cell r="L883" t="str">
            <v>Goods-In-Transit (Rm)</v>
          </cell>
          <cell r="M883" t="e">
            <v>#N/A</v>
          </cell>
          <cell r="N883" t="e">
            <v>#REF!</v>
          </cell>
          <cell r="O883" t="str">
            <v>A</v>
          </cell>
          <cell r="Q883">
            <v>0</v>
          </cell>
          <cell r="R883">
            <v>-10699226</v>
          </cell>
          <cell r="U883">
            <v>0</v>
          </cell>
          <cell r="V883">
            <v>0</v>
          </cell>
          <cell r="Y883">
            <v>0</v>
          </cell>
          <cell r="Z883">
            <v>-10699226</v>
          </cell>
          <cell r="AC883">
            <v>0</v>
          </cell>
          <cell r="AD883">
            <v>0</v>
          </cell>
          <cell r="AG883">
            <v>0</v>
          </cell>
          <cell r="AH883">
            <v>0</v>
          </cell>
        </row>
        <row r="884">
          <cell r="H884">
            <v>974000</v>
          </cell>
          <cell r="K884" t="str">
            <v>Raw Material</v>
          </cell>
          <cell r="M884" t="e">
            <v>#N/A</v>
          </cell>
          <cell r="N884" t="e">
            <v>#REF!</v>
          </cell>
          <cell r="O884" t="str">
            <v>A</v>
          </cell>
          <cell r="P884">
            <v>0</v>
          </cell>
          <cell r="Q884">
            <v>166797751</v>
          </cell>
          <cell r="R884">
            <v>141013228</v>
          </cell>
          <cell r="T884">
            <v>0</v>
          </cell>
          <cell r="U884">
            <v>28821504</v>
          </cell>
          <cell r="V884">
            <v>30804595</v>
          </cell>
          <cell r="X884">
            <v>0</v>
          </cell>
          <cell r="Y884">
            <v>87064837</v>
          </cell>
          <cell r="Z884">
            <v>61749013</v>
          </cell>
          <cell r="AB884">
            <v>0</v>
          </cell>
          <cell r="AC884">
            <v>20919576</v>
          </cell>
          <cell r="AD884">
            <v>36087751</v>
          </cell>
          <cell r="AF884">
            <v>0</v>
          </cell>
          <cell r="AG884">
            <v>29991834</v>
          </cell>
          <cell r="AH884">
            <v>12371869</v>
          </cell>
        </row>
        <row r="885">
          <cell r="H885">
            <v>975000</v>
          </cell>
          <cell r="K885" t="str">
            <v>Packing Material (Balance Sheet)</v>
          </cell>
          <cell r="M885" t="e">
            <v>#N/A</v>
          </cell>
          <cell r="N885" t="e">
            <v>#REF!</v>
          </cell>
          <cell r="O885" t="str">
            <v>A</v>
          </cell>
        </row>
        <row r="886">
          <cell r="G886">
            <v>16000</v>
          </cell>
          <cell r="H886">
            <v>976000</v>
          </cell>
          <cell r="I886" t="str">
            <v>9002</v>
          </cell>
          <cell r="L886" t="str">
            <v>Cl-St. Of Pack. Matl- B/S</v>
          </cell>
          <cell r="M886" t="str">
            <v>CLOSING STOCK OF PACKING MATERIALS</v>
          </cell>
          <cell r="N886" t="e">
            <v>#REF!</v>
          </cell>
          <cell r="O886" t="str">
            <v>A</v>
          </cell>
          <cell r="P886">
            <v>0</v>
          </cell>
          <cell r="Q886">
            <v>2613010</v>
          </cell>
          <cell r="R886">
            <v>2715774</v>
          </cell>
          <cell r="T886">
            <v>0</v>
          </cell>
          <cell r="U886">
            <v>1116747</v>
          </cell>
          <cell r="V886">
            <v>1261152</v>
          </cell>
          <cell r="X886">
            <v>0</v>
          </cell>
          <cell r="Y886">
            <v>1364131</v>
          </cell>
          <cell r="Z886">
            <v>1244363</v>
          </cell>
          <cell r="AB886">
            <v>0</v>
          </cell>
          <cell r="AC886">
            <v>132132</v>
          </cell>
          <cell r="AD886">
            <v>210259</v>
          </cell>
          <cell r="AF886">
            <v>0</v>
          </cell>
          <cell r="AG886">
            <v>0</v>
          </cell>
          <cell r="AH886">
            <v>0</v>
          </cell>
        </row>
        <row r="887">
          <cell r="H887">
            <v>977000</v>
          </cell>
          <cell r="I887" t="str">
            <v>6039</v>
          </cell>
          <cell r="L887" t="str">
            <v>Stock Of Packing Materials B/S</v>
          </cell>
          <cell r="M887" t="e">
            <v>#N/A</v>
          </cell>
          <cell r="N887" t="e">
            <v>#REF!</v>
          </cell>
          <cell r="O887" t="str">
            <v>A</v>
          </cell>
          <cell r="P887">
            <v>0</v>
          </cell>
          <cell r="Q887">
            <v>0</v>
          </cell>
          <cell r="R887">
            <v>0</v>
          </cell>
          <cell r="T887">
            <v>0</v>
          </cell>
          <cell r="U887">
            <v>0</v>
          </cell>
          <cell r="V887">
            <v>0</v>
          </cell>
          <cell r="X887">
            <v>0</v>
          </cell>
          <cell r="Y887">
            <v>0</v>
          </cell>
          <cell r="Z887">
            <v>0</v>
          </cell>
          <cell r="AB887">
            <v>0</v>
          </cell>
          <cell r="AC887">
            <v>0</v>
          </cell>
          <cell r="AD887">
            <v>0</v>
          </cell>
          <cell r="AF887">
            <v>0</v>
          </cell>
          <cell r="AG887">
            <v>0</v>
          </cell>
          <cell r="AH887">
            <v>0</v>
          </cell>
        </row>
        <row r="888">
          <cell r="H888">
            <v>978000</v>
          </cell>
          <cell r="L888" t="str">
            <v>Purchase A/C-Packing Mat. (B/S)</v>
          </cell>
          <cell r="M888" t="e">
            <v>#N/A</v>
          </cell>
          <cell r="N888" t="e">
            <v>#REF!</v>
          </cell>
          <cell r="O888" t="str">
            <v>A</v>
          </cell>
          <cell r="P888">
            <v>0</v>
          </cell>
          <cell r="Q888">
            <v>0</v>
          </cell>
          <cell r="R888">
            <v>0</v>
          </cell>
          <cell r="T888">
            <v>0</v>
          </cell>
          <cell r="U888">
            <v>0</v>
          </cell>
          <cell r="V888">
            <v>0</v>
          </cell>
          <cell r="X888">
            <v>0</v>
          </cell>
          <cell r="Y888">
            <v>0</v>
          </cell>
          <cell r="Z888">
            <v>0</v>
          </cell>
          <cell r="AB888">
            <v>0</v>
          </cell>
          <cell r="AC888">
            <v>0</v>
          </cell>
          <cell r="AD888">
            <v>0</v>
          </cell>
          <cell r="AF888">
            <v>0</v>
          </cell>
          <cell r="AG888">
            <v>0</v>
          </cell>
          <cell r="AH888">
            <v>0</v>
          </cell>
        </row>
        <row r="889">
          <cell r="H889">
            <v>979000</v>
          </cell>
          <cell r="L889" t="str">
            <v>Issue A/C Packing Material Stock (Bs)</v>
          </cell>
          <cell r="M889" t="e">
            <v>#N/A</v>
          </cell>
          <cell r="N889" t="e">
            <v>#REF!</v>
          </cell>
          <cell r="O889" t="str">
            <v>A</v>
          </cell>
          <cell r="P889">
            <v>0</v>
          </cell>
          <cell r="Q889">
            <v>0</v>
          </cell>
          <cell r="R889">
            <v>0</v>
          </cell>
          <cell r="T889">
            <v>0</v>
          </cell>
          <cell r="U889">
            <v>0</v>
          </cell>
          <cell r="V889">
            <v>0</v>
          </cell>
          <cell r="X889">
            <v>0</v>
          </cell>
          <cell r="Y889">
            <v>0</v>
          </cell>
          <cell r="Z889">
            <v>0</v>
          </cell>
          <cell r="AB889">
            <v>0</v>
          </cell>
          <cell r="AC889">
            <v>0</v>
          </cell>
          <cell r="AD889">
            <v>0</v>
          </cell>
          <cell r="AF889">
            <v>0</v>
          </cell>
          <cell r="AG889">
            <v>0</v>
          </cell>
          <cell r="AH889">
            <v>0</v>
          </cell>
        </row>
        <row r="890">
          <cell r="H890">
            <v>980000</v>
          </cell>
          <cell r="K890" t="str">
            <v>Packing Material (Balance Sheet)</v>
          </cell>
          <cell r="M890" t="e">
            <v>#N/A</v>
          </cell>
          <cell r="N890" t="e">
            <v>#REF!</v>
          </cell>
          <cell r="O890" t="str">
            <v>A</v>
          </cell>
          <cell r="P890">
            <v>0</v>
          </cell>
          <cell r="Q890">
            <v>2613010</v>
          </cell>
          <cell r="R890">
            <v>2715774</v>
          </cell>
          <cell r="T890">
            <v>0</v>
          </cell>
          <cell r="U890">
            <v>1116747</v>
          </cell>
          <cell r="V890">
            <v>1261152</v>
          </cell>
          <cell r="X890">
            <v>0</v>
          </cell>
          <cell r="Y890">
            <v>1364131</v>
          </cell>
          <cell r="Z890">
            <v>1244363</v>
          </cell>
          <cell r="AB890">
            <v>0</v>
          </cell>
          <cell r="AC890">
            <v>132132</v>
          </cell>
          <cell r="AD890">
            <v>210259</v>
          </cell>
          <cell r="AF890">
            <v>0</v>
          </cell>
          <cell r="AG890">
            <v>0</v>
          </cell>
          <cell r="AH890">
            <v>0</v>
          </cell>
        </row>
        <row r="891">
          <cell r="H891">
            <v>981000</v>
          </cell>
          <cell r="K891" t="str">
            <v>Work In Progress</v>
          </cell>
          <cell r="M891" t="e">
            <v>#N/A</v>
          </cell>
          <cell r="N891" t="e">
            <v>#REF!</v>
          </cell>
          <cell r="O891" t="str">
            <v>A</v>
          </cell>
        </row>
        <row r="892">
          <cell r="H892">
            <v>982000</v>
          </cell>
          <cell r="I892" t="str">
            <v>9004</v>
          </cell>
          <cell r="L892" t="str">
            <v>Cl-St.Of Wip- B/S</v>
          </cell>
          <cell r="M892" t="e">
            <v>#N/A</v>
          </cell>
          <cell r="N892" t="e">
            <v>#REF!</v>
          </cell>
          <cell r="O892" t="str">
            <v>A</v>
          </cell>
          <cell r="P892">
            <v>0</v>
          </cell>
          <cell r="Q892">
            <v>18659927</v>
          </cell>
          <cell r="R892">
            <v>13238770</v>
          </cell>
          <cell r="T892">
            <v>0</v>
          </cell>
          <cell r="X892">
            <v>0</v>
          </cell>
          <cell r="AB892">
            <v>0</v>
          </cell>
          <cell r="AC892">
            <v>15550338</v>
          </cell>
          <cell r="AD892">
            <v>9722574</v>
          </cell>
          <cell r="AF892">
            <v>0</v>
          </cell>
          <cell r="AG892">
            <v>3109589</v>
          </cell>
          <cell r="AH892">
            <v>3516196</v>
          </cell>
        </row>
        <row r="893">
          <cell r="G893">
            <v>15131</v>
          </cell>
          <cell r="H893">
            <v>983000</v>
          </cell>
          <cell r="L893" t="str">
            <v>Cl-St.Of Wip- B/S</v>
          </cell>
          <cell r="M893" t="str">
            <v>CLOSING STOCK WIP (BS-JV)</v>
          </cell>
          <cell r="N893" t="e">
            <v>#REF!</v>
          </cell>
          <cell r="O893" t="str">
            <v>A</v>
          </cell>
          <cell r="P893">
            <v>0</v>
          </cell>
          <cell r="Q893">
            <v>31443953</v>
          </cell>
          <cell r="R893">
            <v>33542155</v>
          </cell>
          <cell r="T893">
            <v>0</v>
          </cell>
          <cell r="U893">
            <v>15053266</v>
          </cell>
          <cell r="V893">
            <v>17474851</v>
          </cell>
          <cell r="X893">
            <v>0</v>
          </cell>
          <cell r="Y893">
            <v>16390687</v>
          </cell>
          <cell r="Z893">
            <v>16067304</v>
          </cell>
          <cell r="AB893">
            <v>0</v>
          </cell>
          <cell r="AC893">
            <v>0</v>
          </cell>
          <cell r="AD893">
            <v>0</v>
          </cell>
          <cell r="AF893">
            <v>0</v>
          </cell>
          <cell r="AG893">
            <v>0</v>
          </cell>
          <cell r="AH893">
            <v>0</v>
          </cell>
        </row>
        <row r="894">
          <cell r="Q894">
            <v>0</v>
          </cell>
          <cell r="R894">
            <v>10699226</v>
          </cell>
          <cell r="Z894">
            <v>10699226</v>
          </cell>
        </row>
        <row r="895">
          <cell r="H895">
            <v>990000</v>
          </cell>
          <cell r="K895" t="str">
            <v>Work In Progress</v>
          </cell>
          <cell r="M895" t="e">
            <v>#N/A</v>
          </cell>
          <cell r="N895" t="e">
            <v>#REF!</v>
          </cell>
          <cell r="O895" t="str">
            <v>A</v>
          </cell>
          <cell r="P895">
            <v>0</v>
          </cell>
          <cell r="Q895">
            <v>50103880</v>
          </cell>
          <cell r="R895">
            <v>57480151</v>
          </cell>
          <cell r="T895">
            <v>0</v>
          </cell>
          <cell r="U895">
            <v>15053266</v>
          </cell>
          <cell r="V895">
            <v>17474851</v>
          </cell>
          <cell r="X895">
            <v>0</v>
          </cell>
          <cell r="Y895">
            <v>16390687</v>
          </cell>
          <cell r="Z895">
            <v>26766530</v>
          </cell>
          <cell r="AB895">
            <v>0</v>
          </cell>
          <cell r="AC895">
            <v>15550338</v>
          </cell>
          <cell r="AD895">
            <v>9722574</v>
          </cell>
          <cell r="AE895">
            <v>0</v>
          </cell>
          <cell r="AF895">
            <v>0</v>
          </cell>
          <cell r="AG895">
            <v>3109589</v>
          </cell>
          <cell r="AH895">
            <v>3516196</v>
          </cell>
        </row>
        <row r="896">
          <cell r="H896">
            <v>991000</v>
          </cell>
          <cell r="K896" t="str">
            <v>Finished Goods</v>
          </cell>
          <cell r="M896" t="e">
            <v>#N/A</v>
          </cell>
          <cell r="N896" t="e">
            <v>#REF!</v>
          </cell>
          <cell r="O896" t="str">
            <v>A</v>
          </cell>
        </row>
        <row r="897">
          <cell r="H897">
            <v>992000</v>
          </cell>
          <cell r="I897" t="str">
            <v>9003</v>
          </cell>
          <cell r="L897" t="str">
            <v>Cl-St. Of Fg - B/S</v>
          </cell>
          <cell r="M897" t="e">
            <v>#N/A</v>
          </cell>
          <cell r="N897" t="e">
            <v>#REF!</v>
          </cell>
          <cell r="O897" t="str">
            <v>A</v>
          </cell>
          <cell r="P897">
            <v>0</v>
          </cell>
          <cell r="Q897">
            <v>15883048</v>
          </cell>
          <cell r="R897">
            <v>14242720</v>
          </cell>
          <cell r="T897">
            <v>0</v>
          </cell>
          <cell r="X897">
            <v>0</v>
          </cell>
          <cell r="AB897">
            <v>0</v>
          </cell>
          <cell r="AC897">
            <v>5355530</v>
          </cell>
          <cell r="AD897">
            <v>5455233</v>
          </cell>
          <cell r="AF897">
            <v>0</v>
          </cell>
          <cell r="AG897">
            <v>10527518</v>
          </cell>
          <cell r="AH897">
            <v>8787487</v>
          </cell>
        </row>
        <row r="898">
          <cell r="G898">
            <v>15117</v>
          </cell>
          <cell r="H898">
            <v>993000</v>
          </cell>
          <cell r="L898" t="str">
            <v>Fg Stocks - Excise Duty Componant</v>
          </cell>
          <cell r="M898" t="str">
            <v>FG STOCKS - EXCISE DUTY COMPONANT</v>
          </cell>
          <cell r="N898" t="e">
            <v>#REF!</v>
          </cell>
          <cell r="O898" t="str">
            <v>A</v>
          </cell>
          <cell r="Q898">
            <v>0</v>
          </cell>
          <cell r="R898">
            <v>0</v>
          </cell>
          <cell r="U898">
            <v>0</v>
          </cell>
          <cell r="V898">
            <v>0</v>
          </cell>
          <cell r="Y898">
            <v>0</v>
          </cell>
          <cell r="Z898">
            <v>0</v>
          </cell>
          <cell r="AC898">
            <v>0</v>
          </cell>
          <cell r="AD898">
            <v>0</v>
          </cell>
          <cell r="AG898">
            <v>0</v>
          </cell>
          <cell r="AH898">
            <v>0</v>
          </cell>
        </row>
        <row r="899">
          <cell r="G899">
            <v>15118</v>
          </cell>
          <cell r="H899">
            <v>994000</v>
          </cell>
          <cell r="L899" t="str">
            <v>CLOSING STOCK OF FG (BS-JV)</v>
          </cell>
          <cell r="M899" t="str">
            <v>CLOSING STOCK OF FG (BS-JV)</v>
          </cell>
          <cell r="N899" t="e">
            <v>#REF!</v>
          </cell>
          <cell r="O899" t="str">
            <v>A</v>
          </cell>
          <cell r="Q899">
            <v>50818645</v>
          </cell>
          <cell r="R899">
            <v>54507756</v>
          </cell>
          <cell r="U899">
            <v>33857101</v>
          </cell>
          <cell r="V899">
            <v>36677104</v>
          </cell>
          <cell r="Y899">
            <v>16961544</v>
          </cell>
          <cell r="Z899">
            <v>17830652</v>
          </cell>
          <cell r="AC899">
            <v>0</v>
          </cell>
          <cell r="AD899">
            <v>0</v>
          </cell>
          <cell r="AG899">
            <v>0</v>
          </cell>
          <cell r="AH899">
            <v>0</v>
          </cell>
        </row>
        <row r="900">
          <cell r="H900">
            <v>995000</v>
          </cell>
          <cell r="M900" t="e">
            <v>#N/A</v>
          </cell>
          <cell r="N900" t="e">
            <v>#REF!</v>
          </cell>
          <cell r="O900" t="str">
            <v>A</v>
          </cell>
          <cell r="Q900">
            <v>0</v>
          </cell>
          <cell r="R900">
            <v>0</v>
          </cell>
          <cell r="X900">
            <v>0</v>
          </cell>
          <cell r="AB900">
            <v>0</v>
          </cell>
          <cell r="AC900">
            <v>0</v>
          </cell>
          <cell r="AD900">
            <v>0</v>
          </cell>
          <cell r="AF900">
            <v>0</v>
          </cell>
          <cell r="AG900">
            <v>0</v>
          </cell>
          <cell r="AH900">
            <v>0</v>
          </cell>
        </row>
        <row r="901">
          <cell r="H901">
            <v>996000</v>
          </cell>
          <cell r="K901" t="str">
            <v>Finished Goods</v>
          </cell>
          <cell r="M901" t="e">
            <v>#N/A</v>
          </cell>
          <cell r="N901" t="e">
            <v>#REF!</v>
          </cell>
          <cell r="O901" t="str">
            <v>A</v>
          </cell>
          <cell r="P901">
            <v>0</v>
          </cell>
          <cell r="Q901">
            <v>66701693</v>
          </cell>
          <cell r="R901">
            <v>68750476</v>
          </cell>
          <cell r="T901">
            <v>0</v>
          </cell>
          <cell r="U901">
            <v>33857101</v>
          </cell>
          <cell r="V901">
            <v>36677104</v>
          </cell>
          <cell r="X901">
            <v>0</v>
          </cell>
          <cell r="Y901">
            <v>16961544</v>
          </cell>
          <cell r="Z901">
            <v>17830652</v>
          </cell>
          <cell r="AB901">
            <v>0</v>
          </cell>
          <cell r="AC901">
            <v>5355530</v>
          </cell>
          <cell r="AD901">
            <v>5455233</v>
          </cell>
          <cell r="AF901">
            <v>0</v>
          </cell>
          <cell r="AG901">
            <v>10527518</v>
          </cell>
          <cell r="AH901">
            <v>8787487</v>
          </cell>
        </row>
        <row r="902">
          <cell r="H902">
            <v>997000</v>
          </cell>
          <cell r="J902" t="str">
            <v>INVENTORIES</v>
          </cell>
          <cell r="M902" t="e">
            <v>#N/A</v>
          </cell>
          <cell r="N902" t="e">
            <v>#REF!</v>
          </cell>
          <cell r="O902" t="str">
            <v>A</v>
          </cell>
          <cell r="P902">
            <v>0</v>
          </cell>
          <cell r="Q902">
            <v>344526837</v>
          </cell>
          <cell r="R902">
            <v>322925708</v>
          </cell>
          <cell r="T902">
            <v>0</v>
          </cell>
          <cell r="U902">
            <v>115558325</v>
          </cell>
          <cell r="V902">
            <v>118272127</v>
          </cell>
          <cell r="X902">
            <v>0</v>
          </cell>
          <cell r="Y902">
            <v>141481203</v>
          </cell>
          <cell r="Z902">
            <v>126389240</v>
          </cell>
          <cell r="AB902">
            <v>0</v>
          </cell>
          <cell r="AC902">
            <v>42196614</v>
          </cell>
          <cell r="AD902">
            <v>52030069</v>
          </cell>
          <cell r="AF902">
            <v>0</v>
          </cell>
          <cell r="AG902">
            <v>45290695</v>
          </cell>
          <cell r="AH902">
            <v>26234272</v>
          </cell>
        </row>
        <row r="903">
          <cell r="H903">
            <v>998000</v>
          </cell>
          <cell r="O903" t="str">
            <v>A</v>
          </cell>
        </row>
        <row r="904">
          <cell r="H904">
            <v>1107000</v>
          </cell>
          <cell r="M904" t="e">
            <v>#N/A</v>
          </cell>
          <cell r="N904" t="e">
            <v>#REF!</v>
          </cell>
          <cell r="O904" t="str">
            <v>A</v>
          </cell>
        </row>
        <row r="905">
          <cell r="H905">
            <v>1110000</v>
          </cell>
          <cell r="J905" t="str">
            <v>TRADE RECEIVABLES</v>
          </cell>
          <cell r="M905" t="e">
            <v>#N/A</v>
          </cell>
          <cell r="N905" t="e">
            <v>#REF!</v>
          </cell>
          <cell r="O905" t="str">
            <v>A</v>
          </cell>
          <cell r="Q905">
            <v>-4491093</v>
          </cell>
        </row>
        <row r="906">
          <cell r="H906">
            <v>1111000</v>
          </cell>
          <cell r="K906" t="str">
            <v>Outstandings over six months</v>
          </cell>
          <cell r="O906" t="str">
            <v>A</v>
          </cell>
        </row>
        <row r="907">
          <cell r="H907">
            <v>1112000</v>
          </cell>
          <cell r="L907" t="str">
            <v>Considered Good</v>
          </cell>
          <cell r="O907" t="str">
            <v>A</v>
          </cell>
          <cell r="Q907">
            <v>0</v>
          </cell>
          <cell r="R907">
            <v>0</v>
          </cell>
        </row>
        <row r="908">
          <cell r="G908">
            <v>15136</v>
          </cell>
          <cell r="H908">
            <v>1113000</v>
          </cell>
          <cell r="L908" t="str">
            <v>Considered Doubtful</v>
          </cell>
          <cell r="O908" t="str">
            <v>A</v>
          </cell>
          <cell r="Q908">
            <v>5490834</v>
          </cell>
          <cell r="R908">
            <v>2849231</v>
          </cell>
          <cell r="U908">
            <v>2641603</v>
          </cell>
          <cell r="W908">
            <v>0</v>
          </cell>
          <cell r="X908">
            <v>0</v>
          </cell>
          <cell r="Y908">
            <v>1609180</v>
          </cell>
          <cell r="Z908">
            <v>1609180</v>
          </cell>
          <cell r="AA908">
            <v>0</v>
          </cell>
          <cell r="AB908">
            <v>0</v>
          </cell>
          <cell r="AC908">
            <v>1240051</v>
          </cell>
          <cell r="AD908">
            <v>1240051</v>
          </cell>
          <cell r="AE908">
            <v>0</v>
          </cell>
          <cell r="AF908">
            <v>0</v>
          </cell>
          <cell r="AG908">
            <v>0</v>
          </cell>
          <cell r="AH908">
            <v>0</v>
          </cell>
        </row>
        <row r="909">
          <cell r="G909">
            <v>15138</v>
          </cell>
          <cell r="H909">
            <v>1114000</v>
          </cell>
          <cell r="I909" t="str">
            <v>2150</v>
          </cell>
          <cell r="L909" t="str">
            <v>Provision For Doubtful Debts</v>
          </cell>
          <cell r="M909" t="str">
            <v>PROVISION FOR DOUBTFUL DEBTS</v>
          </cell>
          <cell r="N909" t="e">
            <v>#REF!</v>
          </cell>
          <cell r="O909" t="str">
            <v>A</v>
          </cell>
          <cell r="P909">
            <v>0</v>
          </cell>
          <cell r="Q909">
            <v>-5490834</v>
          </cell>
          <cell r="R909">
            <v>-3322213</v>
          </cell>
          <cell r="T909">
            <v>0</v>
          </cell>
          <cell r="U909">
            <v>-2641603</v>
          </cell>
          <cell r="V909">
            <v>-472982</v>
          </cell>
          <cell r="X909">
            <v>0</v>
          </cell>
          <cell r="Y909">
            <v>-1609180</v>
          </cell>
          <cell r="Z909">
            <v>-1609180</v>
          </cell>
          <cell r="AB909">
            <v>0</v>
          </cell>
          <cell r="AC909">
            <v>-1240051</v>
          </cell>
          <cell r="AD909">
            <v>-1240051</v>
          </cell>
          <cell r="AF909">
            <v>0</v>
          </cell>
          <cell r="AG909">
            <v>0</v>
          </cell>
          <cell r="AH909">
            <v>0</v>
          </cell>
        </row>
        <row r="910">
          <cell r="H910">
            <v>1115000</v>
          </cell>
          <cell r="K910" t="str">
            <v>Others</v>
          </cell>
          <cell r="M910" t="e">
            <v>#N/A</v>
          </cell>
          <cell r="N910" t="e">
            <v>#REF!</v>
          </cell>
          <cell r="O910" t="str">
            <v>A</v>
          </cell>
          <cell r="AC910">
            <v>0</v>
          </cell>
          <cell r="AG910">
            <v>0</v>
          </cell>
        </row>
        <row r="911">
          <cell r="G911">
            <v>15136</v>
          </cell>
          <cell r="H911">
            <v>1116000</v>
          </cell>
          <cell r="I911" t="str">
            <v>3300</v>
          </cell>
          <cell r="L911" t="str">
            <v>Sundry Debtors - Domestic/ Control</v>
          </cell>
          <cell r="M911" t="str">
            <v>SUNDRY DEBTORS - DOMESTIC</v>
          </cell>
          <cell r="N911" t="e">
            <v>#REF!</v>
          </cell>
          <cell r="O911" t="str">
            <v>A</v>
          </cell>
          <cell r="Q911">
            <v>286075832</v>
          </cell>
          <cell r="R911">
            <v>273602239</v>
          </cell>
          <cell r="U911">
            <v>64769867</v>
          </cell>
          <cell r="V911">
            <v>65971915</v>
          </cell>
          <cell r="Y911">
            <v>97498147</v>
          </cell>
          <cell r="Z911">
            <v>93036426</v>
          </cell>
          <cell r="AC911">
            <v>58999660</v>
          </cell>
          <cell r="AD911">
            <v>63318815</v>
          </cell>
          <cell r="AG911">
            <v>64808158</v>
          </cell>
          <cell r="AH911">
            <v>51275083</v>
          </cell>
        </row>
        <row r="912">
          <cell r="G912">
            <v>15137</v>
          </cell>
          <cell r="H912">
            <v>1117000</v>
          </cell>
          <cell r="L912" t="str">
            <v>Sundry Debtors - Foreign</v>
          </cell>
          <cell r="M912" t="str">
            <v>SUNDRY DEBTORS - FOREIGN</v>
          </cell>
          <cell r="N912" t="e">
            <v>#REF!</v>
          </cell>
          <cell r="O912" t="str">
            <v>A</v>
          </cell>
          <cell r="Q912">
            <v>152411342</v>
          </cell>
          <cell r="R912">
            <v>139491791</v>
          </cell>
          <cell r="U912">
            <v>61354361</v>
          </cell>
          <cell r="V912">
            <v>49712280</v>
          </cell>
          <cell r="Y912">
            <v>91056981</v>
          </cell>
          <cell r="Z912">
            <v>89779511</v>
          </cell>
          <cell r="AC912">
            <v>0</v>
          </cell>
          <cell r="AD912">
            <v>0</v>
          </cell>
          <cell r="AG912">
            <v>0</v>
          </cell>
          <cell r="AH912">
            <v>0</v>
          </cell>
        </row>
        <row r="913">
          <cell r="H913">
            <v>1118000</v>
          </cell>
          <cell r="L913" t="str">
            <v>Regrouping of Debtors Credit balance</v>
          </cell>
          <cell r="M913" t="e">
            <v>#N/A</v>
          </cell>
          <cell r="N913" t="e">
            <v>#REF!</v>
          </cell>
          <cell r="O913" t="str">
            <v>A</v>
          </cell>
          <cell r="Q913">
            <v>4487892</v>
          </cell>
          <cell r="R913">
            <v>3114520</v>
          </cell>
          <cell r="U913">
            <v>1208257</v>
          </cell>
          <cell r="V913">
            <v>314894</v>
          </cell>
          <cell r="Y913">
            <v>3192158</v>
          </cell>
          <cell r="Z913">
            <v>2577836</v>
          </cell>
          <cell r="AC913">
            <v>87477</v>
          </cell>
          <cell r="AD913">
            <v>207834</v>
          </cell>
          <cell r="AG913">
            <v>0</v>
          </cell>
          <cell r="AH913">
            <v>13956</v>
          </cell>
        </row>
        <row r="914">
          <cell r="H914">
            <v>1119000</v>
          </cell>
          <cell r="L914" t="str">
            <v>Regrouping of Debtors to Loans &amp; Adv (PCL/TSL)</v>
          </cell>
          <cell r="O914" t="str">
            <v>A</v>
          </cell>
          <cell r="Q914">
            <v>0</v>
          </cell>
          <cell r="R914">
            <v>-9357745</v>
          </cell>
          <cell r="V914">
            <v>-9338368</v>
          </cell>
          <cell r="Z914">
            <v>-19377</v>
          </cell>
          <cell r="AC914">
            <v>0</v>
          </cell>
        </row>
        <row r="915">
          <cell r="H915">
            <v>1120000</v>
          </cell>
          <cell r="M915" t="e">
            <v>#N/A</v>
          </cell>
          <cell r="N915" t="e">
            <v>#REF!</v>
          </cell>
          <cell r="O915" t="str">
            <v>A</v>
          </cell>
          <cell r="P915">
            <v>0</v>
          </cell>
          <cell r="Q915">
            <v>442975066</v>
          </cell>
          <cell r="R915">
            <v>406850805</v>
          </cell>
          <cell r="T915">
            <v>0</v>
          </cell>
          <cell r="U915">
            <v>127332485</v>
          </cell>
          <cell r="V915">
            <v>106660721</v>
          </cell>
          <cell r="W915">
            <v>0</v>
          </cell>
          <cell r="X915">
            <v>0</v>
          </cell>
          <cell r="Y915">
            <v>191747286</v>
          </cell>
          <cell r="Z915">
            <v>185374396</v>
          </cell>
          <cell r="AA915">
            <v>0</v>
          </cell>
          <cell r="AB915">
            <v>0</v>
          </cell>
          <cell r="AC915">
            <v>59087137</v>
          </cell>
          <cell r="AD915">
            <v>63526649</v>
          </cell>
          <cell r="AE915">
            <v>0</v>
          </cell>
          <cell r="AF915">
            <v>0</v>
          </cell>
          <cell r="AG915">
            <v>64808158</v>
          </cell>
          <cell r="AH915">
            <v>51289039</v>
          </cell>
        </row>
        <row r="916">
          <cell r="H916">
            <v>1121000</v>
          </cell>
          <cell r="M916" t="e">
            <v>#N/A</v>
          </cell>
          <cell r="N916" t="e">
            <v>#REF!</v>
          </cell>
          <cell r="O916" t="str">
            <v>A</v>
          </cell>
          <cell r="Q916">
            <v>0</v>
          </cell>
          <cell r="R916">
            <v>0</v>
          </cell>
          <cell r="U916">
            <v>0</v>
          </cell>
          <cell r="V916">
            <v>0</v>
          </cell>
          <cell r="Y916">
            <v>0</v>
          </cell>
          <cell r="Z916">
            <v>0</v>
          </cell>
          <cell r="AC916">
            <v>0</v>
          </cell>
          <cell r="AD916">
            <v>0</v>
          </cell>
          <cell r="AG916">
            <v>0</v>
          </cell>
          <cell r="AH916">
            <v>0</v>
          </cell>
        </row>
        <row r="917">
          <cell r="H917">
            <v>1122000</v>
          </cell>
          <cell r="J917" t="str">
            <v>TRADE RECEIVABLES</v>
          </cell>
          <cell r="M917" t="e">
            <v>#N/A</v>
          </cell>
          <cell r="N917" t="e">
            <v>#REF!</v>
          </cell>
          <cell r="O917" t="str">
            <v>A</v>
          </cell>
          <cell r="P917">
            <v>0</v>
          </cell>
          <cell r="Q917">
            <v>442975066</v>
          </cell>
          <cell r="R917">
            <v>406377823</v>
          </cell>
          <cell r="T917">
            <v>0</v>
          </cell>
          <cell r="U917">
            <v>127332485</v>
          </cell>
          <cell r="V917">
            <v>106187739</v>
          </cell>
          <cell r="W917">
            <v>0</v>
          </cell>
          <cell r="X917">
            <v>0</v>
          </cell>
          <cell r="Y917">
            <v>191747286</v>
          </cell>
          <cell r="Z917">
            <v>185374396</v>
          </cell>
          <cell r="AA917">
            <v>0</v>
          </cell>
          <cell r="AB917">
            <v>0</v>
          </cell>
          <cell r="AC917">
            <v>59087137</v>
          </cell>
          <cell r="AD917">
            <v>63526649</v>
          </cell>
          <cell r="AE917">
            <v>0</v>
          </cell>
          <cell r="AF917">
            <v>0</v>
          </cell>
          <cell r="AG917">
            <v>64808158</v>
          </cell>
          <cell r="AH917">
            <v>51289039</v>
          </cell>
        </row>
        <row r="918">
          <cell r="H918">
            <v>1123000</v>
          </cell>
          <cell r="M918" t="e">
            <v>#N/A</v>
          </cell>
          <cell r="N918" t="e">
            <v>#REF!</v>
          </cell>
          <cell r="O918" t="str">
            <v>A</v>
          </cell>
          <cell r="R918">
            <v>0</v>
          </cell>
          <cell r="AC918">
            <v>57759609</v>
          </cell>
        </row>
        <row r="919">
          <cell r="H919">
            <v>1125000</v>
          </cell>
          <cell r="J919" t="str">
            <v>CASH &amp; BANK BALANCES</v>
          </cell>
          <cell r="M919" t="e">
            <v>#N/A</v>
          </cell>
          <cell r="N919" t="e">
            <v>#REF!</v>
          </cell>
          <cell r="O919" t="str">
            <v>A</v>
          </cell>
        </row>
        <row r="920">
          <cell r="H920">
            <v>1126000</v>
          </cell>
          <cell r="K920" t="str">
            <v>Cash In Hand</v>
          </cell>
          <cell r="L920">
            <v>0</v>
          </cell>
          <cell r="M920" t="e">
            <v>#N/A</v>
          </cell>
          <cell r="N920" t="e">
            <v>#REF!</v>
          </cell>
          <cell r="O920" t="str">
            <v>A</v>
          </cell>
        </row>
        <row r="921">
          <cell r="G921">
            <v>15151</v>
          </cell>
          <cell r="H921">
            <v>1127000</v>
          </cell>
          <cell r="I921" t="str">
            <v>0400</v>
          </cell>
          <cell r="J921" t="str">
            <v>400</v>
          </cell>
          <cell r="L921" t="str">
            <v>Cash In Hand</v>
          </cell>
          <cell r="M921" t="str">
            <v>CASH IN HAND</v>
          </cell>
          <cell r="N921" t="e">
            <v>#REF!</v>
          </cell>
          <cell r="O921" t="str">
            <v>A</v>
          </cell>
          <cell r="Q921">
            <v>137720</v>
          </cell>
          <cell r="R921">
            <v>134172</v>
          </cell>
          <cell r="U921">
            <v>-6267075</v>
          </cell>
          <cell r="V921">
            <v>-6107331</v>
          </cell>
          <cell r="Y921">
            <v>6328713</v>
          </cell>
          <cell r="Z921">
            <v>6205692</v>
          </cell>
          <cell r="AC921">
            <v>37519</v>
          </cell>
          <cell r="AD921">
            <v>24953</v>
          </cell>
          <cell r="AG921">
            <v>38563</v>
          </cell>
          <cell r="AH921">
            <v>10858</v>
          </cell>
        </row>
        <row r="922">
          <cell r="H922">
            <v>1128000</v>
          </cell>
          <cell r="K922" t="str">
            <v>Cash In Hand</v>
          </cell>
          <cell r="L922">
            <v>0</v>
          </cell>
          <cell r="M922" t="e">
            <v>#N/A</v>
          </cell>
          <cell r="N922" t="e">
            <v>#REF!</v>
          </cell>
          <cell r="O922" t="str">
            <v>A</v>
          </cell>
          <cell r="P922">
            <v>0</v>
          </cell>
          <cell r="Q922">
            <v>137720</v>
          </cell>
          <cell r="R922">
            <v>134172</v>
          </cell>
          <cell r="T922">
            <v>0</v>
          </cell>
          <cell r="U922">
            <v>-6267075</v>
          </cell>
          <cell r="V922">
            <v>-6107331</v>
          </cell>
          <cell r="X922">
            <v>0</v>
          </cell>
          <cell r="Y922">
            <v>6328713</v>
          </cell>
          <cell r="Z922">
            <v>6205692</v>
          </cell>
          <cell r="AB922">
            <v>0</v>
          </cell>
          <cell r="AC922">
            <v>37519</v>
          </cell>
          <cell r="AD922">
            <v>24953</v>
          </cell>
          <cell r="AF922">
            <v>0</v>
          </cell>
          <cell r="AG922">
            <v>38563</v>
          </cell>
          <cell r="AH922">
            <v>10858</v>
          </cell>
        </row>
        <row r="923">
          <cell r="G923">
            <v>15152</v>
          </cell>
          <cell r="H923">
            <v>1129000</v>
          </cell>
          <cell r="I923" t="str">
            <v>0450</v>
          </cell>
          <cell r="K923" t="str">
            <v>Cheques In Hand</v>
          </cell>
          <cell r="L923" t="str">
            <v>Cheques In Hand</v>
          </cell>
          <cell r="M923" t="str">
            <v>CHEQUES IN HAND</v>
          </cell>
          <cell r="N923" t="e">
            <v>#REF!</v>
          </cell>
          <cell r="O923" t="str">
            <v>A</v>
          </cell>
          <cell r="P923">
            <v>0</v>
          </cell>
          <cell r="Q923">
            <v>3742239</v>
          </cell>
          <cell r="R923">
            <v>9299542</v>
          </cell>
          <cell r="T923">
            <v>0</v>
          </cell>
          <cell r="U923">
            <v>1466075</v>
          </cell>
          <cell r="V923">
            <v>1557397</v>
          </cell>
          <cell r="X923">
            <v>0</v>
          </cell>
          <cell r="Y923">
            <v>2276164</v>
          </cell>
          <cell r="Z923">
            <v>7742145</v>
          </cell>
          <cell r="AB923">
            <v>0</v>
          </cell>
          <cell r="AC923">
            <v>0</v>
          </cell>
          <cell r="AD923">
            <v>0</v>
          </cell>
          <cell r="AF923">
            <v>0</v>
          </cell>
          <cell r="AG923">
            <v>0</v>
          </cell>
          <cell r="AH923">
            <v>0</v>
          </cell>
        </row>
        <row r="924">
          <cell r="G924">
            <v>15622</v>
          </cell>
          <cell r="H924">
            <v>1130000</v>
          </cell>
          <cell r="L924" t="str">
            <v>Multiple Entry In Bank Payment Account (Suspense)</v>
          </cell>
          <cell r="M924" t="str">
            <v>MULTIPLE ENTRY IN BANK PAYMENT ACCOUNT (SUSPENSE)</v>
          </cell>
          <cell r="N924" t="e">
            <v>#REF!</v>
          </cell>
          <cell r="O924" t="str">
            <v>A</v>
          </cell>
          <cell r="Q924">
            <v>0</v>
          </cell>
          <cell r="R924">
            <v>0</v>
          </cell>
          <cell r="U924">
            <v>8472797</v>
          </cell>
          <cell r="V924">
            <v>8489747</v>
          </cell>
          <cell r="Y924">
            <v>-8472797</v>
          </cell>
          <cell r="Z924">
            <v>-8489747</v>
          </cell>
          <cell r="AC924">
            <v>0</v>
          </cell>
          <cell r="AD924">
            <v>0</v>
          </cell>
          <cell r="AG924">
            <v>0</v>
          </cell>
          <cell r="AH924">
            <v>0</v>
          </cell>
        </row>
        <row r="925">
          <cell r="H925">
            <v>1131000</v>
          </cell>
          <cell r="K925" t="str">
            <v>Cheques In Hand</v>
          </cell>
          <cell r="L925">
            <v>0</v>
          </cell>
          <cell r="M925" t="e">
            <v>#N/A</v>
          </cell>
          <cell r="N925" t="e">
            <v>#REF!</v>
          </cell>
          <cell r="O925" t="str">
            <v>A</v>
          </cell>
          <cell r="P925">
            <v>0</v>
          </cell>
          <cell r="Q925">
            <v>3742239</v>
          </cell>
          <cell r="R925">
            <v>9299542</v>
          </cell>
          <cell r="T925">
            <v>0</v>
          </cell>
          <cell r="U925">
            <v>9938872</v>
          </cell>
          <cell r="V925">
            <v>10047144</v>
          </cell>
          <cell r="X925">
            <v>0</v>
          </cell>
          <cell r="Y925">
            <v>-6196633</v>
          </cell>
          <cell r="Z925">
            <v>-747602</v>
          </cell>
          <cell r="AB925">
            <v>0</v>
          </cell>
          <cell r="AC925">
            <v>0</v>
          </cell>
          <cell r="AD925">
            <v>0</v>
          </cell>
          <cell r="AF925">
            <v>0</v>
          </cell>
          <cell r="AG925">
            <v>0</v>
          </cell>
          <cell r="AH925">
            <v>0</v>
          </cell>
        </row>
        <row r="926">
          <cell r="G926">
            <v>15155</v>
          </cell>
          <cell r="H926">
            <v>1132000</v>
          </cell>
          <cell r="I926" t="str">
            <v>0530</v>
          </cell>
          <cell r="L926" t="str">
            <v>C/A Boi (Turbhe)</v>
          </cell>
          <cell r="M926" t="str">
            <v>BOI TURHE (CURRENT A/C)</v>
          </cell>
          <cell r="N926" t="e">
            <v>#REF!</v>
          </cell>
          <cell r="O926" t="str">
            <v>A</v>
          </cell>
          <cell r="P926">
            <v>0</v>
          </cell>
          <cell r="Q926">
            <v>71784</v>
          </cell>
          <cell r="R926">
            <v>320822</v>
          </cell>
          <cell r="T926">
            <v>0</v>
          </cell>
          <cell r="U926">
            <v>-12753609</v>
          </cell>
          <cell r="V926">
            <v>-33324965</v>
          </cell>
          <cell r="X926">
            <v>0</v>
          </cell>
          <cell r="Y926">
            <v>12825393</v>
          </cell>
          <cell r="Z926">
            <v>33645787</v>
          </cell>
          <cell r="AB926">
            <v>0</v>
          </cell>
          <cell r="AC926">
            <v>0</v>
          </cell>
          <cell r="AD926">
            <v>0</v>
          </cell>
          <cell r="AF926">
            <v>0</v>
          </cell>
          <cell r="AG926">
            <v>0</v>
          </cell>
          <cell r="AH926">
            <v>0</v>
          </cell>
        </row>
        <row r="927">
          <cell r="G927">
            <v>15159</v>
          </cell>
          <cell r="H927">
            <v>1133000</v>
          </cell>
          <cell r="I927" t="str">
            <v>0531</v>
          </cell>
          <cell r="L927" t="str">
            <v>C/A S B T (Turbhe)</v>
          </cell>
          <cell r="M927" t="str">
            <v>SBT- BANK</v>
          </cell>
          <cell r="N927" t="e">
            <v>#REF!</v>
          </cell>
          <cell r="O927" t="str">
            <v>A</v>
          </cell>
          <cell r="P927">
            <v>0</v>
          </cell>
          <cell r="Q927">
            <v>130014</v>
          </cell>
          <cell r="R927">
            <v>57864</v>
          </cell>
          <cell r="T927">
            <v>0</v>
          </cell>
          <cell r="U927">
            <v>-6018214</v>
          </cell>
          <cell r="V927">
            <v>-650000</v>
          </cell>
          <cell r="X927">
            <v>0</v>
          </cell>
          <cell r="Y927">
            <v>6148228</v>
          </cell>
          <cell r="Z927">
            <v>707864</v>
          </cell>
          <cell r="AB927">
            <v>0</v>
          </cell>
          <cell r="AC927">
            <v>0</v>
          </cell>
          <cell r="AD927">
            <v>0</v>
          </cell>
          <cell r="AF927">
            <v>0</v>
          </cell>
          <cell r="AG927">
            <v>0</v>
          </cell>
          <cell r="AH927">
            <v>0</v>
          </cell>
        </row>
        <row r="928">
          <cell r="G928">
            <v>15170</v>
          </cell>
          <cell r="H928">
            <v>1134000</v>
          </cell>
          <cell r="I928" t="str">
            <v>0540</v>
          </cell>
          <cell r="L928" t="str">
            <v>Trustee Group Gratuity (Boi)</v>
          </cell>
          <cell r="M928" t="str">
            <v>TRUSTEE GROUP GRATUITY (BOI)</v>
          </cell>
          <cell r="N928" t="e">
            <v>#REF!</v>
          </cell>
          <cell r="O928" t="str">
            <v>A</v>
          </cell>
          <cell r="P928">
            <v>0</v>
          </cell>
          <cell r="Q928">
            <v>24627</v>
          </cell>
          <cell r="R928">
            <v>24611</v>
          </cell>
          <cell r="T928">
            <v>0</v>
          </cell>
          <cell r="U928">
            <v>-794139</v>
          </cell>
          <cell r="V928">
            <v>-256466</v>
          </cell>
          <cell r="X928">
            <v>0</v>
          </cell>
          <cell r="Y928">
            <v>818766</v>
          </cell>
          <cell r="Z928">
            <v>281077</v>
          </cell>
          <cell r="AB928">
            <v>0</v>
          </cell>
          <cell r="AC928">
            <v>0</v>
          </cell>
          <cell r="AD928">
            <v>0</v>
          </cell>
          <cell r="AF928">
            <v>0</v>
          </cell>
          <cell r="AG928">
            <v>0</v>
          </cell>
          <cell r="AH928">
            <v>0</v>
          </cell>
        </row>
        <row r="929">
          <cell r="H929">
            <v>1135000</v>
          </cell>
          <cell r="I929" t="str">
            <v>0451*0</v>
          </cell>
          <cell r="L929" t="str">
            <v>Cheque In Stale</v>
          </cell>
          <cell r="M929" t="e">
            <v>#N/A</v>
          </cell>
          <cell r="N929" t="e">
            <v>#REF!</v>
          </cell>
          <cell r="O929" t="str">
            <v>A</v>
          </cell>
          <cell r="Q929">
            <v>0</v>
          </cell>
          <cell r="R929">
            <v>0</v>
          </cell>
          <cell r="U929">
            <v>0</v>
          </cell>
          <cell r="V929">
            <v>0</v>
          </cell>
          <cell r="Y929">
            <v>0</v>
          </cell>
          <cell r="Z929">
            <v>0</v>
          </cell>
          <cell r="AC929">
            <v>0</v>
          </cell>
          <cell r="AD929">
            <v>0</v>
          </cell>
          <cell r="AG929">
            <v>0</v>
          </cell>
          <cell r="AH929">
            <v>0</v>
          </cell>
        </row>
        <row r="930">
          <cell r="G930">
            <v>15171</v>
          </cell>
          <cell r="H930">
            <v>1136000</v>
          </cell>
          <cell r="I930" t="str">
            <v>0542</v>
          </cell>
          <cell r="L930" t="str">
            <v>Superannuation A/C Boi</v>
          </cell>
          <cell r="M930" t="str">
            <v>SUPERANNUATION (BOI)</v>
          </cell>
          <cell r="N930" t="e">
            <v>#REF!</v>
          </cell>
          <cell r="O930" t="str">
            <v>A</v>
          </cell>
          <cell r="P930">
            <v>0</v>
          </cell>
          <cell r="Q930">
            <v>6700</v>
          </cell>
          <cell r="R930">
            <v>6700</v>
          </cell>
          <cell r="T930">
            <v>0</v>
          </cell>
          <cell r="U930">
            <v>6700</v>
          </cell>
          <cell r="V930">
            <v>6700</v>
          </cell>
          <cell r="X930">
            <v>0</v>
          </cell>
          <cell r="Y930">
            <v>0</v>
          </cell>
          <cell r="Z930">
            <v>0</v>
          </cell>
          <cell r="AB930">
            <v>0</v>
          </cell>
          <cell r="AC930">
            <v>0</v>
          </cell>
          <cell r="AD930">
            <v>0</v>
          </cell>
          <cell r="AF930">
            <v>0</v>
          </cell>
          <cell r="AG930">
            <v>0</v>
          </cell>
          <cell r="AH930">
            <v>0</v>
          </cell>
        </row>
        <row r="931">
          <cell r="G931">
            <v>15174</v>
          </cell>
          <cell r="H931">
            <v>1137000</v>
          </cell>
          <cell r="I931" t="str">
            <v>0546</v>
          </cell>
          <cell r="L931" t="str">
            <v>Debenture Redemption A/C 98-99 (Boi)</v>
          </cell>
          <cell r="M931" t="str">
            <v>DEBENTURE REDEMPTION 98-99 (BOI)</v>
          </cell>
          <cell r="N931" t="e">
            <v>#REF!</v>
          </cell>
          <cell r="O931" t="str">
            <v>A</v>
          </cell>
          <cell r="P931">
            <v>0</v>
          </cell>
          <cell r="Q931">
            <v>0</v>
          </cell>
          <cell r="R931">
            <v>0</v>
          </cell>
          <cell r="T931">
            <v>0</v>
          </cell>
          <cell r="U931">
            <v>0</v>
          </cell>
          <cell r="V931">
            <v>0</v>
          </cell>
          <cell r="X931">
            <v>0</v>
          </cell>
          <cell r="Y931">
            <v>0</v>
          </cell>
          <cell r="Z931">
            <v>0</v>
          </cell>
          <cell r="AB931">
            <v>0</v>
          </cell>
          <cell r="AC931">
            <v>0</v>
          </cell>
          <cell r="AD931">
            <v>0</v>
          </cell>
          <cell r="AF931">
            <v>0</v>
          </cell>
          <cell r="AG931">
            <v>0</v>
          </cell>
          <cell r="AH931">
            <v>0</v>
          </cell>
        </row>
        <row r="932">
          <cell r="H932">
            <v>1138000</v>
          </cell>
          <cell r="I932" t="str">
            <v>0547</v>
          </cell>
          <cell r="L932" t="str">
            <v>Abn Amro Bank (Current A/C)</v>
          </cell>
          <cell r="M932" t="e">
            <v>#N/A</v>
          </cell>
          <cell r="N932" t="e">
            <v>#REF!</v>
          </cell>
          <cell r="O932" t="str">
            <v>A</v>
          </cell>
          <cell r="P932">
            <v>0</v>
          </cell>
          <cell r="Q932">
            <v>0</v>
          </cell>
          <cell r="R932">
            <v>0</v>
          </cell>
          <cell r="T932">
            <v>0</v>
          </cell>
          <cell r="U932">
            <v>0</v>
          </cell>
          <cell r="V932">
            <v>0</v>
          </cell>
          <cell r="X932">
            <v>0</v>
          </cell>
          <cell r="Y932">
            <v>0</v>
          </cell>
          <cell r="Z932">
            <v>0</v>
          </cell>
          <cell r="AB932">
            <v>0</v>
          </cell>
          <cell r="AC932">
            <v>0</v>
          </cell>
          <cell r="AD932">
            <v>0</v>
          </cell>
          <cell r="AF932">
            <v>0</v>
          </cell>
          <cell r="AG932">
            <v>0</v>
          </cell>
          <cell r="AH932">
            <v>0</v>
          </cell>
        </row>
        <row r="933">
          <cell r="H933">
            <v>1139000</v>
          </cell>
          <cell r="L933" t="str">
            <v>Current Account Hsbc (003)</v>
          </cell>
          <cell r="M933" t="e">
            <v>#N/A</v>
          </cell>
          <cell r="N933" t="e">
            <v>#REF!</v>
          </cell>
          <cell r="O933" t="str">
            <v>A</v>
          </cell>
          <cell r="P933">
            <v>0</v>
          </cell>
          <cell r="Q933">
            <v>0</v>
          </cell>
          <cell r="R933">
            <v>0</v>
          </cell>
          <cell r="T933">
            <v>0</v>
          </cell>
          <cell r="U933">
            <v>0</v>
          </cell>
          <cell r="V933">
            <v>0</v>
          </cell>
          <cell r="X933">
            <v>0</v>
          </cell>
          <cell r="Y933">
            <v>0</v>
          </cell>
          <cell r="Z933">
            <v>0</v>
          </cell>
          <cell r="AB933">
            <v>0</v>
          </cell>
          <cell r="AC933">
            <v>0</v>
          </cell>
          <cell r="AD933">
            <v>0</v>
          </cell>
          <cell r="AF933">
            <v>0</v>
          </cell>
          <cell r="AG933">
            <v>0</v>
          </cell>
          <cell r="AH933">
            <v>0</v>
          </cell>
        </row>
        <row r="934">
          <cell r="G934">
            <v>15157</v>
          </cell>
          <cell r="H934">
            <v>1140000</v>
          </cell>
          <cell r="I934" t="str">
            <v>0605</v>
          </cell>
          <cell r="L934" t="str">
            <v>Current Account Corporation Bank</v>
          </cell>
          <cell r="M934" t="str">
            <v>CORPORATION BANK</v>
          </cell>
          <cell r="N934" t="e">
            <v>#REF!</v>
          </cell>
          <cell r="O934" t="str">
            <v>A</v>
          </cell>
          <cell r="P934">
            <v>0</v>
          </cell>
          <cell r="Q934">
            <v>1838595</v>
          </cell>
          <cell r="R934">
            <v>1128652</v>
          </cell>
          <cell r="T934">
            <v>0</v>
          </cell>
          <cell r="U934">
            <v>1599982</v>
          </cell>
          <cell r="V934">
            <v>0</v>
          </cell>
          <cell r="X934">
            <v>0</v>
          </cell>
          <cell r="Y934">
            <v>-1599982</v>
          </cell>
          <cell r="Z934">
            <v>0</v>
          </cell>
          <cell r="AB934">
            <v>0</v>
          </cell>
          <cell r="AC934">
            <v>1838595</v>
          </cell>
          <cell r="AD934">
            <v>1128652</v>
          </cell>
          <cell r="AF934">
            <v>0</v>
          </cell>
          <cell r="AG934">
            <v>0</v>
          </cell>
          <cell r="AH934">
            <v>0</v>
          </cell>
        </row>
        <row r="935">
          <cell r="H935">
            <v>1141000</v>
          </cell>
          <cell r="L935" t="str">
            <v>Corporation Bank</v>
          </cell>
          <cell r="M935" t="e">
            <v>#N/A</v>
          </cell>
          <cell r="N935" t="e">
            <v>#REF!</v>
          </cell>
          <cell r="O935" t="str">
            <v>A</v>
          </cell>
          <cell r="Q935">
            <v>0</v>
          </cell>
          <cell r="R935">
            <v>0</v>
          </cell>
          <cell r="U935">
            <v>0</v>
          </cell>
          <cell r="V935">
            <v>0</v>
          </cell>
          <cell r="Y935">
            <v>0</v>
          </cell>
          <cell r="Z935">
            <v>0</v>
          </cell>
          <cell r="AC935">
            <v>0</v>
          </cell>
          <cell r="AD935">
            <v>0</v>
          </cell>
          <cell r="AG935">
            <v>0</v>
          </cell>
          <cell r="AH935">
            <v>0</v>
          </cell>
        </row>
        <row r="936">
          <cell r="G936">
            <v>15184</v>
          </cell>
          <cell r="H936">
            <v>1142000</v>
          </cell>
          <cell r="L936" t="str">
            <v>Margin Money Account</v>
          </cell>
          <cell r="M936" t="str">
            <v>MARGIN MONEY ACCOUNT</v>
          </cell>
          <cell r="N936" t="e">
            <v>#REF!</v>
          </cell>
          <cell r="O936" t="str">
            <v>A</v>
          </cell>
          <cell r="Q936">
            <v>0</v>
          </cell>
          <cell r="R936">
            <v>65000</v>
          </cell>
          <cell r="U936">
            <v>0</v>
          </cell>
          <cell r="V936">
            <v>65000</v>
          </cell>
          <cell r="X936">
            <v>0</v>
          </cell>
          <cell r="Y936">
            <v>0</v>
          </cell>
          <cell r="Z936">
            <v>0</v>
          </cell>
          <cell r="AC936">
            <v>0</v>
          </cell>
          <cell r="AD936">
            <v>0</v>
          </cell>
          <cell r="AG936">
            <v>0</v>
          </cell>
          <cell r="AH936">
            <v>0</v>
          </cell>
        </row>
        <row r="937">
          <cell r="G937">
            <v>15158</v>
          </cell>
          <cell r="H937">
            <v>1143000</v>
          </cell>
          <cell r="I937" t="str">
            <v>0606</v>
          </cell>
          <cell r="L937" t="str">
            <v>Icici Bank</v>
          </cell>
          <cell r="M937" t="str">
            <v>ICICI BANK (CURRENT A/C)</v>
          </cell>
          <cell r="N937" t="e">
            <v>#REF!</v>
          </cell>
          <cell r="O937" t="str">
            <v>A</v>
          </cell>
          <cell r="P937">
            <v>0</v>
          </cell>
          <cell r="Q937">
            <v>144915</v>
          </cell>
          <cell r="R937">
            <v>64427</v>
          </cell>
          <cell r="T937">
            <v>0</v>
          </cell>
          <cell r="U937">
            <v>9213786</v>
          </cell>
          <cell r="V937">
            <v>2844011</v>
          </cell>
          <cell r="X937">
            <v>0</v>
          </cell>
          <cell r="Y937">
            <v>-9068871</v>
          </cell>
          <cell r="Z937">
            <v>-2779584</v>
          </cell>
          <cell r="AB937">
            <v>0</v>
          </cell>
          <cell r="AC937">
            <v>0</v>
          </cell>
          <cell r="AD937">
            <v>0</v>
          </cell>
          <cell r="AF937">
            <v>0</v>
          </cell>
          <cell r="AG937">
            <v>0</v>
          </cell>
          <cell r="AH937">
            <v>0</v>
          </cell>
        </row>
        <row r="938">
          <cell r="G938">
            <v>15156</v>
          </cell>
          <cell r="H938">
            <v>1144000</v>
          </cell>
          <cell r="I938" t="str">
            <v>0607</v>
          </cell>
          <cell r="L938" t="str">
            <v>Hsbc - Mg Road Branch</v>
          </cell>
          <cell r="M938" t="str">
            <v>HSBC MG ROAD</v>
          </cell>
          <cell r="N938" t="e">
            <v>#REF!</v>
          </cell>
          <cell r="O938" t="str">
            <v>A</v>
          </cell>
          <cell r="P938">
            <v>0</v>
          </cell>
          <cell r="Q938">
            <v>78256</v>
          </cell>
          <cell r="R938">
            <v>78256</v>
          </cell>
          <cell r="T938">
            <v>0</v>
          </cell>
          <cell r="U938">
            <v>78256</v>
          </cell>
          <cell r="V938">
            <v>78256</v>
          </cell>
          <cell r="X938">
            <v>0</v>
          </cell>
          <cell r="Y938">
            <v>0</v>
          </cell>
          <cell r="Z938">
            <v>0</v>
          </cell>
          <cell r="AB938">
            <v>0</v>
          </cell>
          <cell r="AC938">
            <v>0</v>
          </cell>
          <cell r="AD938">
            <v>0</v>
          </cell>
          <cell r="AF938">
            <v>0</v>
          </cell>
          <cell r="AG938">
            <v>0</v>
          </cell>
          <cell r="AH938">
            <v>0</v>
          </cell>
        </row>
        <row r="939">
          <cell r="G939">
            <v>15160</v>
          </cell>
          <cell r="H939">
            <v>1145000</v>
          </cell>
          <cell r="I939" t="str">
            <v>0609</v>
          </cell>
          <cell r="L939" t="str">
            <v>C/A - Hdfc-Dehradun</v>
          </cell>
          <cell r="M939" t="str">
            <v>HDFC (CURRENT A/C)</v>
          </cell>
          <cell r="N939" t="e">
            <v>#REF!</v>
          </cell>
          <cell r="O939" t="str">
            <v>A</v>
          </cell>
          <cell r="Q939">
            <v>84332</v>
          </cell>
          <cell r="R939">
            <v>86042</v>
          </cell>
          <cell r="U939">
            <v>-154237</v>
          </cell>
          <cell r="V939">
            <v>-139027</v>
          </cell>
          <cell r="Y939">
            <v>238569</v>
          </cell>
          <cell r="Z939">
            <v>225069</v>
          </cell>
          <cell r="AC939">
            <v>0</v>
          </cell>
          <cell r="AD939">
            <v>0</v>
          </cell>
          <cell r="AG939">
            <v>0</v>
          </cell>
          <cell r="AH939">
            <v>0</v>
          </cell>
        </row>
        <row r="940">
          <cell r="H940">
            <v>1146000</v>
          </cell>
          <cell r="I940" t="str">
            <v>0611</v>
          </cell>
          <cell r="J940" t="str">
            <v>611</v>
          </cell>
          <cell r="L940" t="str">
            <v>C/A - Indus Ind Bank</v>
          </cell>
          <cell r="M940" t="e">
            <v>#N/A</v>
          </cell>
          <cell r="N940" t="e">
            <v>#REF!</v>
          </cell>
          <cell r="O940" t="str">
            <v>A</v>
          </cell>
          <cell r="Q940">
            <v>231964</v>
          </cell>
          <cell r="R940">
            <v>83167</v>
          </cell>
          <cell r="U940">
            <v>0</v>
          </cell>
          <cell r="V940">
            <v>0</v>
          </cell>
          <cell r="Y940">
            <v>0</v>
          </cell>
          <cell r="Z940">
            <v>0</v>
          </cell>
          <cell r="AC940">
            <v>0</v>
          </cell>
          <cell r="AD940">
            <v>0</v>
          </cell>
          <cell r="AG940">
            <v>231964</v>
          </cell>
          <cell r="AH940">
            <v>83167</v>
          </cell>
        </row>
        <row r="941">
          <cell r="G941">
            <v>15162</v>
          </cell>
          <cell r="H941">
            <v>1147000</v>
          </cell>
          <cell r="I941" t="str">
            <v>0754</v>
          </cell>
          <cell r="L941" t="str">
            <v>Currrent Account - Scb</v>
          </cell>
          <cell r="M941" t="str">
            <v>SCB (CURRENT A/C)</v>
          </cell>
          <cell r="N941" t="e">
            <v>#REF!</v>
          </cell>
          <cell r="O941" t="str">
            <v>A</v>
          </cell>
          <cell r="P941">
            <v>0</v>
          </cell>
          <cell r="Q941">
            <v>50527</v>
          </cell>
          <cell r="R941">
            <v>50527</v>
          </cell>
          <cell r="T941">
            <v>0</v>
          </cell>
          <cell r="U941">
            <v>50527</v>
          </cell>
          <cell r="V941">
            <v>50527</v>
          </cell>
          <cell r="X941">
            <v>0</v>
          </cell>
          <cell r="Y941">
            <v>0</v>
          </cell>
          <cell r="Z941">
            <v>0</v>
          </cell>
          <cell r="AB941">
            <v>0</v>
          </cell>
          <cell r="AC941">
            <v>0</v>
          </cell>
          <cell r="AD941">
            <v>0</v>
          </cell>
          <cell r="AF941">
            <v>0</v>
          </cell>
          <cell r="AG941">
            <v>0</v>
          </cell>
          <cell r="AH941">
            <v>0</v>
          </cell>
        </row>
        <row r="942">
          <cell r="G942">
            <v>15185</v>
          </cell>
          <cell r="H942">
            <v>1148000</v>
          </cell>
          <cell r="I942" t="str">
            <v>0625</v>
          </cell>
          <cell r="L942" t="str">
            <v>Current A/C - Uco Bank</v>
          </cell>
          <cell r="M942" t="str">
            <v>UCO BANK (A/C NO 19790210005347)</v>
          </cell>
          <cell r="N942" t="e">
            <v>#REF!</v>
          </cell>
          <cell r="O942" t="str">
            <v>A</v>
          </cell>
          <cell r="Q942">
            <v>5475376</v>
          </cell>
          <cell r="R942">
            <v>5376</v>
          </cell>
          <cell r="U942">
            <v>-18282287</v>
          </cell>
          <cell r="V942">
            <v>-23752287</v>
          </cell>
          <cell r="Y942">
            <v>23757663</v>
          </cell>
          <cell r="Z942">
            <v>23757663</v>
          </cell>
          <cell r="AC942">
            <v>0</v>
          </cell>
          <cell r="AD942">
            <v>0</v>
          </cell>
          <cell r="AG942">
            <v>0</v>
          </cell>
          <cell r="AH942">
            <v>0</v>
          </cell>
        </row>
        <row r="943">
          <cell r="G943">
            <v>15169</v>
          </cell>
          <cell r="H943">
            <v>1149000</v>
          </cell>
          <cell r="I943" t="str">
            <v>0751</v>
          </cell>
          <cell r="L943" t="str">
            <v>Refund  Pcd  - Federal Bank</v>
          </cell>
          <cell r="M943" t="str">
            <v>FEDRAL REFUND PCD</v>
          </cell>
          <cell r="N943" t="e">
            <v>#REF!</v>
          </cell>
          <cell r="O943" t="str">
            <v>A</v>
          </cell>
          <cell r="P943">
            <v>0</v>
          </cell>
          <cell r="Q943">
            <v>-1</v>
          </cell>
          <cell r="R943">
            <v>-1</v>
          </cell>
          <cell r="T943">
            <v>0</v>
          </cell>
          <cell r="U943">
            <v>-1</v>
          </cell>
          <cell r="V943">
            <v>-1</v>
          </cell>
          <cell r="X943">
            <v>0</v>
          </cell>
          <cell r="Y943">
            <v>0</v>
          </cell>
          <cell r="Z943">
            <v>0</v>
          </cell>
          <cell r="AB943">
            <v>0</v>
          </cell>
          <cell r="AC943">
            <v>0</v>
          </cell>
          <cell r="AD943">
            <v>0</v>
          </cell>
          <cell r="AF943">
            <v>0</v>
          </cell>
          <cell r="AG943">
            <v>0</v>
          </cell>
          <cell r="AH943">
            <v>0</v>
          </cell>
        </row>
        <row r="944">
          <cell r="G944">
            <v>15164</v>
          </cell>
          <cell r="H944">
            <v>1150000</v>
          </cell>
          <cell r="I944" t="str">
            <v>0545</v>
          </cell>
          <cell r="L944" t="str">
            <v>Eefc</v>
          </cell>
          <cell r="M944" t="str">
            <v>EEFC</v>
          </cell>
          <cell r="N944" t="e">
            <v>#REF!</v>
          </cell>
          <cell r="O944" t="str">
            <v>A</v>
          </cell>
          <cell r="Q944">
            <v>17014</v>
          </cell>
          <cell r="R944">
            <v>0</v>
          </cell>
          <cell r="U944">
            <v>4534673</v>
          </cell>
          <cell r="V944">
            <v>0</v>
          </cell>
          <cell r="Y944">
            <v>-4517659</v>
          </cell>
          <cell r="Z944">
            <v>0</v>
          </cell>
          <cell r="AC944">
            <v>0</v>
          </cell>
          <cell r="AD944">
            <v>0</v>
          </cell>
          <cell r="AG944">
            <v>0</v>
          </cell>
          <cell r="AH944">
            <v>0</v>
          </cell>
        </row>
        <row r="945">
          <cell r="G945">
            <v>15165</v>
          </cell>
          <cell r="H945">
            <v>1151000</v>
          </cell>
          <cell r="L945" t="str">
            <v>Eefc-Hsbc</v>
          </cell>
          <cell r="M945" t="str">
            <v>EEFC-HSBC</v>
          </cell>
          <cell r="N945" t="e">
            <v>#REF!</v>
          </cell>
          <cell r="O945" t="str">
            <v>A</v>
          </cell>
          <cell r="Q945">
            <v>0</v>
          </cell>
          <cell r="R945">
            <v>0</v>
          </cell>
          <cell r="U945">
            <v>96715014</v>
          </cell>
          <cell r="V945">
            <v>6404071</v>
          </cell>
          <cell r="Y945">
            <v>-96715014</v>
          </cell>
          <cell r="Z945">
            <v>-6404071</v>
          </cell>
          <cell r="AC945">
            <v>0</v>
          </cell>
          <cell r="AD945">
            <v>0</v>
          </cell>
          <cell r="AG945">
            <v>0</v>
          </cell>
          <cell r="AH945">
            <v>0</v>
          </cell>
        </row>
        <row r="946">
          <cell r="G946">
            <v>15166</v>
          </cell>
          <cell r="H946">
            <v>1152000</v>
          </cell>
          <cell r="L946" t="str">
            <v>HDFC BANK A/C (CURRENT ACCOUNT -50200003859316)</v>
          </cell>
          <cell r="M946" t="str">
            <v>HDFC BANK A/C (CURRENT ACCOUNT -50200003859316)</v>
          </cell>
          <cell r="N946" t="e">
            <v>#REF!</v>
          </cell>
          <cell r="O946" t="str">
            <v>A</v>
          </cell>
          <cell r="Q946">
            <v>173224</v>
          </cell>
          <cell r="R946">
            <v>725899</v>
          </cell>
          <cell r="U946">
            <v>-64862058</v>
          </cell>
          <cell r="V946">
            <v>-16604603</v>
          </cell>
          <cell r="Y946">
            <v>65035282</v>
          </cell>
          <cell r="Z946">
            <v>17330502</v>
          </cell>
          <cell r="AC946">
            <v>0</v>
          </cell>
          <cell r="AD946">
            <v>0</v>
          </cell>
          <cell r="AG946">
            <v>0</v>
          </cell>
          <cell r="AH946">
            <v>0</v>
          </cell>
        </row>
        <row r="947">
          <cell r="G947">
            <v>15167</v>
          </cell>
          <cell r="H947">
            <v>1153000</v>
          </cell>
          <cell r="I947" t="str">
            <v>0511</v>
          </cell>
          <cell r="L947" t="str">
            <v>KOTAK MAHINDRA BANK (CURRENT ACCOUNT)</v>
          </cell>
          <cell r="M947" t="str">
            <v>KOTAK MAHINDRA BANK (CURRENT ACCOUNT)</v>
          </cell>
          <cell r="N947" t="e">
            <v>#REF!</v>
          </cell>
          <cell r="O947" t="str">
            <v>A</v>
          </cell>
          <cell r="Q947">
            <v>759097</v>
          </cell>
          <cell r="R947">
            <v>10225703</v>
          </cell>
          <cell r="U947">
            <v>-234171416</v>
          </cell>
          <cell r="V947">
            <v>-19025389</v>
          </cell>
          <cell r="Y947">
            <v>234930513</v>
          </cell>
          <cell r="Z947">
            <v>29251092</v>
          </cell>
          <cell r="AC947">
            <v>0</v>
          </cell>
          <cell r="AD947">
            <v>0</v>
          </cell>
          <cell r="AG947">
            <v>0</v>
          </cell>
          <cell r="AH947">
            <v>0</v>
          </cell>
        </row>
        <row r="948">
          <cell r="G948">
            <v>15168</v>
          </cell>
          <cell r="H948">
            <v>1154000</v>
          </cell>
          <cell r="L948" t="str">
            <v>AXIS BANK CURRENT ACCOUNT</v>
          </cell>
          <cell r="M948" t="str">
            <v>AXIS BANK CURRENT ACCOUNT</v>
          </cell>
          <cell r="N948" t="e">
            <v>#REF!</v>
          </cell>
          <cell r="O948" t="str">
            <v>A</v>
          </cell>
          <cell r="Q948">
            <v>91366</v>
          </cell>
          <cell r="R948">
            <v>523014</v>
          </cell>
          <cell r="U948">
            <v>-30449312</v>
          </cell>
          <cell r="V948">
            <v>-10400191</v>
          </cell>
          <cell r="Y948">
            <v>30540678</v>
          </cell>
          <cell r="Z948">
            <v>10923205</v>
          </cell>
          <cell r="AC948">
            <v>0</v>
          </cell>
          <cell r="AD948">
            <v>0</v>
          </cell>
          <cell r="AG948">
            <v>0</v>
          </cell>
          <cell r="AH948">
            <v>0</v>
          </cell>
        </row>
        <row r="949">
          <cell r="H949">
            <v>1155000</v>
          </cell>
          <cell r="L949" t="str">
            <v>With Others</v>
          </cell>
          <cell r="M949" t="e">
            <v>#N/A</v>
          </cell>
          <cell r="N949" t="e">
            <v>#REF!</v>
          </cell>
          <cell r="O949" t="str">
            <v>A</v>
          </cell>
          <cell r="Q949">
            <v>0</v>
          </cell>
          <cell r="R949">
            <v>0</v>
          </cell>
          <cell r="U949">
            <v>0</v>
          </cell>
          <cell r="V949">
            <v>0</v>
          </cell>
          <cell r="Y949">
            <v>0</v>
          </cell>
          <cell r="Z949">
            <v>0</v>
          </cell>
          <cell r="AC949">
            <v>0</v>
          </cell>
          <cell r="AD949">
            <v>0</v>
          </cell>
          <cell r="AG949">
            <v>0</v>
          </cell>
          <cell r="AH949">
            <v>0</v>
          </cell>
        </row>
        <row r="950">
          <cell r="G950">
            <v>15186</v>
          </cell>
          <cell r="H950">
            <v>1156000</v>
          </cell>
          <cell r="L950" t="str">
            <v>Icici Bank-Vashi</v>
          </cell>
          <cell r="M950" t="str">
            <v>ICICI BANK-VASHI</v>
          </cell>
          <cell r="N950" t="e">
            <v>#REF!</v>
          </cell>
          <cell r="O950" t="str">
            <v>A</v>
          </cell>
          <cell r="Q950">
            <v>240329</v>
          </cell>
          <cell r="R950">
            <v>710458</v>
          </cell>
          <cell r="U950">
            <v>28985525</v>
          </cell>
          <cell r="V950">
            <v>14016980</v>
          </cell>
          <cell r="Y950">
            <v>-28745196</v>
          </cell>
          <cell r="Z950">
            <v>-13306522</v>
          </cell>
          <cell r="AC950">
            <v>0</v>
          </cell>
          <cell r="AD950">
            <v>0</v>
          </cell>
          <cell r="AG950">
            <v>0</v>
          </cell>
          <cell r="AH950">
            <v>0</v>
          </cell>
        </row>
        <row r="951">
          <cell r="G951">
            <v>15182</v>
          </cell>
          <cell r="H951">
            <v>1157000</v>
          </cell>
          <cell r="I951" t="str">
            <v>0730</v>
          </cell>
          <cell r="L951" t="str">
            <v>Muncipal Co Op Bank</v>
          </cell>
          <cell r="M951" t="str">
            <v>MUNICIPAL CO-OP BANK</v>
          </cell>
          <cell r="N951" t="e">
            <v>#REF!</v>
          </cell>
          <cell r="O951" t="str">
            <v>A</v>
          </cell>
          <cell r="Q951">
            <v>82842</v>
          </cell>
          <cell r="R951">
            <v>153785</v>
          </cell>
          <cell r="U951">
            <v>100000</v>
          </cell>
          <cell r="V951">
            <v>100000</v>
          </cell>
          <cell r="Y951">
            <v>-17158</v>
          </cell>
          <cell r="Z951">
            <v>53785</v>
          </cell>
          <cell r="AC951">
            <v>0</v>
          </cell>
          <cell r="AD951">
            <v>0</v>
          </cell>
          <cell r="AG951">
            <v>0</v>
          </cell>
          <cell r="AH951">
            <v>0</v>
          </cell>
        </row>
        <row r="952">
          <cell r="H952">
            <v>1158000</v>
          </cell>
          <cell r="I952" t="str">
            <v>0601</v>
          </cell>
          <cell r="L952" t="str">
            <v>Current Account - Hsbc (003)</v>
          </cell>
          <cell r="M952" t="e">
            <v>#N/A</v>
          </cell>
          <cell r="N952" t="e">
            <v>#REF!</v>
          </cell>
          <cell r="O952" t="str">
            <v>A</v>
          </cell>
          <cell r="Q952">
            <v>1530446</v>
          </cell>
          <cell r="R952">
            <v>197849</v>
          </cell>
          <cell r="U952">
            <v>0</v>
          </cell>
          <cell r="V952">
            <v>0</v>
          </cell>
          <cell r="Y952">
            <v>0</v>
          </cell>
          <cell r="Z952">
            <v>0</v>
          </cell>
          <cell r="AC952">
            <v>1530446</v>
          </cell>
          <cell r="AD952">
            <v>197849</v>
          </cell>
          <cell r="AG952">
            <v>0</v>
          </cell>
          <cell r="AH952">
            <v>0</v>
          </cell>
        </row>
        <row r="953">
          <cell r="H953">
            <v>1159000</v>
          </cell>
          <cell r="L953" t="str">
            <v>Regrouped from Short Term Borrowings</v>
          </cell>
          <cell r="O953" t="str">
            <v>A</v>
          </cell>
          <cell r="Q953">
            <v>0</v>
          </cell>
          <cell r="R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row>
        <row r="954">
          <cell r="H954">
            <v>1160000</v>
          </cell>
          <cell r="O954" t="str">
            <v>A</v>
          </cell>
          <cell r="Q954">
            <v>0</v>
          </cell>
          <cell r="R954">
            <v>0</v>
          </cell>
        </row>
        <row r="955">
          <cell r="H955">
            <v>1161000</v>
          </cell>
          <cell r="K955">
            <v>0</v>
          </cell>
          <cell r="L955">
            <v>0</v>
          </cell>
          <cell r="M955" t="e">
            <v>#N/A</v>
          </cell>
          <cell r="N955" t="e">
            <v>#REF!</v>
          </cell>
          <cell r="O955" t="str">
            <v>A</v>
          </cell>
          <cell r="P955">
            <v>0</v>
          </cell>
          <cell r="Q955">
            <v>11031407</v>
          </cell>
          <cell r="R955">
            <v>14508151</v>
          </cell>
          <cell r="T955">
            <v>0</v>
          </cell>
          <cell r="U955">
            <v>-226200810</v>
          </cell>
          <cell r="V955">
            <v>-80587384</v>
          </cell>
          <cell r="W955">
            <v>0</v>
          </cell>
          <cell r="X955">
            <v>0</v>
          </cell>
          <cell r="Y955">
            <v>233631212</v>
          </cell>
          <cell r="Z955">
            <v>93685867</v>
          </cell>
          <cell r="AA955">
            <v>0</v>
          </cell>
          <cell r="AB955">
            <v>0</v>
          </cell>
          <cell r="AC955">
            <v>3369041</v>
          </cell>
          <cell r="AD955">
            <v>1326501</v>
          </cell>
          <cell r="AE955">
            <v>0</v>
          </cell>
          <cell r="AF955">
            <v>0</v>
          </cell>
          <cell r="AG955">
            <v>231964</v>
          </cell>
          <cell r="AH955">
            <v>83167</v>
          </cell>
        </row>
        <row r="956">
          <cell r="H956">
            <v>1162000</v>
          </cell>
          <cell r="K956" t="str">
            <v>OTHER BANK BALANCES</v>
          </cell>
          <cell r="O956" t="str">
            <v>A</v>
          </cell>
        </row>
        <row r="957">
          <cell r="H957">
            <v>1163000</v>
          </cell>
          <cell r="K957" t="str">
            <v>Fixed Deposits Less than 12 months</v>
          </cell>
          <cell r="M957" t="e">
            <v>#N/A</v>
          </cell>
          <cell r="N957" t="e">
            <v>#REF!</v>
          </cell>
          <cell r="O957" t="str">
            <v>A</v>
          </cell>
          <cell r="AC957">
            <v>0</v>
          </cell>
          <cell r="AG957">
            <v>0</v>
          </cell>
        </row>
        <row r="958">
          <cell r="G958">
            <v>15180</v>
          </cell>
          <cell r="H958">
            <v>1164000</v>
          </cell>
          <cell r="I958" t="str">
            <v>0740</v>
          </cell>
          <cell r="L958" t="str">
            <v>Fixed Deposits</v>
          </cell>
          <cell r="M958" t="str">
            <v>FIXED DEPOSITS</v>
          </cell>
          <cell r="N958" t="e">
            <v>#REF!</v>
          </cell>
          <cell r="O958" t="str">
            <v>A</v>
          </cell>
          <cell r="R958">
            <v>3829548</v>
          </cell>
          <cell r="U958">
            <v>4639073</v>
          </cell>
          <cell r="V958">
            <v>3829548</v>
          </cell>
          <cell r="Y958">
            <v>-87000</v>
          </cell>
          <cell r="Z958">
            <v>0</v>
          </cell>
          <cell r="AC958">
            <v>0</v>
          </cell>
          <cell r="AD958">
            <v>0</v>
          </cell>
          <cell r="AG958">
            <v>0</v>
          </cell>
          <cell r="AH958">
            <v>0</v>
          </cell>
        </row>
        <row r="959">
          <cell r="H959">
            <v>1165000</v>
          </cell>
          <cell r="O959" t="str">
            <v>A</v>
          </cell>
        </row>
        <row r="960">
          <cell r="H960">
            <v>1166000</v>
          </cell>
          <cell r="K960" t="str">
            <v>Fixed Deposits Less than 12 months</v>
          </cell>
          <cell r="L960">
            <v>0</v>
          </cell>
          <cell r="M960" t="e">
            <v>#N/A</v>
          </cell>
          <cell r="N960" t="e">
            <v>#REF!</v>
          </cell>
          <cell r="O960" t="str">
            <v>A</v>
          </cell>
          <cell r="P960">
            <v>0</v>
          </cell>
          <cell r="Q960">
            <v>0</v>
          </cell>
          <cell r="R960">
            <v>3829548</v>
          </cell>
          <cell r="T960">
            <v>0</v>
          </cell>
          <cell r="U960">
            <v>4639073</v>
          </cell>
          <cell r="V960">
            <v>3829548</v>
          </cell>
          <cell r="W960">
            <v>0</v>
          </cell>
          <cell r="X960">
            <v>0</v>
          </cell>
          <cell r="Y960">
            <v>-87000</v>
          </cell>
          <cell r="Z960">
            <v>0</v>
          </cell>
          <cell r="AA960">
            <v>0</v>
          </cell>
          <cell r="AB960">
            <v>0</v>
          </cell>
          <cell r="AC960">
            <v>0</v>
          </cell>
          <cell r="AD960">
            <v>0</v>
          </cell>
          <cell r="AE960">
            <v>0</v>
          </cell>
          <cell r="AF960">
            <v>0</v>
          </cell>
          <cell r="AG960">
            <v>0</v>
          </cell>
          <cell r="AH960">
            <v>0</v>
          </cell>
        </row>
        <row r="961">
          <cell r="H961">
            <v>1167000</v>
          </cell>
          <cell r="K961" t="str">
            <v>Unpaid Dividend</v>
          </cell>
          <cell r="M961" t="e">
            <v>#N/A</v>
          </cell>
          <cell r="N961" t="e">
            <v>#REF!</v>
          </cell>
          <cell r="O961" t="str">
            <v>A</v>
          </cell>
        </row>
        <row r="962">
          <cell r="G962">
            <v>15175</v>
          </cell>
          <cell r="H962">
            <v>1168000</v>
          </cell>
          <cell r="I962" t="str">
            <v>0724</v>
          </cell>
          <cell r="L962" t="str">
            <v>Dividend A/C 2004-05 ( Bank)</v>
          </cell>
          <cell r="M962" t="str">
            <v>DIVIDEND (BANK/ ASSET A/C)</v>
          </cell>
          <cell r="N962" t="e">
            <v>#REF!</v>
          </cell>
          <cell r="O962" t="str">
            <v>A</v>
          </cell>
          <cell r="Q962">
            <v>1671385</v>
          </cell>
          <cell r="R962">
            <v>1332130</v>
          </cell>
          <cell r="U962">
            <v>1671385</v>
          </cell>
          <cell r="V962">
            <v>1332130</v>
          </cell>
          <cell r="Y962">
            <v>0</v>
          </cell>
          <cell r="Z962">
            <v>0</v>
          </cell>
          <cell r="AC962">
            <v>0</v>
          </cell>
          <cell r="AD962">
            <v>0</v>
          </cell>
          <cell r="AG962">
            <v>0</v>
          </cell>
          <cell r="AH962">
            <v>0</v>
          </cell>
        </row>
        <row r="963">
          <cell r="H963">
            <v>1169000</v>
          </cell>
          <cell r="O963" t="str">
            <v>A</v>
          </cell>
        </row>
        <row r="964">
          <cell r="H964">
            <v>1170000</v>
          </cell>
          <cell r="K964" t="str">
            <v>Unpaid Dividend</v>
          </cell>
          <cell r="L964">
            <v>0</v>
          </cell>
          <cell r="M964" t="e">
            <v>#N/A</v>
          </cell>
          <cell r="N964" t="e">
            <v>#REF!</v>
          </cell>
          <cell r="O964" t="str">
            <v>A</v>
          </cell>
          <cell r="P964">
            <v>0</v>
          </cell>
          <cell r="Q964">
            <v>1671385</v>
          </cell>
          <cell r="R964">
            <v>1332130</v>
          </cell>
          <cell r="T964">
            <v>0</v>
          </cell>
          <cell r="U964">
            <v>1671385</v>
          </cell>
          <cell r="V964">
            <v>1332130</v>
          </cell>
          <cell r="X964">
            <v>0</v>
          </cell>
          <cell r="Y964">
            <v>0</v>
          </cell>
          <cell r="Z964">
            <v>0</v>
          </cell>
          <cell r="AB964">
            <v>0</v>
          </cell>
          <cell r="AC964">
            <v>0</v>
          </cell>
          <cell r="AD964">
            <v>0</v>
          </cell>
          <cell r="AF964">
            <v>0</v>
          </cell>
          <cell r="AG964">
            <v>0</v>
          </cell>
          <cell r="AH964">
            <v>0</v>
          </cell>
        </row>
        <row r="965">
          <cell r="H965">
            <v>1171000</v>
          </cell>
          <cell r="J965" t="str">
            <v>CASH &amp; BANK BALANCES</v>
          </cell>
          <cell r="M965" t="e">
            <v>#N/A</v>
          </cell>
          <cell r="N965" t="e">
            <v>#REF!</v>
          </cell>
          <cell r="O965" t="str">
            <v>A</v>
          </cell>
          <cell r="P965">
            <v>0</v>
          </cell>
          <cell r="Q965">
            <v>16582751</v>
          </cell>
          <cell r="R965">
            <v>29103543</v>
          </cell>
          <cell r="T965">
            <v>0</v>
          </cell>
          <cell r="U965">
            <v>-216218555</v>
          </cell>
          <cell r="V965">
            <v>-71485893</v>
          </cell>
          <cell r="W965">
            <v>0</v>
          </cell>
          <cell r="X965">
            <v>0</v>
          </cell>
          <cell r="Y965">
            <v>233676292</v>
          </cell>
          <cell r="Z965">
            <v>99143957</v>
          </cell>
          <cell r="AA965">
            <v>0</v>
          </cell>
          <cell r="AB965">
            <v>0</v>
          </cell>
          <cell r="AC965">
            <v>3406560</v>
          </cell>
          <cell r="AD965">
            <v>1351454</v>
          </cell>
          <cell r="AE965">
            <v>0</v>
          </cell>
          <cell r="AF965">
            <v>0</v>
          </cell>
          <cell r="AG965">
            <v>270527</v>
          </cell>
          <cell r="AH965">
            <v>94025</v>
          </cell>
        </row>
        <row r="966">
          <cell r="H966">
            <v>1099000</v>
          </cell>
          <cell r="M966" t="e">
            <v>#N/A</v>
          </cell>
          <cell r="N966" t="e">
            <v>#REF!</v>
          </cell>
          <cell r="O966" t="str">
            <v>A</v>
          </cell>
        </row>
        <row r="967">
          <cell r="H967">
            <v>1000000</v>
          </cell>
          <cell r="J967" t="str">
            <v>SHORT TERM LOANS &amp; ADVANCES</v>
          </cell>
          <cell r="O967" t="str">
            <v>A</v>
          </cell>
        </row>
        <row r="968">
          <cell r="H968">
            <v>1001000</v>
          </cell>
          <cell r="K968" t="str">
            <v>Advance To Related Parties</v>
          </cell>
          <cell r="M968" t="e">
            <v>#N/A</v>
          </cell>
          <cell r="N968" t="e">
            <v>#REF!</v>
          </cell>
          <cell r="O968" t="str">
            <v>A</v>
          </cell>
        </row>
        <row r="969">
          <cell r="G969">
            <v>15225</v>
          </cell>
          <cell r="H969">
            <v>1002000</v>
          </cell>
          <cell r="I969" t="str">
            <v>3780</v>
          </cell>
          <cell r="L969" t="str">
            <v>Recoverable From Balmer Lawrie</v>
          </cell>
          <cell r="M969" t="str">
            <v>RECOVERABLE FROM BALMER LAWRIE</v>
          </cell>
          <cell r="N969" t="e">
            <v>#REF!</v>
          </cell>
          <cell r="O969" t="str">
            <v>A</v>
          </cell>
          <cell r="Q969">
            <v>104982</v>
          </cell>
          <cell r="R969">
            <v>104982</v>
          </cell>
          <cell r="U969">
            <v>100982</v>
          </cell>
          <cell r="V969">
            <v>100982</v>
          </cell>
          <cell r="Y969">
            <v>4000</v>
          </cell>
          <cell r="Z969">
            <v>4000</v>
          </cell>
          <cell r="AC969">
            <v>0</v>
          </cell>
          <cell r="AD969">
            <v>0</v>
          </cell>
          <cell r="AG969">
            <v>0</v>
          </cell>
          <cell r="AH969">
            <v>0</v>
          </cell>
        </row>
        <row r="970">
          <cell r="G970">
            <v>15224</v>
          </cell>
          <cell r="H970">
            <v>1003000</v>
          </cell>
          <cell r="I970" t="str">
            <v>3782</v>
          </cell>
          <cell r="L970" t="str">
            <v>Recoverable From Proseal</v>
          </cell>
          <cell r="M970" t="str">
            <v>RECOVERABLE FROM PROSEAL</v>
          </cell>
          <cell r="N970" t="e">
            <v>#REF!</v>
          </cell>
          <cell r="O970" t="str">
            <v>A</v>
          </cell>
          <cell r="Q970">
            <v>1091810</v>
          </cell>
          <cell r="R970">
            <v>0</v>
          </cell>
          <cell r="U970">
            <v>1091810</v>
          </cell>
          <cell r="V970">
            <v>0</v>
          </cell>
          <cell r="Y970">
            <v>0</v>
          </cell>
          <cell r="Z970">
            <v>0</v>
          </cell>
          <cell r="AC970">
            <v>0</v>
          </cell>
          <cell r="AD970">
            <v>0</v>
          </cell>
          <cell r="AG970">
            <v>0</v>
          </cell>
          <cell r="AH970">
            <v>0</v>
          </cell>
        </row>
        <row r="971">
          <cell r="G971">
            <v>15226</v>
          </cell>
          <cell r="H971">
            <v>1004000</v>
          </cell>
          <cell r="I971" t="str">
            <v>3784</v>
          </cell>
          <cell r="L971" t="str">
            <v>Recoverable From Transafe</v>
          </cell>
          <cell r="M971" t="str">
            <v>RECOVERABLE FROM TRANSAFE</v>
          </cell>
          <cell r="N971" t="e">
            <v>#REF!</v>
          </cell>
          <cell r="O971" t="str">
            <v>A</v>
          </cell>
          <cell r="Q971">
            <v>0</v>
          </cell>
          <cell r="R971">
            <v>121945</v>
          </cell>
          <cell r="U971">
            <v>0</v>
          </cell>
          <cell r="V971">
            <v>89771</v>
          </cell>
          <cell r="Y971">
            <v>0</v>
          </cell>
          <cell r="Z971">
            <v>32174</v>
          </cell>
          <cell r="AC971">
            <v>0</v>
          </cell>
          <cell r="AD971">
            <v>0</v>
          </cell>
          <cell r="AG971">
            <v>0</v>
          </cell>
          <cell r="AH971">
            <v>0</v>
          </cell>
        </row>
        <row r="972">
          <cell r="G972">
            <v>15252</v>
          </cell>
          <cell r="L972" t="str">
            <v>Loan to Subsidiary</v>
          </cell>
          <cell r="Q972">
            <v>0</v>
          </cell>
          <cell r="R972">
            <v>0</v>
          </cell>
          <cell r="U972">
            <v>0</v>
          </cell>
        </row>
        <row r="973">
          <cell r="H973">
            <v>1005000</v>
          </cell>
          <cell r="I973" t="str">
            <v>3787</v>
          </cell>
          <cell r="L973" t="str">
            <v>Foreing Currency Receivable</v>
          </cell>
          <cell r="M973" t="e">
            <v>#N/A</v>
          </cell>
          <cell r="N973" t="e">
            <v>#REF!</v>
          </cell>
          <cell r="O973" t="str">
            <v>A</v>
          </cell>
          <cell r="Q973">
            <v>0</v>
          </cell>
          <cell r="R973">
            <v>0</v>
          </cell>
          <cell r="U973">
            <v>0</v>
          </cell>
          <cell r="V973">
            <v>0</v>
          </cell>
          <cell r="Y973">
            <v>0</v>
          </cell>
          <cell r="Z973">
            <v>0</v>
          </cell>
          <cell r="AC973">
            <v>0</v>
          </cell>
          <cell r="AD973">
            <v>0</v>
          </cell>
          <cell r="AG973">
            <v>0</v>
          </cell>
          <cell r="AH973">
            <v>0</v>
          </cell>
        </row>
        <row r="974">
          <cell r="G974">
            <v>15233</v>
          </cell>
          <cell r="H974">
            <v>1006000</v>
          </cell>
          <cell r="I974" t="str">
            <v>3788</v>
          </cell>
          <cell r="L974" t="str">
            <v>Recoverable From Greif Australia</v>
          </cell>
          <cell r="M974" t="str">
            <v>RECOVERABLE FROM GREIF AUSTRALIA</v>
          </cell>
          <cell r="N974" t="e">
            <v>#REF!</v>
          </cell>
          <cell r="O974" t="str">
            <v>A</v>
          </cell>
          <cell r="Q974">
            <v>0</v>
          </cell>
          <cell r="R974">
            <v>0</v>
          </cell>
          <cell r="U974">
            <v>0</v>
          </cell>
          <cell r="V974">
            <v>0</v>
          </cell>
          <cell r="Y974">
            <v>0</v>
          </cell>
          <cell r="Z974">
            <v>0</v>
          </cell>
          <cell r="AC974">
            <v>0</v>
          </cell>
          <cell r="AD974">
            <v>0</v>
          </cell>
          <cell r="AG974">
            <v>0</v>
          </cell>
          <cell r="AH974">
            <v>0</v>
          </cell>
        </row>
        <row r="975">
          <cell r="L975" t="str">
            <v>Regrouping RPT from Debtors</v>
          </cell>
          <cell r="Q975">
            <v>0</v>
          </cell>
          <cell r="R975">
            <v>9357745</v>
          </cell>
          <cell r="U975">
            <v>0</v>
          </cell>
          <cell r="V975">
            <v>9338368</v>
          </cell>
          <cell r="Y975">
            <v>0</v>
          </cell>
          <cell r="Z975">
            <v>19377</v>
          </cell>
        </row>
        <row r="976">
          <cell r="H976">
            <v>1007000</v>
          </cell>
          <cell r="K976" t="str">
            <v>Advance To Related Parties</v>
          </cell>
          <cell r="L976" t="str">
            <v>Sub-Total</v>
          </cell>
          <cell r="M976" t="e">
            <v>#N/A</v>
          </cell>
          <cell r="N976" t="e">
            <v>#REF!</v>
          </cell>
          <cell r="O976" t="str">
            <v>A</v>
          </cell>
          <cell r="P976">
            <v>0</v>
          </cell>
          <cell r="Q976">
            <v>1196792</v>
          </cell>
          <cell r="R976">
            <v>9584672</v>
          </cell>
          <cell r="T976">
            <v>0</v>
          </cell>
          <cell r="U976">
            <v>1192792</v>
          </cell>
          <cell r="V976">
            <v>9529121</v>
          </cell>
          <cell r="W976">
            <v>0</v>
          </cell>
          <cell r="X976">
            <v>0</v>
          </cell>
          <cell r="Y976">
            <v>4000</v>
          </cell>
          <cell r="Z976">
            <v>55551</v>
          </cell>
          <cell r="AA976">
            <v>0</v>
          </cell>
          <cell r="AB976">
            <v>0</v>
          </cell>
          <cell r="AC976">
            <v>0</v>
          </cell>
          <cell r="AD976">
            <v>0</v>
          </cell>
          <cell r="AE976">
            <v>0</v>
          </cell>
          <cell r="AF976">
            <v>0</v>
          </cell>
          <cell r="AG976">
            <v>0</v>
          </cell>
          <cell r="AH976">
            <v>0</v>
          </cell>
        </row>
        <row r="977">
          <cell r="H977">
            <v>1008000</v>
          </cell>
          <cell r="K977" t="str">
            <v>Loan given to Subsidiary</v>
          </cell>
          <cell r="M977" t="e">
            <v>#N/A</v>
          </cell>
          <cell r="N977" t="e">
            <v>#REF!</v>
          </cell>
          <cell r="O977" t="str">
            <v>A</v>
          </cell>
        </row>
        <row r="978">
          <cell r="H978">
            <v>1009000</v>
          </cell>
          <cell r="L978" t="str">
            <v>Proseal</v>
          </cell>
          <cell r="M978" t="e">
            <v>#N/A</v>
          </cell>
          <cell r="N978" t="e">
            <v>#REF!</v>
          </cell>
          <cell r="O978" t="str">
            <v>A</v>
          </cell>
          <cell r="Q978">
            <v>35000000</v>
          </cell>
          <cell r="R978">
            <v>0</v>
          </cell>
          <cell r="U978">
            <v>35000000</v>
          </cell>
          <cell r="Y978">
            <v>0</v>
          </cell>
          <cell r="Z978">
            <v>0</v>
          </cell>
          <cell r="AC978">
            <v>0</v>
          </cell>
          <cell r="AD978">
            <v>0</v>
          </cell>
          <cell r="AG978">
            <v>0</v>
          </cell>
          <cell r="AH978">
            <v>0</v>
          </cell>
        </row>
        <row r="979">
          <cell r="H979">
            <v>1010000</v>
          </cell>
          <cell r="M979" t="e">
            <v>#N/A</v>
          </cell>
          <cell r="N979" t="e">
            <v>#REF!</v>
          </cell>
          <cell r="O979" t="str">
            <v>A</v>
          </cell>
          <cell r="Q979">
            <v>0</v>
          </cell>
          <cell r="R979">
            <v>0</v>
          </cell>
          <cell r="U979">
            <v>0</v>
          </cell>
          <cell r="V979">
            <v>0</v>
          </cell>
          <cell r="Y979">
            <v>0</v>
          </cell>
          <cell r="Z979">
            <v>0</v>
          </cell>
          <cell r="AC979">
            <v>0</v>
          </cell>
          <cell r="AD979">
            <v>0</v>
          </cell>
          <cell r="AG979">
            <v>0</v>
          </cell>
          <cell r="AH979">
            <v>0</v>
          </cell>
        </row>
        <row r="980">
          <cell r="H980">
            <v>1011000</v>
          </cell>
          <cell r="K980" t="str">
            <v>Loan given to Subsidiary</v>
          </cell>
          <cell r="L980" t="str">
            <v>Sub-Total</v>
          </cell>
          <cell r="M980" t="e">
            <v>#N/A</v>
          </cell>
          <cell r="N980" t="e">
            <v>#REF!</v>
          </cell>
          <cell r="O980" t="str">
            <v>A</v>
          </cell>
          <cell r="P980">
            <v>0</v>
          </cell>
          <cell r="Q980">
            <v>35000000</v>
          </cell>
          <cell r="R980">
            <v>0</v>
          </cell>
          <cell r="T980">
            <v>0</v>
          </cell>
          <cell r="U980">
            <v>35000000</v>
          </cell>
          <cell r="V980">
            <v>0</v>
          </cell>
          <cell r="W980">
            <v>0</v>
          </cell>
          <cell r="X980">
            <v>0</v>
          </cell>
          <cell r="Y980">
            <v>0</v>
          </cell>
          <cell r="Z980">
            <v>0</v>
          </cell>
          <cell r="AA980">
            <v>0</v>
          </cell>
          <cell r="AB980">
            <v>0</v>
          </cell>
          <cell r="AC980">
            <v>0</v>
          </cell>
          <cell r="AD980">
            <v>0</v>
          </cell>
          <cell r="AE980">
            <v>0</v>
          </cell>
          <cell r="AF980">
            <v>0</v>
          </cell>
          <cell r="AG980">
            <v>0</v>
          </cell>
          <cell r="AH980">
            <v>0</v>
          </cell>
        </row>
        <row r="981">
          <cell r="H981">
            <v>1012000</v>
          </cell>
          <cell r="K981" t="str">
            <v>Security Deposits</v>
          </cell>
          <cell r="M981" t="e">
            <v>#N/A</v>
          </cell>
          <cell r="N981" t="e">
            <v>#REF!</v>
          </cell>
          <cell r="O981" t="str">
            <v>A</v>
          </cell>
        </row>
        <row r="982">
          <cell r="H982">
            <v>1013000</v>
          </cell>
          <cell r="L982" t="str">
            <v>Regroup from Long Term</v>
          </cell>
          <cell r="M982" t="e">
            <v>#N/A</v>
          </cell>
          <cell r="N982" t="e">
            <v>#REF!</v>
          </cell>
          <cell r="O982" t="str">
            <v>A</v>
          </cell>
          <cell r="Q982">
            <v>4561948</v>
          </cell>
          <cell r="R982">
            <v>7027968</v>
          </cell>
          <cell r="U982">
            <v>4561948</v>
          </cell>
          <cell r="V982">
            <v>1141013</v>
          </cell>
          <cell r="Z982">
            <v>5832133</v>
          </cell>
          <cell r="AD982">
            <v>7000</v>
          </cell>
          <cell r="AH982">
            <v>47822</v>
          </cell>
        </row>
        <row r="983">
          <cell r="H983">
            <v>1014000</v>
          </cell>
          <cell r="M983" t="e">
            <v>#N/A</v>
          </cell>
          <cell r="N983" t="e">
            <v>#REF!</v>
          </cell>
          <cell r="O983" t="str">
            <v>A</v>
          </cell>
          <cell r="Q983">
            <v>0</v>
          </cell>
          <cell r="R983">
            <v>0</v>
          </cell>
          <cell r="U983">
            <v>0</v>
          </cell>
          <cell r="V983">
            <v>0</v>
          </cell>
          <cell r="Y983">
            <v>0</v>
          </cell>
          <cell r="Z983">
            <v>0</v>
          </cell>
          <cell r="AC983">
            <v>0</v>
          </cell>
          <cell r="AD983">
            <v>0</v>
          </cell>
          <cell r="AG983">
            <v>0</v>
          </cell>
          <cell r="AH983">
            <v>0</v>
          </cell>
        </row>
        <row r="984">
          <cell r="H984">
            <v>1015000</v>
          </cell>
          <cell r="K984" t="str">
            <v>Security Deposits</v>
          </cell>
          <cell r="M984" t="e">
            <v>#N/A</v>
          </cell>
          <cell r="N984" t="e">
            <v>#REF!</v>
          </cell>
          <cell r="O984" t="str">
            <v>A</v>
          </cell>
          <cell r="P984">
            <v>0</v>
          </cell>
          <cell r="Q984">
            <v>4561948</v>
          </cell>
          <cell r="R984">
            <v>7027968</v>
          </cell>
          <cell r="T984">
            <v>0</v>
          </cell>
          <cell r="U984">
            <v>4561948</v>
          </cell>
          <cell r="V984">
            <v>1141013</v>
          </cell>
          <cell r="W984">
            <v>0</v>
          </cell>
          <cell r="X984">
            <v>0</v>
          </cell>
          <cell r="Y984">
            <v>0</v>
          </cell>
          <cell r="Z984">
            <v>5832133</v>
          </cell>
          <cell r="AA984">
            <v>0</v>
          </cell>
          <cell r="AB984">
            <v>0</v>
          </cell>
          <cell r="AC984">
            <v>0</v>
          </cell>
          <cell r="AD984">
            <v>7000</v>
          </cell>
          <cell r="AE984">
            <v>0</v>
          </cell>
          <cell r="AF984">
            <v>0</v>
          </cell>
          <cell r="AG984">
            <v>0</v>
          </cell>
          <cell r="AH984">
            <v>47822</v>
          </cell>
        </row>
        <row r="985">
          <cell r="H985">
            <v>1016000</v>
          </cell>
          <cell r="K985" t="str">
            <v>OTHER LOANS &amp; ADVANCES</v>
          </cell>
          <cell r="O985" t="str">
            <v>A</v>
          </cell>
        </row>
        <row r="986">
          <cell r="H986">
            <v>1017000</v>
          </cell>
          <cell r="K986" t="str">
            <v>Balance With Excise Authorities</v>
          </cell>
          <cell r="M986" t="e">
            <v>#N/A</v>
          </cell>
          <cell r="N986" t="e">
            <v>#REF!</v>
          </cell>
          <cell r="O986" t="str">
            <v>A</v>
          </cell>
        </row>
        <row r="987">
          <cell r="H987">
            <v>1018000</v>
          </cell>
          <cell r="K987" t="str">
            <v>Pla</v>
          </cell>
          <cell r="M987" t="e">
            <v>#N/A</v>
          </cell>
          <cell r="N987" t="e">
            <v>#REF!</v>
          </cell>
          <cell r="O987" t="str">
            <v>A</v>
          </cell>
        </row>
        <row r="988">
          <cell r="G988">
            <v>15313</v>
          </cell>
          <cell r="H988">
            <v>1019000</v>
          </cell>
          <cell r="I988" t="str">
            <v>6100</v>
          </cell>
          <cell r="L988" t="str">
            <v>Excise Duty - Pla A/C</v>
          </cell>
          <cell r="M988" t="str">
            <v>BASIC EXCISE DUTY - PLA A/C</v>
          </cell>
          <cell r="N988" t="e">
            <v>#REF!</v>
          </cell>
          <cell r="O988" t="str">
            <v>A</v>
          </cell>
          <cell r="Q988">
            <v>4955247</v>
          </cell>
          <cell r="R988">
            <v>4544179</v>
          </cell>
          <cell r="U988">
            <v>4954748</v>
          </cell>
          <cell r="V988">
            <v>4543680</v>
          </cell>
          <cell r="Y988">
            <v>0</v>
          </cell>
          <cell r="Z988">
            <v>0</v>
          </cell>
          <cell r="AC988">
            <v>499</v>
          </cell>
          <cell r="AD988">
            <v>499</v>
          </cell>
          <cell r="AG988">
            <v>0</v>
          </cell>
          <cell r="AH988">
            <v>0</v>
          </cell>
        </row>
        <row r="989">
          <cell r="G989">
            <v>15311</v>
          </cell>
          <cell r="H989">
            <v>1020000</v>
          </cell>
          <cell r="L989" t="str">
            <v>Interim Pla Account</v>
          </cell>
          <cell r="M989" t="str">
            <v>INTERIM PLA ACCOUNT</v>
          </cell>
          <cell r="N989" t="e">
            <v>#REF!</v>
          </cell>
          <cell r="O989" t="str">
            <v>A</v>
          </cell>
          <cell r="Q989">
            <v>0</v>
          </cell>
          <cell r="R989">
            <v>0</v>
          </cell>
          <cell r="U989">
            <v>0</v>
          </cell>
          <cell r="V989">
            <v>0</v>
          </cell>
          <cell r="Y989">
            <v>0</v>
          </cell>
          <cell r="Z989">
            <v>0</v>
          </cell>
          <cell r="AC989">
            <v>0</v>
          </cell>
          <cell r="AD989">
            <v>0</v>
          </cell>
          <cell r="AG989">
            <v>0</v>
          </cell>
          <cell r="AH989">
            <v>0</v>
          </cell>
        </row>
        <row r="990">
          <cell r="G990">
            <v>15314</v>
          </cell>
          <cell r="H990">
            <v>1021000</v>
          </cell>
          <cell r="I990" t="str">
            <v>6097 P</v>
          </cell>
          <cell r="L990" t="str">
            <v>Education Cess On Pla A/C</v>
          </cell>
          <cell r="M990" t="str">
            <v>EDUCATION CESS - PLA A/C</v>
          </cell>
          <cell r="N990" t="e">
            <v>#REF!</v>
          </cell>
          <cell r="O990" t="str">
            <v>A</v>
          </cell>
          <cell r="Q990">
            <v>5996623</v>
          </cell>
          <cell r="R990">
            <v>5976569</v>
          </cell>
          <cell r="U990">
            <v>5996623</v>
          </cell>
          <cell r="V990">
            <v>5976569</v>
          </cell>
          <cell r="Y990">
            <v>0</v>
          </cell>
          <cell r="Z990">
            <v>0</v>
          </cell>
          <cell r="AC990">
            <v>0</v>
          </cell>
          <cell r="AD990">
            <v>0</v>
          </cell>
          <cell r="AG990">
            <v>0</v>
          </cell>
          <cell r="AH990">
            <v>0</v>
          </cell>
        </row>
        <row r="991">
          <cell r="G991">
            <v>15368</v>
          </cell>
          <cell r="H991">
            <v>1022000</v>
          </cell>
          <cell r="L991" t="str">
            <v>Basic Excise Duty Payable</v>
          </cell>
          <cell r="M991" t="str">
            <v>BASIC EXCISE DUTY PAYABLE</v>
          </cell>
          <cell r="N991" t="e">
            <v>#REF!</v>
          </cell>
          <cell r="O991" t="str">
            <v>A</v>
          </cell>
          <cell r="Q991">
            <v>-449200874</v>
          </cell>
          <cell r="R991">
            <v>-198077981</v>
          </cell>
          <cell r="U991">
            <v>-155249318</v>
          </cell>
          <cell r="V991">
            <v>-118226369</v>
          </cell>
          <cell r="Y991">
            <v>-293951556</v>
          </cell>
          <cell r="Z991">
            <v>-79851612</v>
          </cell>
          <cell r="AC991">
            <v>0</v>
          </cell>
          <cell r="AD991">
            <v>0</v>
          </cell>
          <cell r="AG991">
            <v>0</v>
          </cell>
          <cell r="AH991">
            <v>0</v>
          </cell>
        </row>
        <row r="992">
          <cell r="G992">
            <v>15369</v>
          </cell>
          <cell r="H992">
            <v>1023000</v>
          </cell>
          <cell r="L992" t="str">
            <v>Education Cess Payable</v>
          </cell>
          <cell r="M992" t="str">
            <v>EDUCATION CESS PAYABLE</v>
          </cell>
          <cell r="N992" t="e">
            <v>#REF!</v>
          </cell>
          <cell r="O992" t="str">
            <v>A</v>
          </cell>
          <cell r="Q992">
            <v>-3179393</v>
          </cell>
          <cell r="R992">
            <v>-3186216</v>
          </cell>
          <cell r="U992">
            <v>-2121054</v>
          </cell>
          <cell r="V992">
            <v>-2128017</v>
          </cell>
          <cell r="Y992">
            <v>-1058339</v>
          </cell>
          <cell r="Z992">
            <v>-1058199</v>
          </cell>
          <cell r="AC992">
            <v>0</v>
          </cell>
          <cell r="AD992">
            <v>0</v>
          </cell>
          <cell r="AG992">
            <v>0</v>
          </cell>
          <cell r="AH992">
            <v>0</v>
          </cell>
        </row>
        <row r="993">
          <cell r="G993">
            <v>15370</v>
          </cell>
          <cell r="H993">
            <v>1024000</v>
          </cell>
          <cell r="L993" t="str">
            <v>Higher Education Cess Payable</v>
          </cell>
          <cell r="M993" t="str">
            <v>HIGHER EDUCATION CESS PAYABLE</v>
          </cell>
          <cell r="N993" t="e">
            <v>#REF!</v>
          </cell>
          <cell r="O993" t="str">
            <v>A</v>
          </cell>
          <cell r="Q993">
            <v>-1657221</v>
          </cell>
          <cell r="R993">
            <v>-1660631</v>
          </cell>
          <cell r="U993">
            <v>-1060451</v>
          </cell>
          <cell r="V993">
            <v>-1063932</v>
          </cell>
          <cell r="Y993">
            <v>-596770</v>
          </cell>
          <cell r="Z993">
            <v>-596699</v>
          </cell>
          <cell r="AC993">
            <v>0</v>
          </cell>
          <cell r="AD993">
            <v>0</v>
          </cell>
          <cell r="AG993">
            <v>0</v>
          </cell>
          <cell r="AH993">
            <v>0</v>
          </cell>
        </row>
        <row r="994">
          <cell r="G994">
            <v>15312</v>
          </cell>
          <cell r="H994">
            <v>1025000</v>
          </cell>
          <cell r="L994" t="str">
            <v>Interim Educess - Pla A/C</v>
          </cell>
          <cell r="M994" t="str">
            <v>INTERIM EDUCESS - PLA A/C</v>
          </cell>
          <cell r="N994" t="e">
            <v>#REF!</v>
          </cell>
          <cell r="O994" t="str">
            <v>A</v>
          </cell>
          <cell r="Q994">
            <v>-2751948</v>
          </cell>
          <cell r="R994">
            <v>-2751948</v>
          </cell>
          <cell r="U994">
            <v>-2751948</v>
          </cell>
          <cell r="V994">
            <v>-2751948</v>
          </cell>
          <cell r="Y994">
            <v>0</v>
          </cell>
          <cell r="Z994">
            <v>0</v>
          </cell>
          <cell r="AC994">
            <v>0</v>
          </cell>
          <cell r="AD994">
            <v>0</v>
          </cell>
          <cell r="AG994">
            <v>0</v>
          </cell>
          <cell r="AH994">
            <v>0</v>
          </cell>
        </row>
        <row r="995">
          <cell r="G995">
            <v>15315</v>
          </cell>
          <cell r="H995">
            <v>1026000</v>
          </cell>
          <cell r="I995" t="str">
            <v>6097 PH</v>
          </cell>
          <cell r="L995" t="str">
            <v>Higher Education Cess  Pla A/C</v>
          </cell>
          <cell r="M995" t="str">
            <v>HIGHER EDUCATION CESS - PLA A/C</v>
          </cell>
          <cell r="N995" t="e">
            <v>#REF!</v>
          </cell>
          <cell r="O995" t="str">
            <v>A</v>
          </cell>
          <cell r="Q995">
            <v>2568676</v>
          </cell>
          <cell r="R995">
            <v>2558748</v>
          </cell>
          <cell r="U995">
            <v>2568676</v>
          </cell>
          <cell r="V995">
            <v>2558748</v>
          </cell>
          <cell r="Y995">
            <v>0</v>
          </cell>
          <cell r="Z995">
            <v>0</v>
          </cell>
          <cell r="AC995">
            <v>0</v>
          </cell>
          <cell r="AD995">
            <v>0</v>
          </cell>
          <cell r="AG995">
            <v>0</v>
          </cell>
          <cell r="AH995">
            <v>0</v>
          </cell>
        </row>
        <row r="996">
          <cell r="G996">
            <v>15310</v>
          </cell>
          <cell r="H996">
            <v>1027000</v>
          </cell>
          <cell r="L996" t="str">
            <v>Interim Hedu Cess - Pla A/C</v>
          </cell>
          <cell r="M996" t="str">
            <v>INTERIM HEDU CESS - PLA A/C</v>
          </cell>
          <cell r="N996" t="e">
            <v>#REF!</v>
          </cell>
          <cell r="O996" t="str">
            <v>A</v>
          </cell>
          <cell r="Q996">
            <v>-1411040</v>
          </cell>
          <cell r="R996">
            <v>-1411040</v>
          </cell>
          <cell r="U996">
            <v>-1411040</v>
          </cell>
          <cell r="V996">
            <v>-1411040</v>
          </cell>
          <cell r="Y996">
            <v>0</v>
          </cell>
          <cell r="Z996">
            <v>0</v>
          </cell>
          <cell r="AC996">
            <v>0</v>
          </cell>
          <cell r="AD996">
            <v>0</v>
          </cell>
          <cell r="AG996">
            <v>0</v>
          </cell>
          <cell r="AH996">
            <v>0</v>
          </cell>
        </row>
        <row r="997">
          <cell r="H997">
            <v>1028000</v>
          </cell>
          <cell r="I997">
            <v>0</v>
          </cell>
          <cell r="K997" t="str">
            <v>Cenvat</v>
          </cell>
          <cell r="M997" t="e">
            <v>#N/A</v>
          </cell>
          <cell r="N997" t="e">
            <v>#REF!</v>
          </cell>
          <cell r="O997" t="str">
            <v>A</v>
          </cell>
          <cell r="Q997">
            <v>0</v>
          </cell>
          <cell r="R997">
            <v>0</v>
          </cell>
          <cell r="U997">
            <v>0</v>
          </cell>
          <cell r="V997">
            <v>0</v>
          </cell>
          <cell r="Y997">
            <v>0</v>
          </cell>
          <cell r="Z997">
            <v>0</v>
          </cell>
          <cell r="AC997">
            <v>0</v>
          </cell>
          <cell r="AD997">
            <v>0</v>
          </cell>
          <cell r="AG997">
            <v>0</v>
          </cell>
          <cell r="AH997">
            <v>0</v>
          </cell>
        </row>
        <row r="998">
          <cell r="H998">
            <v>1029000</v>
          </cell>
          <cell r="I998">
            <v>0</v>
          </cell>
          <cell r="K998" t="str">
            <v>Part-A</v>
          </cell>
          <cell r="M998" t="e">
            <v>#N/A</v>
          </cell>
          <cell r="N998" t="e">
            <v>#REF!</v>
          </cell>
          <cell r="O998" t="str">
            <v>A</v>
          </cell>
          <cell r="Q998">
            <v>0</v>
          </cell>
          <cell r="R998">
            <v>0</v>
          </cell>
          <cell r="U998">
            <v>0</v>
          </cell>
          <cell r="V998">
            <v>0</v>
          </cell>
          <cell r="Y998">
            <v>0</v>
          </cell>
          <cell r="Z998">
            <v>0</v>
          </cell>
          <cell r="AC998">
            <v>0</v>
          </cell>
          <cell r="AD998">
            <v>0</v>
          </cell>
          <cell r="AG998">
            <v>0</v>
          </cell>
          <cell r="AH998">
            <v>0</v>
          </cell>
        </row>
        <row r="999">
          <cell r="G999">
            <v>15323</v>
          </cell>
          <cell r="H999">
            <v>1030000</v>
          </cell>
          <cell r="I999" t="str">
            <v>6099</v>
          </cell>
          <cell r="L999" t="str">
            <v>Excise Rg 23 A (Input)</v>
          </cell>
          <cell r="M999" t="str">
            <v>BASIC EXCISE DUTY RECOVERABLE - RG 23 A</v>
          </cell>
          <cell r="N999" t="e">
            <v>#REF!</v>
          </cell>
          <cell r="O999" t="str">
            <v>A</v>
          </cell>
          <cell r="Q999">
            <v>439469249</v>
          </cell>
          <cell r="R999">
            <v>198134912</v>
          </cell>
          <cell r="U999">
            <v>136814238</v>
          </cell>
          <cell r="V999">
            <v>93639764</v>
          </cell>
          <cell r="Y999">
            <v>297969876</v>
          </cell>
          <cell r="Z999">
            <v>96476172</v>
          </cell>
          <cell r="AC999">
            <v>4685135</v>
          </cell>
          <cell r="AD999">
            <v>8018976</v>
          </cell>
          <cell r="AG999">
            <v>0</v>
          </cell>
          <cell r="AH999">
            <v>0</v>
          </cell>
        </row>
        <row r="1000">
          <cell r="G1000">
            <v>15324</v>
          </cell>
          <cell r="H1000">
            <v>1031000</v>
          </cell>
          <cell r="I1000" t="str">
            <v>6097</v>
          </cell>
          <cell r="L1000" t="str">
            <v>Cess On Excise Duty</v>
          </cell>
          <cell r="M1000" t="str">
            <v>EDUCATION CESS - RG 23 A</v>
          </cell>
          <cell r="N1000" t="e">
            <v>#REF!</v>
          </cell>
          <cell r="O1000" t="str">
            <v>A</v>
          </cell>
          <cell r="Q1000">
            <v>1483890</v>
          </cell>
          <cell r="R1000">
            <v>1462781</v>
          </cell>
          <cell r="U1000">
            <v>2519412</v>
          </cell>
          <cell r="V1000">
            <v>2501843</v>
          </cell>
          <cell r="Y1000">
            <v>-1098950</v>
          </cell>
          <cell r="Z1000">
            <v>-1101212</v>
          </cell>
          <cell r="AC1000">
            <v>54808</v>
          </cell>
          <cell r="AD1000">
            <v>54538</v>
          </cell>
          <cell r="AG1000">
            <v>8620</v>
          </cell>
          <cell r="AH1000">
            <v>7612</v>
          </cell>
        </row>
        <row r="1001">
          <cell r="G1001">
            <v>15325</v>
          </cell>
          <cell r="H1001">
            <v>1032000</v>
          </cell>
          <cell r="I1001" t="str">
            <v>6097'H</v>
          </cell>
          <cell r="L1001" t="str">
            <v>Higher Education Cess Rg 23 A</v>
          </cell>
          <cell r="M1001" t="str">
            <v>HIGHER EDUCATION CESS - RG 23 A</v>
          </cell>
          <cell r="N1001" t="e">
            <v>#REF!</v>
          </cell>
          <cell r="O1001" t="str">
            <v>A</v>
          </cell>
          <cell r="Q1001">
            <v>1072433</v>
          </cell>
          <cell r="R1001">
            <v>1058703</v>
          </cell>
          <cell r="U1001">
            <v>883554</v>
          </cell>
          <cell r="V1001">
            <v>874996</v>
          </cell>
          <cell r="Y1001">
            <v>188879</v>
          </cell>
          <cell r="Z1001">
            <v>183707</v>
          </cell>
          <cell r="AC1001">
            <v>0</v>
          </cell>
          <cell r="AD1001">
            <v>0</v>
          </cell>
          <cell r="AG1001">
            <v>0</v>
          </cell>
          <cell r="AH1001">
            <v>0</v>
          </cell>
        </row>
        <row r="1002">
          <cell r="H1002">
            <v>1033000</v>
          </cell>
          <cell r="I1002">
            <v>2162</v>
          </cell>
          <cell r="L1002">
            <v>0</v>
          </cell>
          <cell r="M1002" t="e">
            <v>#N/A</v>
          </cell>
          <cell r="N1002" t="e">
            <v>#REF!</v>
          </cell>
          <cell r="O1002" t="str">
            <v>A</v>
          </cell>
          <cell r="Q1002">
            <v>0</v>
          </cell>
          <cell r="R1002">
            <v>0</v>
          </cell>
          <cell r="T1002">
            <v>2162</v>
          </cell>
          <cell r="U1002">
            <v>0</v>
          </cell>
          <cell r="V1002">
            <v>0</v>
          </cell>
          <cell r="X1002">
            <v>2162</v>
          </cell>
          <cell r="Y1002">
            <v>0</v>
          </cell>
          <cell r="Z1002">
            <v>0</v>
          </cell>
          <cell r="AB1002">
            <v>2162</v>
          </cell>
          <cell r="AC1002">
            <v>0</v>
          </cell>
          <cell r="AD1002">
            <v>0</v>
          </cell>
          <cell r="AF1002">
            <v>2162</v>
          </cell>
          <cell r="AG1002">
            <v>0</v>
          </cell>
          <cell r="AH1002">
            <v>0</v>
          </cell>
        </row>
        <row r="1003">
          <cell r="H1003">
            <v>1034000</v>
          </cell>
          <cell r="I1003" t="str">
            <v>2540</v>
          </cell>
          <cell r="L1003" t="str">
            <v>Excise Duty Adjustablea/C</v>
          </cell>
          <cell r="M1003" t="e">
            <v>#N/A</v>
          </cell>
          <cell r="N1003" t="e">
            <v>#REF!</v>
          </cell>
          <cell r="O1003" t="str">
            <v>A</v>
          </cell>
          <cell r="Q1003">
            <v>5403532</v>
          </cell>
          <cell r="R1003">
            <v>5160300</v>
          </cell>
          <cell r="U1003">
            <v>0</v>
          </cell>
          <cell r="V1003">
            <v>0</v>
          </cell>
          <cell r="Y1003">
            <v>0</v>
          </cell>
          <cell r="Z1003">
            <v>0</v>
          </cell>
          <cell r="AC1003">
            <v>0</v>
          </cell>
          <cell r="AD1003">
            <v>0</v>
          </cell>
          <cell r="AG1003">
            <v>5403532</v>
          </cell>
          <cell r="AH1003">
            <v>5160300</v>
          </cell>
        </row>
        <row r="1004">
          <cell r="H1004">
            <v>1035000</v>
          </cell>
          <cell r="I1004">
            <v>0</v>
          </cell>
          <cell r="K1004" t="str">
            <v>Part-C</v>
          </cell>
          <cell r="M1004" t="e">
            <v>#N/A</v>
          </cell>
          <cell r="N1004" t="e">
            <v>#REF!</v>
          </cell>
          <cell r="O1004" t="str">
            <v>A</v>
          </cell>
          <cell r="Q1004">
            <v>0</v>
          </cell>
          <cell r="R1004">
            <v>0</v>
          </cell>
          <cell r="U1004">
            <v>0</v>
          </cell>
          <cell r="V1004">
            <v>0</v>
          </cell>
          <cell r="Y1004">
            <v>0</v>
          </cell>
          <cell r="Z1004">
            <v>0</v>
          </cell>
          <cell r="AC1004">
            <v>0</v>
          </cell>
          <cell r="AD1004">
            <v>0</v>
          </cell>
          <cell r="AG1004">
            <v>0</v>
          </cell>
          <cell r="AH1004">
            <v>0</v>
          </cell>
        </row>
        <row r="1005">
          <cell r="G1005">
            <v>15332</v>
          </cell>
          <cell r="H1005">
            <v>1036000</v>
          </cell>
          <cell r="I1005" t="str">
            <v>6098</v>
          </cell>
          <cell r="L1005" t="str">
            <v>Excise Rg 23 C (Capital)</v>
          </cell>
          <cell r="M1005" t="str">
            <v>BASIC EXCISE DUTY RECOVERABLE - RG 23 C</v>
          </cell>
          <cell r="N1005" t="e">
            <v>#REF!</v>
          </cell>
          <cell r="O1005" t="str">
            <v>A</v>
          </cell>
          <cell r="Q1005">
            <v>40094874</v>
          </cell>
          <cell r="R1005">
            <v>36943753</v>
          </cell>
          <cell r="U1005">
            <v>16962294</v>
          </cell>
          <cell r="V1005">
            <v>13946654</v>
          </cell>
          <cell r="Y1005">
            <v>18333919</v>
          </cell>
          <cell r="Z1005">
            <v>18176586</v>
          </cell>
          <cell r="AC1005">
            <v>4603353</v>
          </cell>
          <cell r="AD1005">
            <v>4634148</v>
          </cell>
          <cell r="AG1005">
            <v>195308</v>
          </cell>
          <cell r="AH1005">
            <v>186365</v>
          </cell>
        </row>
        <row r="1006">
          <cell r="G1006">
            <v>15333</v>
          </cell>
          <cell r="H1006">
            <v>1037000</v>
          </cell>
          <cell r="I1006" t="str">
            <v>6097C</v>
          </cell>
          <cell r="L1006" t="str">
            <v>Education Cess On Rg 23 C</v>
          </cell>
          <cell r="M1006" t="str">
            <v>EDUCATION CESS - RG 23 C</v>
          </cell>
          <cell r="N1006" t="e">
            <v>#REF!</v>
          </cell>
          <cell r="O1006" t="str">
            <v>A</v>
          </cell>
          <cell r="Q1006">
            <v>113251</v>
          </cell>
          <cell r="R1006">
            <v>94336</v>
          </cell>
          <cell r="U1006">
            <v>111317</v>
          </cell>
          <cell r="V1006">
            <v>92402</v>
          </cell>
          <cell r="Y1006">
            <v>1934</v>
          </cell>
          <cell r="Z1006">
            <v>1934</v>
          </cell>
          <cell r="AC1006">
            <v>0</v>
          </cell>
          <cell r="AD1006">
            <v>0</v>
          </cell>
          <cell r="AG1006">
            <v>0</v>
          </cell>
          <cell r="AH1006">
            <v>0</v>
          </cell>
        </row>
        <row r="1007">
          <cell r="G1007">
            <v>15334</v>
          </cell>
          <cell r="H1007">
            <v>1038000</v>
          </cell>
          <cell r="I1007" t="str">
            <v>6097CH</v>
          </cell>
          <cell r="L1007" t="str">
            <v>Higher Education Cess Rg 23 C</v>
          </cell>
          <cell r="M1007" t="str">
            <v>HIGHER EDUCATION CESS - RG 23 C</v>
          </cell>
          <cell r="N1007" t="e">
            <v>#REF!</v>
          </cell>
          <cell r="O1007" t="str">
            <v>A</v>
          </cell>
          <cell r="Q1007">
            <v>58651</v>
          </cell>
          <cell r="R1007">
            <v>49102</v>
          </cell>
          <cell r="U1007">
            <v>57706</v>
          </cell>
          <cell r="V1007">
            <v>48157</v>
          </cell>
          <cell r="Y1007">
            <v>945</v>
          </cell>
          <cell r="Z1007">
            <v>945</v>
          </cell>
          <cell r="AC1007">
            <v>0</v>
          </cell>
          <cell r="AD1007">
            <v>0</v>
          </cell>
          <cell r="AG1007">
            <v>0</v>
          </cell>
          <cell r="AH1007">
            <v>0</v>
          </cell>
        </row>
        <row r="1008">
          <cell r="H1008">
            <v>1039000</v>
          </cell>
          <cell r="K1008" t="str">
            <v>Part-D</v>
          </cell>
          <cell r="M1008" t="e">
            <v>#N/A</v>
          </cell>
          <cell r="N1008" t="e">
            <v>#REF!</v>
          </cell>
          <cell r="O1008" t="str">
            <v>A</v>
          </cell>
          <cell r="Q1008">
            <v>0</v>
          </cell>
          <cell r="R1008">
            <v>0</v>
          </cell>
          <cell r="U1008">
            <v>0</v>
          </cell>
          <cell r="V1008">
            <v>0</v>
          </cell>
          <cell r="Y1008">
            <v>0</v>
          </cell>
          <cell r="Z1008">
            <v>0</v>
          </cell>
          <cell r="AC1008">
            <v>0</v>
          </cell>
          <cell r="AD1008">
            <v>0</v>
          </cell>
          <cell r="AG1008">
            <v>0</v>
          </cell>
          <cell r="AH1008">
            <v>0</v>
          </cell>
        </row>
        <row r="1009">
          <cell r="G1009">
            <v>15339</v>
          </cell>
          <cell r="H1009">
            <v>1040000</v>
          </cell>
          <cell r="L1009" t="str">
            <v>Rg 23 D Cenvat Credit Transfer Account</v>
          </cell>
          <cell r="M1009" t="str">
            <v>RG 23 D CENVAT CREDIT TRANSFER ACCOUNT</v>
          </cell>
          <cell r="N1009" t="e">
            <v>#REF!</v>
          </cell>
          <cell r="O1009" t="str">
            <v>A</v>
          </cell>
          <cell r="Q1009">
            <v>-20929344</v>
          </cell>
          <cell r="R1009">
            <v>-15367901</v>
          </cell>
          <cell r="U1009">
            <v>-31276</v>
          </cell>
          <cell r="V1009">
            <v>-31276</v>
          </cell>
          <cell r="Y1009">
            <v>-20898068</v>
          </cell>
          <cell r="Z1009">
            <v>-15336625</v>
          </cell>
          <cell r="AC1009">
            <v>0</v>
          </cell>
          <cell r="AD1009">
            <v>0</v>
          </cell>
          <cell r="AG1009">
            <v>0</v>
          </cell>
          <cell r="AH1009">
            <v>0</v>
          </cell>
        </row>
        <row r="1010">
          <cell r="G1010">
            <v>15340</v>
          </cell>
          <cell r="H1010">
            <v>1041000</v>
          </cell>
          <cell r="L1010" t="str">
            <v>Rg 23 D Cenvat Credit Account</v>
          </cell>
          <cell r="M1010" t="str">
            <v>RG23D CENVAT CREDIT ACCOUNT</v>
          </cell>
          <cell r="N1010" t="e">
            <v>#REF!</v>
          </cell>
          <cell r="O1010" t="str">
            <v>A</v>
          </cell>
          <cell r="Q1010">
            <v>21492620</v>
          </cell>
          <cell r="R1010">
            <v>15943362</v>
          </cell>
          <cell r="U1010">
            <v>0</v>
          </cell>
          <cell r="V1010">
            <v>0</v>
          </cell>
          <cell r="Y1010">
            <v>21492620</v>
          </cell>
          <cell r="Z1010">
            <v>15943362</v>
          </cell>
          <cell r="AC1010">
            <v>0</v>
          </cell>
          <cell r="AD1010">
            <v>0</v>
          </cell>
          <cell r="AG1010">
            <v>0</v>
          </cell>
          <cell r="AH1010">
            <v>0</v>
          </cell>
        </row>
        <row r="1011">
          <cell r="G1011">
            <v>15356</v>
          </cell>
          <cell r="H1011">
            <v>1058000</v>
          </cell>
          <cell r="I1011" t="str">
            <v>3785</v>
          </cell>
          <cell r="L1011" t="str">
            <v>Recoverable From Excise</v>
          </cell>
          <cell r="M1011" t="str">
            <v>RECOVERABLE FROM EXCISE</v>
          </cell>
          <cell r="N1011" t="e">
            <v>#REF!</v>
          </cell>
          <cell r="O1011" t="str">
            <v>A</v>
          </cell>
          <cell r="Q1011">
            <v>-1527380</v>
          </cell>
          <cell r="R1011">
            <v>-335324</v>
          </cell>
          <cell r="U1011">
            <v>498108</v>
          </cell>
          <cell r="V1011">
            <v>1620571</v>
          </cell>
          <cell r="Y1011">
            <v>-3007442</v>
          </cell>
          <cell r="Z1011">
            <v>-3007442</v>
          </cell>
          <cell r="AC1011">
            <v>981954</v>
          </cell>
          <cell r="AD1011">
            <v>1051547</v>
          </cell>
          <cell r="AG1011">
            <v>0</v>
          </cell>
          <cell r="AH1011">
            <v>0</v>
          </cell>
        </row>
        <row r="1012">
          <cell r="G1012">
            <v>15371</v>
          </cell>
          <cell r="H1012">
            <v>1059000</v>
          </cell>
          <cell r="L1012" t="str">
            <v>Recoverable From Excise (Till The Time Matl Is With Processor)</v>
          </cell>
          <cell r="M1012" t="str">
            <v>RECOVERABLE FROM EXCISE (TILL THE TIME MATL IS WITH PROCESSO</v>
          </cell>
          <cell r="N1012" t="e">
            <v>#REF!</v>
          </cell>
          <cell r="O1012" t="str">
            <v>A</v>
          </cell>
          <cell r="Q1012">
            <v>-5926118</v>
          </cell>
          <cell r="R1012">
            <v>2754157</v>
          </cell>
          <cell r="U1012">
            <v>-10457098</v>
          </cell>
          <cell r="V1012">
            <v>-1776823</v>
          </cell>
          <cell r="Y1012">
            <v>4530980</v>
          </cell>
          <cell r="Z1012">
            <v>4530980</v>
          </cell>
          <cell r="AC1012">
            <v>0</v>
          </cell>
          <cell r="AD1012">
            <v>0</v>
          </cell>
          <cell r="AG1012">
            <v>0</v>
          </cell>
          <cell r="AH1012">
            <v>0</v>
          </cell>
        </row>
        <row r="1013">
          <cell r="H1013">
            <v>1060000</v>
          </cell>
          <cell r="I1013" t="str">
            <v>3786</v>
          </cell>
          <cell r="L1013" t="str">
            <v>Recoverable From Excise (Current</v>
          </cell>
          <cell r="M1013" t="e">
            <v>#N/A</v>
          </cell>
          <cell r="N1013" t="e">
            <v>#REF!</v>
          </cell>
          <cell r="O1013" t="str">
            <v>A</v>
          </cell>
          <cell r="Q1013">
            <v>0</v>
          </cell>
          <cell r="R1013">
            <v>0</v>
          </cell>
          <cell r="U1013">
            <v>0</v>
          </cell>
          <cell r="V1013">
            <v>0</v>
          </cell>
          <cell r="Y1013">
            <v>0</v>
          </cell>
          <cell r="Z1013">
            <v>0</v>
          </cell>
          <cell r="AC1013">
            <v>0</v>
          </cell>
          <cell r="AD1013">
            <v>0</v>
          </cell>
          <cell r="AG1013">
            <v>0</v>
          </cell>
          <cell r="AH1013">
            <v>0</v>
          </cell>
        </row>
        <row r="1014">
          <cell r="G1014">
            <v>15357</v>
          </cell>
          <cell r="H1014">
            <v>1061000</v>
          </cell>
          <cell r="I1014" t="str">
            <v>103</v>
          </cell>
          <cell r="L1014" t="str">
            <v>Deferred Excise Duty (Capital Goods)</v>
          </cell>
          <cell r="M1014" t="str">
            <v>DEFERRED EXCISE DUTY (CAPITAL GOODS)</v>
          </cell>
          <cell r="N1014" t="e">
            <v>#REF!</v>
          </cell>
          <cell r="O1014" t="str">
            <v>A</v>
          </cell>
          <cell r="Q1014">
            <v>12895219</v>
          </cell>
          <cell r="R1014">
            <v>10430895</v>
          </cell>
          <cell r="U1014">
            <v>5563100</v>
          </cell>
          <cell r="V1014">
            <v>6257356</v>
          </cell>
          <cell r="Y1014">
            <v>7332119</v>
          </cell>
          <cell r="Z1014">
            <v>4173539</v>
          </cell>
          <cell r="AC1014">
            <v>0</v>
          </cell>
          <cell r="AD1014">
            <v>0</v>
          </cell>
          <cell r="AG1014">
            <v>0</v>
          </cell>
          <cell r="AH1014">
            <v>0</v>
          </cell>
        </row>
        <row r="1015">
          <cell r="G1015">
            <v>15358</v>
          </cell>
          <cell r="H1015">
            <v>1062000</v>
          </cell>
          <cell r="I1015" t="str">
            <v>104</v>
          </cell>
          <cell r="L1015" t="str">
            <v>Deferred Edu. Cess (Capital Goods)</v>
          </cell>
          <cell r="M1015" t="str">
            <v>DEFERRED EDU. CESS (CAPITAL GOODS)</v>
          </cell>
          <cell r="N1015" t="e">
            <v>#REF!</v>
          </cell>
          <cell r="O1015" t="str">
            <v>A</v>
          </cell>
          <cell r="Q1015">
            <v>72177</v>
          </cell>
          <cell r="R1015">
            <v>88284</v>
          </cell>
          <cell r="U1015">
            <v>48879</v>
          </cell>
          <cell r="V1015">
            <v>65075</v>
          </cell>
          <cell r="Y1015">
            <v>23298</v>
          </cell>
          <cell r="Z1015">
            <v>23209</v>
          </cell>
          <cell r="AC1015">
            <v>0</v>
          </cell>
          <cell r="AD1015">
            <v>0</v>
          </cell>
          <cell r="AG1015">
            <v>0</v>
          </cell>
          <cell r="AH1015">
            <v>0</v>
          </cell>
        </row>
        <row r="1016">
          <cell r="G1016">
            <v>15359</v>
          </cell>
          <cell r="H1016">
            <v>1063000</v>
          </cell>
          <cell r="I1016" t="str">
            <v>105</v>
          </cell>
          <cell r="L1016" t="str">
            <v>Deferred Higher Edu Cess (Capital Goods)</v>
          </cell>
          <cell r="M1016" t="str">
            <v>DEFERRED HIGHER EDU CESS (CAPITAL GOODS)</v>
          </cell>
          <cell r="N1016" t="e">
            <v>#REF!</v>
          </cell>
          <cell r="O1016" t="str">
            <v>A</v>
          </cell>
          <cell r="Q1016">
            <v>42409</v>
          </cell>
          <cell r="R1016">
            <v>46737</v>
          </cell>
          <cell r="U1016">
            <v>25536</v>
          </cell>
          <cell r="V1016">
            <v>33950</v>
          </cell>
          <cell r="Y1016">
            <v>16873</v>
          </cell>
          <cell r="Z1016">
            <v>12787</v>
          </cell>
          <cell r="AC1016">
            <v>0</v>
          </cell>
          <cell r="AD1016">
            <v>0</v>
          </cell>
          <cell r="AG1016">
            <v>0</v>
          </cell>
          <cell r="AH1016">
            <v>0</v>
          </cell>
        </row>
        <row r="1017">
          <cell r="H1017">
            <v>1064000</v>
          </cell>
          <cell r="I1017" t="str">
            <v>101</v>
          </cell>
          <cell r="L1017">
            <v>0</v>
          </cell>
          <cell r="M1017" t="e">
            <v>#N/A</v>
          </cell>
          <cell r="N1017" t="e">
            <v>#REF!</v>
          </cell>
          <cell r="O1017" t="str">
            <v>A</v>
          </cell>
          <cell r="Q1017">
            <v>0</v>
          </cell>
          <cell r="R1017">
            <v>0</v>
          </cell>
          <cell r="U1017">
            <v>0</v>
          </cell>
          <cell r="V1017">
            <v>0</v>
          </cell>
          <cell r="Y1017">
            <v>0</v>
          </cell>
          <cell r="Z1017">
            <v>0</v>
          </cell>
          <cell r="AC1017">
            <v>0</v>
          </cell>
          <cell r="AD1017">
            <v>0</v>
          </cell>
          <cell r="AG1017">
            <v>0</v>
          </cell>
          <cell r="AH1017">
            <v>0</v>
          </cell>
        </row>
        <row r="1018">
          <cell r="G1018">
            <v>15360</v>
          </cell>
          <cell r="H1018">
            <v>1065000</v>
          </cell>
          <cell r="I1018" t="str">
            <v>6108</v>
          </cell>
          <cell r="L1018" t="str">
            <v>Excise Cochin</v>
          </cell>
          <cell r="M1018" t="str">
            <v>EXCISE COCHIN</v>
          </cell>
          <cell r="N1018" t="e">
            <v>#REF!</v>
          </cell>
          <cell r="O1018" t="str">
            <v>A</v>
          </cell>
          <cell r="Q1018">
            <v>17478792</v>
          </cell>
          <cell r="R1018">
            <v>10632511</v>
          </cell>
          <cell r="U1018">
            <v>-23802</v>
          </cell>
          <cell r="V1018">
            <v>1024</v>
          </cell>
          <cell r="Y1018">
            <v>14041668</v>
          </cell>
          <cell r="Z1018">
            <v>8109586</v>
          </cell>
          <cell r="AC1018">
            <v>3460926</v>
          </cell>
          <cell r="AD1018">
            <v>2521901</v>
          </cell>
          <cell r="AG1018">
            <v>0</v>
          </cell>
          <cell r="AH1018">
            <v>0</v>
          </cell>
        </row>
        <row r="1019">
          <cell r="H1019">
            <v>1066000</v>
          </cell>
          <cell r="I1019" t="str">
            <v>6096</v>
          </cell>
          <cell r="L1019" t="str">
            <v>Excise Cochin-6096</v>
          </cell>
          <cell r="M1019" t="e">
            <v>#N/A</v>
          </cell>
          <cell r="N1019" t="e">
            <v>#REF!</v>
          </cell>
          <cell r="O1019" t="str">
            <v>A</v>
          </cell>
          <cell r="Q1019">
            <v>-3855848</v>
          </cell>
          <cell r="R1019">
            <v>-2943821</v>
          </cell>
          <cell r="U1019">
            <v>0</v>
          </cell>
          <cell r="V1019">
            <v>0</v>
          </cell>
          <cell r="Y1019">
            <v>0</v>
          </cell>
          <cell r="Z1019">
            <v>0</v>
          </cell>
          <cell r="AC1019">
            <v>-3855848</v>
          </cell>
          <cell r="AD1019">
            <v>-2943821</v>
          </cell>
          <cell r="AG1019">
            <v>0</v>
          </cell>
          <cell r="AH1019">
            <v>0</v>
          </cell>
        </row>
        <row r="1021">
          <cell r="H1021">
            <v>1015000</v>
          </cell>
          <cell r="K1021" t="str">
            <v>Part-D</v>
          </cell>
          <cell r="L1021" t="str">
            <v>Excise Duty</v>
          </cell>
          <cell r="M1021" t="e">
            <v>#N/A</v>
          </cell>
          <cell r="N1021" t="e">
            <v>#REF!</v>
          </cell>
          <cell r="O1021" t="str">
            <v>A</v>
          </cell>
          <cell r="P1021">
            <v>0</v>
          </cell>
          <cell r="Q1021">
            <v>62758477</v>
          </cell>
          <cell r="R1021">
            <v>70144467</v>
          </cell>
          <cell r="S1021">
            <v>0</v>
          </cell>
          <cell r="T1021">
            <v>2162</v>
          </cell>
          <cell r="U1021">
            <v>3898204</v>
          </cell>
          <cell r="V1021">
            <v>4771384</v>
          </cell>
          <cell r="W1021">
            <v>0</v>
          </cell>
          <cell r="X1021">
            <v>2162</v>
          </cell>
          <cell r="Y1021">
            <v>43321986</v>
          </cell>
          <cell r="Z1021">
            <v>46681018</v>
          </cell>
          <cell r="AA1021">
            <v>0</v>
          </cell>
          <cell r="AB1021">
            <v>2162</v>
          </cell>
          <cell r="AC1021">
            <v>9930827</v>
          </cell>
          <cell r="AD1021">
            <v>13337788</v>
          </cell>
          <cell r="AE1021">
            <v>0</v>
          </cell>
          <cell r="AF1021">
            <v>2162</v>
          </cell>
          <cell r="AG1021">
            <v>5607460</v>
          </cell>
          <cell r="AH1021">
            <v>5354277</v>
          </cell>
        </row>
        <row r="1022">
          <cell r="H1022">
            <v>1042000</v>
          </cell>
          <cell r="I1022">
            <v>0</v>
          </cell>
          <cell r="L1022" t="str">
            <v>Service Tax</v>
          </cell>
          <cell r="M1022" t="e">
            <v>#N/A</v>
          </cell>
          <cell r="N1022" t="e">
            <v>#REF!</v>
          </cell>
          <cell r="O1022" t="str">
            <v>A</v>
          </cell>
          <cell r="Q1022">
            <v>0</v>
          </cell>
          <cell r="R1022">
            <v>0</v>
          </cell>
          <cell r="U1022">
            <v>0</v>
          </cell>
          <cell r="V1022">
            <v>0</v>
          </cell>
          <cell r="Y1022">
            <v>0</v>
          </cell>
          <cell r="Z1022">
            <v>0</v>
          </cell>
          <cell r="AC1022">
            <v>0</v>
          </cell>
          <cell r="AD1022">
            <v>0</v>
          </cell>
          <cell r="AG1022">
            <v>0</v>
          </cell>
          <cell r="AH1022">
            <v>0</v>
          </cell>
        </row>
        <row r="1023">
          <cell r="G1023">
            <v>15344</v>
          </cell>
          <cell r="H1023">
            <v>1043000</v>
          </cell>
          <cell r="I1023" t="str">
            <v>2543</v>
          </cell>
          <cell r="L1023" t="str">
            <v>Service Tax</v>
          </cell>
          <cell r="M1023" t="str">
            <v>SERVICE TAX (RECEIVABLE)</v>
          </cell>
          <cell r="N1023" t="e">
            <v>#REF!</v>
          </cell>
          <cell r="O1023" t="str">
            <v>A</v>
          </cell>
          <cell r="P1023">
            <v>0</v>
          </cell>
          <cell r="Q1023">
            <v>43185983</v>
          </cell>
          <cell r="R1023">
            <v>27554115</v>
          </cell>
          <cell r="T1023">
            <v>0</v>
          </cell>
          <cell r="U1023">
            <v>-9747062</v>
          </cell>
          <cell r="V1023">
            <v>-15274340</v>
          </cell>
          <cell r="X1023">
            <v>0</v>
          </cell>
          <cell r="Y1023">
            <v>48944870</v>
          </cell>
          <cell r="Z1023">
            <v>40238932</v>
          </cell>
          <cell r="AB1023">
            <v>0</v>
          </cell>
          <cell r="AC1023">
            <v>3585847</v>
          </cell>
          <cell r="AD1023">
            <v>2536364</v>
          </cell>
          <cell r="AF1023">
            <v>0</v>
          </cell>
          <cell r="AG1023">
            <v>402328</v>
          </cell>
          <cell r="AH1023">
            <v>53159</v>
          </cell>
        </row>
        <row r="1024">
          <cell r="G1024">
            <v>15345</v>
          </cell>
          <cell r="H1024">
            <v>1044000</v>
          </cell>
          <cell r="I1024" t="str">
            <v>2544</v>
          </cell>
          <cell r="L1024" t="str">
            <v>Edu. Cess On Service Tax</v>
          </cell>
          <cell r="M1024" t="str">
            <v>EDUCATION CESS ON SERVICE TAX (RECEIVABLE)</v>
          </cell>
          <cell r="N1024" t="e">
            <v>#REF!</v>
          </cell>
          <cell r="O1024" t="str">
            <v>A</v>
          </cell>
          <cell r="P1024">
            <v>0</v>
          </cell>
          <cell r="Q1024">
            <v>1635319</v>
          </cell>
          <cell r="R1024">
            <v>1584855</v>
          </cell>
          <cell r="T1024">
            <v>0</v>
          </cell>
          <cell r="U1024">
            <v>342800</v>
          </cell>
          <cell r="V1024">
            <v>327344</v>
          </cell>
          <cell r="X1024">
            <v>0</v>
          </cell>
          <cell r="Y1024">
            <v>1260900</v>
          </cell>
          <cell r="Z1024">
            <v>1228627</v>
          </cell>
          <cell r="AB1024">
            <v>0</v>
          </cell>
          <cell r="AC1024">
            <v>31619</v>
          </cell>
          <cell r="AD1024">
            <v>26256</v>
          </cell>
          <cell r="AF1024">
            <v>0</v>
          </cell>
          <cell r="AG1024">
            <v>0</v>
          </cell>
          <cell r="AH1024">
            <v>2628</v>
          </cell>
        </row>
        <row r="1025">
          <cell r="G1025">
            <v>15346</v>
          </cell>
          <cell r="H1025">
            <v>1045000</v>
          </cell>
          <cell r="I1025" t="str">
            <v>2548</v>
          </cell>
          <cell r="L1025" t="str">
            <v>Sh Cess On Service Tax A</v>
          </cell>
          <cell r="M1025" t="str">
            <v>HIGHER EDUCATION CESS ON SERVICE TAX (RECEIVABLE)</v>
          </cell>
          <cell r="N1025" t="e">
            <v>#REF!</v>
          </cell>
          <cell r="O1025" t="str">
            <v>A</v>
          </cell>
          <cell r="P1025">
            <v>0</v>
          </cell>
          <cell r="Q1025">
            <v>717062</v>
          </cell>
          <cell r="R1025">
            <v>694734</v>
          </cell>
          <cell r="T1025">
            <v>0</v>
          </cell>
          <cell r="U1025">
            <v>209990</v>
          </cell>
          <cell r="V1025">
            <v>202506</v>
          </cell>
          <cell r="X1025">
            <v>0</v>
          </cell>
          <cell r="Y1025">
            <v>507072</v>
          </cell>
          <cell r="Z1025">
            <v>490916</v>
          </cell>
          <cell r="AB1025">
            <v>0</v>
          </cell>
          <cell r="AC1025">
            <v>0</v>
          </cell>
          <cell r="AD1025">
            <v>0</v>
          </cell>
          <cell r="AF1025">
            <v>0</v>
          </cell>
          <cell r="AG1025">
            <v>0</v>
          </cell>
          <cell r="AH1025">
            <v>1312</v>
          </cell>
        </row>
        <row r="1026">
          <cell r="G1026">
            <v>153501</v>
          </cell>
          <cell r="H1026">
            <v>1046000</v>
          </cell>
          <cell r="L1026" t="str">
            <v>EDU CESS ON SERVICE TAX INTERIM PAYABLE</v>
          </cell>
          <cell r="M1026" t="str">
            <v>EDU CESS ON SERVICE TAX INTERIM PAYABLE</v>
          </cell>
          <cell r="N1026" t="e">
            <v>#REF!</v>
          </cell>
          <cell r="O1026" t="str">
            <v>A</v>
          </cell>
          <cell r="Q1026">
            <v>44143</v>
          </cell>
          <cell r="R1026">
            <v>21912</v>
          </cell>
          <cell r="U1026">
            <v>39134</v>
          </cell>
          <cell r="V1026">
            <v>22545</v>
          </cell>
          <cell r="Y1026">
            <v>5009</v>
          </cell>
          <cell r="Z1026">
            <v>-633</v>
          </cell>
          <cell r="AC1026">
            <v>0</v>
          </cell>
          <cell r="AD1026">
            <v>0</v>
          </cell>
          <cell r="AG1026">
            <v>0</v>
          </cell>
          <cell r="AH1026">
            <v>0</v>
          </cell>
        </row>
        <row r="1027">
          <cell r="G1027">
            <v>153502</v>
          </cell>
          <cell r="H1027">
            <v>1047000</v>
          </cell>
          <cell r="L1027" t="str">
            <v>H EDU CESS ON SERVICE TAX INTERIM PAYABLE</v>
          </cell>
          <cell r="M1027" t="str">
            <v>H EDU CESS ON SERVICE TAX INTERIM PAYABLE</v>
          </cell>
          <cell r="N1027" t="e">
            <v>#REF!</v>
          </cell>
          <cell r="O1027" t="str">
            <v>A</v>
          </cell>
          <cell r="Q1027">
            <v>22664</v>
          </cell>
          <cell r="R1027">
            <v>11353</v>
          </cell>
          <cell r="U1027">
            <v>18974</v>
          </cell>
          <cell r="V1027">
            <v>10678</v>
          </cell>
          <cell r="Y1027">
            <v>3690</v>
          </cell>
          <cell r="Z1027">
            <v>675</v>
          </cell>
          <cell r="AC1027">
            <v>0</v>
          </cell>
          <cell r="AD1027">
            <v>0</v>
          </cell>
          <cell r="AG1027">
            <v>0</v>
          </cell>
          <cell r="AH1027">
            <v>0</v>
          </cell>
        </row>
        <row r="1028">
          <cell r="G1028" t="str">
            <v>13388-1</v>
          </cell>
          <cell r="H1028">
            <v>1048000</v>
          </cell>
          <cell r="L1028" t="str">
            <v>Edu Cess On Service Tax Expense</v>
          </cell>
          <cell r="M1028" t="str">
            <v>EDU CESS ON SERVICE TAX EXPENSE</v>
          </cell>
          <cell r="N1028" t="e">
            <v>#REF!</v>
          </cell>
          <cell r="O1028" t="str">
            <v>A</v>
          </cell>
          <cell r="Q1028">
            <v>0</v>
          </cell>
          <cell r="R1028">
            <v>0</v>
          </cell>
          <cell r="U1028">
            <v>0</v>
          </cell>
          <cell r="V1028">
            <v>0</v>
          </cell>
          <cell r="Y1028">
            <v>0</v>
          </cell>
          <cell r="Z1028">
            <v>0</v>
          </cell>
          <cell r="AC1028">
            <v>0</v>
          </cell>
          <cell r="AD1028">
            <v>0</v>
          </cell>
          <cell r="AG1028">
            <v>0</v>
          </cell>
          <cell r="AH1028">
            <v>0</v>
          </cell>
        </row>
        <row r="1029">
          <cell r="G1029" t="str">
            <v>13388-2</v>
          </cell>
          <cell r="H1029">
            <v>1049000</v>
          </cell>
          <cell r="L1029" t="str">
            <v>H Edu Cess On Service Tax Expense</v>
          </cell>
          <cell r="M1029" t="str">
            <v>H EDU CESS ON SERVICE TAX EXPENSE</v>
          </cell>
          <cell r="N1029" t="e">
            <v>#REF!</v>
          </cell>
          <cell r="O1029" t="str">
            <v>A</v>
          </cell>
          <cell r="Q1029">
            <v>0</v>
          </cell>
          <cell r="R1029">
            <v>0</v>
          </cell>
          <cell r="U1029">
            <v>0</v>
          </cell>
          <cell r="V1029">
            <v>0</v>
          </cell>
          <cell r="Y1029">
            <v>0</v>
          </cell>
          <cell r="Z1029">
            <v>0</v>
          </cell>
          <cell r="AC1029">
            <v>0</v>
          </cell>
          <cell r="AD1029">
            <v>0</v>
          </cell>
          <cell r="AG1029">
            <v>0</v>
          </cell>
          <cell r="AH1029">
            <v>0</v>
          </cell>
        </row>
        <row r="1030">
          <cell r="G1030">
            <v>15351</v>
          </cell>
          <cell r="H1030">
            <v>1050000</v>
          </cell>
          <cell r="I1030">
            <v>0</v>
          </cell>
          <cell r="L1030" t="str">
            <v>Service Tax Interim Recoverable</v>
          </cell>
          <cell r="M1030" t="str">
            <v>SERVICE TAX INTERIM RECOVERABLE</v>
          </cell>
          <cell r="N1030" t="e">
            <v>#REF!</v>
          </cell>
          <cell r="O1030" t="str">
            <v>A</v>
          </cell>
          <cell r="Q1030">
            <v>-7944618</v>
          </cell>
          <cell r="R1030">
            <v>-4843565</v>
          </cell>
          <cell r="U1030">
            <v>-3506836</v>
          </cell>
          <cell r="V1030">
            <v>-1361466</v>
          </cell>
          <cell r="Y1030">
            <v>-4437782</v>
          </cell>
          <cell r="Z1030">
            <v>-3482099</v>
          </cell>
          <cell r="AC1030">
            <v>0</v>
          </cell>
          <cell r="AD1030">
            <v>0</v>
          </cell>
          <cell r="AG1030">
            <v>0</v>
          </cell>
          <cell r="AH1030">
            <v>0</v>
          </cell>
        </row>
        <row r="1031">
          <cell r="G1031">
            <v>15347</v>
          </cell>
          <cell r="H1031">
            <v>1051000</v>
          </cell>
          <cell r="I1031" t="str">
            <v>2546</v>
          </cell>
          <cell r="L1031" t="str">
            <v>Service Tax Payable</v>
          </cell>
          <cell r="M1031" t="str">
            <v>SERVICE TAX (PAYABLE)</v>
          </cell>
          <cell r="N1031" t="e">
            <v>#REF!</v>
          </cell>
          <cell r="O1031" t="str">
            <v>A</v>
          </cell>
          <cell r="Q1031">
            <v>-6527595</v>
          </cell>
          <cell r="R1031">
            <v>-5715618</v>
          </cell>
          <cell r="U1031">
            <v>-4989289</v>
          </cell>
          <cell r="V1031">
            <v>-4635873</v>
          </cell>
          <cell r="Y1031">
            <v>-1515829</v>
          </cell>
          <cell r="Z1031">
            <v>-1046866</v>
          </cell>
          <cell r="AC1031">
            <v>-22477</v>
          </cell>
          <cell r="AD1031">
            <v>-32879</v>
          </cell>
          <cell r="AG1031">
            <v>0</v>
          </cell>
          <cell r="AH1031">
            <v>0</v>
          </cell>
        </row>
        <row r="1032">
          <cell r="G1032">
            <v>15348</v>
          </cell>
          <cell r="H1032">
            <v>1052000</v>
          </cell>
          <cell r="I1032" t="str">
            <v>2547</v>
          </cell>
          <cell r="L1032" t="str">
            <v>Cess On Service Tax Payable</v>
          </cell>
          <cell r="M1032" t="str">
            <v>EDUCATION CESS ON SERVICE TAX (PAYABLE)</v>
          </cell>
          <cell r="N1032" t="e">
            <v>#REF!</v>
          </cell>
          <cell r="O1032" t="str">
            <v>A</v>
          </cell>
          <cell r="Q1032">
            <v>-116495</v>
          </cell>
          <cell r="R1032">
            <v>-96781</v>
          </cell>
          <cell r="U1032">
            <v>-90237</v>
          </cell>
          <cell r="V1032">
            <v>-78521</v>
          </cell>
          <cell r="Y1032">
            <v>-26258</v>
          </cell>
          <cell r="Z1032">
            <v>-18260</v>
          </cell>
          <cell r="AC1032">
            <v>0</v>
          </cell>
          <cell r="AD1032">
            <v>0</v>
          </cell>
          <cell r="AG1032">
            <v>0</v>
          </cell>
          <cell r="AH1032">
            <v>0</v>
          </cell>
        </row>
        <row r="1033">
          <cell r="G1033">
            <v>15350</v>
          </cell>
          <cell r="H1033">
            <v>1053000</v>
          </cell>
          <cell r="L1033" t="str">
            <v>Service Tax Interim Payable</v>
          </cell>
          <cell r="M1033" t="str">
            <v>SERVICE TAX INTERIM PAYABLE</v>
          </cell>
          <cell r="N1033" t="e">
            <v>#REF!</v>
          </cell>
          <cell r="O1033" t="str">
            <v>A</v>
          </cell>
          <cell r="Q1033">
            <v>1928356</v>
          </cell>
          <cell r="R1033">
            <v>936773</v>
          </cell>
          <cell r="U1033">
            <v>1875675</v>
          </cell>
          <cell r="V1033">
            <v>1059821</v>
          </cell>
          <cell r="Y1033">
            <v>52681</v>
          </cell>
          <cell r="Z1033">
            <v>-123048</v>
          </cell>
          <cell r="AC1033">
            <v>0</v>
          </cell>
          <cell r="AD1033">
            <v>0</v>
          </cell>
          <cell r="AG1033">
            <v>0</v>
          </cell>
          <cell r="AH1033">
            <v>0</v>
          </cell>
        </row>
        <row r="1034">
          <cell r="G1034">
            <v>15349</v>
          </cell>
          <cell r="H1034">
            <v>1054000</v>
          </cell>
          <cell r="I1034" t="str">
            <v>2550</v>
          </cell>
          <cell r="L1034" t="str">
            <v>Sh Cess On Service Tax Payable</v>
          </cell>
          <cell r="M1034" t="str">
            <v>HIGHER EDUCATION CESS ON SERVICE TAX (PAYABLE)</v>
          </cell>
          <cell r="N1034" t="e">
            <v>#REF!</v>
          </cell>
          <cell r="O1034" t="str">
            <v>A</v>
          </cell>
          <cell r="Q1034">
            <v>-58878</v>
          </cell>
          <cell r="R1034">
            <v>-48727</v>
          </cell>
          <cell r="U1034">
            <v>-45209</v>
          </cell>
          <cell r="V1034">
            <v>-39348</v>
          </cell>
          <cell r="Y1034">
            <v>-13669</v>
          </cell>
          <cell r="Z1034">
            <v>-9379</v>
          </cell>
          <cell r="AC1034">
            <v>0</v>
          </cell>
          <cell r="AD1034">
            <v>0</v>
          </cell>
          <cell r="AG1034">
            <v>0</v>
          </cell>
          <cell r="AH1034">
            <v>0</v>
          </cell>
        </row>
        <row r="1035">
          <cell r="G1035">
            <v>15352</v>
          </cell>
          <cell r="H1035">
            <v>1055000</v>
          </cell>
          <cell r="L1035" t="str">
            <v>Edu Cess Service Tax Interim Recoverable</v>
          </cell>
          <cell r="M1035" t="str">
            <v>EDU CESS SERVICE TAX INTERIM RECOVERABLE</v>
          </cell>
          <cell r="N1035" t="e">
            <v>#REF!</v>
          </cell>
          <cell r="O1035" t="str">
            <v>A</v>
          </cell>
          <cell r="Q1035">
            <v>-24742</v>
          </cell>
          <cell r="R1035">
            <v>-2458</v>
          </cell>
          <cell r="U1035">
            <v>-3096</v>
          </cell>
          <cell r="V1035">
            <v>5654</v>
          </cell>
          <cell r="Y1035">
            <v>-21646</v>
          </cell>
          <cell r="Z1035">
            <v>-8112</v>
          </cell>
          <cell r="AC1035">
            <v>0</v>
          </cell>
          <cell r="AD1035">
            <v>0</v>
          </cell>
          <cell r="AG1035">
            <v>0</v>
          </cell>
          <cell r="AH1035">
            <v>0</v>
          </cell>
        </row>
        <row r="1036">
          <cell r="G1036">
            <v>15353</v>
          </cell>
          <cell r="H1036">
            <v>1056000</v>
          </cell>
          <cell r="I1036">
            <v>0</v>
          </cell>
          <cell r="L1036" t="str">
            <v>H Edu Cess Service Tax Interim Recoverable</v>
          </cell>
          <cell r="M1036" t="str">
            <v>H EDU CESS SERVICE TAX INTERIM RECOVERABLE</v>
          </cell>
          <cell r="N1036" t="e">
            <v>#REF!</v>
          </cell>
          <cell r="O1036" t="str">
            <v>A</v>
          </cell>
          <cell r="Q1036">
            <v>-11911</v>
          </cell>
          <cell r="R1036">
            <v>-814</v>
          </cell>
          <cell r="U1036">
            <v>-1633</v>
          </cell>
          <cell r="V1036">
            <v>2794</v>
          </cell>
          <cell r="Y1036">
            <v>-10278</v>
          </cell>
          <cell r="Z1036">
            <v>-3608</v>
          </cell>
          <cell r="AC1036">
            <v>0</v>
          </cell>
          <cell r="AD1036">
            <v>0</v>
          </cell>
          <cell r="AG1036">
            <v>0</v>
          </cell>
          <cell r="AH1036">
            <v>0</v>
          </cell>
        </row>
        <row r="1037">
          <cell r="G1037">
            <v>153441</v>
          </cell>
          <cell r="L1037" t="str">
            <v>SERVICE TAX RECEIVABLE (RCM)</v>
          </cell>
          <cell r="M1037" t="str">
            <v>SERVICE TAX RECEIVABLE (RCM)</v>
          </cell>
          <cell r="N1037" t="e">
            <v>#REF!</v>
          </cell>
          <cell r="O1037" t="str">
            <v>A</v>
          </cell>
          <cell r="Q1037">
            <v>6282703</v>
          </cell>
          <cell r="R1037">
            <v>1148853</v>
          </cell>
          <cell r="U1037">
            <v>3493635</v>
          </cell>
          <cell r="V1037">
            <v>327560</v>
          </cell>
          <cell r="Y1037">
            <v>2789068</v>
          </cell>
          <cell r="Z1037">
            <v>821293</v>
          </cell>
          <cell r="AC1037">
            <v>0</v>
          </cell>
          <cell r="AD1037">
            <v>0</v>
          </cell>
          <cell r="AG1037">
            <v>0</v>
          </cell>
          <cell r="AH1037">
            <v>0</v>
          </cell>
        </row>
        <row r="1038">
          <cell r="G1038">
            <v>153442</v>
          </cell>
          <cell r="I1038">
            <v>6095</v>
          </cell>
          <cell r="J1038" t="str">
            <v>6095</v>
          </cell>
          <cell r="L1038" t="str">
            <v>SERVICE TAX - ISD (ASSETS)</v>
          </cell>
          <cell r="M1038" t="str">
            <v>SERVICE TAX - ISD (ASSETS)</v>
          </cell>
          <cell r="N1038" t="e">
            <v>#REF!</v>
          </cell>
          <cell r="O1038" t="str">
            <v>A</v>
          </cell>
          <cell r="Q1038">
            <v>144489</v>
          </cell>
          <cell r="R1038">
            <v>24173</v>
          </cell>
          <cell r="U1038">
            <v>711</v>
          </cell>
          <cell r="V1038">
            <v>710</v>
          </cell>
          <cell r="Y1038">
            <v>143045</v>
          </cell>
          <cell r="Z1038">
            <v>23463</v>
          </cell>
          <cell r="AC1038">
            <v>733</v>
          </cell>
          <cell r="AD1038">
            <v>0</v>
          </cell>
          <cell r="AG1038">
            <v>0</v>
          </cell>
          <cell r="AH1038">
            <v>0</v>
          </cell>
        </row>
        <row r="1039">
          <cell r="G1039">
            <v>153471</v>
          </cell>
          <cell r="L1039" t="str">
            <v>SERVICE TAX PAYABLE (RCM)</v>
          </cell>
          <cell r="M1039" t="str">
            <v>SERVICE TAX PAYABLE (RCM)</v>
          </cell>
          <cell r="N1039" t="e">
            <v>#REF!</v>
          </cell>
          <cell r="O1039" t="str">
            <v>A</v>
          </cell>
          <cell r="Q1039">
            <v>-2100989</v>
          </cell>
          <cell r="R1039">
            <v>-111813</v>
          </cell>
          <cell r="U1039">
            <v>-1262256</v>
          </cell>
          <cell r="V1039">
            <v>719742</v>
          </cell>
          <cell r="Y1039">
            <v>-838733</v>
          </cell>
          <cell r="Z1039">
            <v>-831555</v>
          </cell>
          <cell r="AC1039">
            <v>0</v>
          </cell>
          <cell r="AD1039">
            <v>0</v>
          </cell>
          <cell r="AG1039">
            <v>0</v>
          </cell>
          <cell r="AH1039">
            <v>0</v>
          </cell>
        </row>
        <row r="1040">
          <cell r="I1040">
            <v>6094</v>
          </cell>
          <cell r="J1040" t="str">
            <v>6094</v>
          </cell>
          <cell r="L1040" t="str">
            <v>SERVICE TAX (RCM) LIABILITY</v>
          </cell>
          <cell r="M1040" t="e">
            <v>#N/A</v>
          </cell>
          <cell r="N1040" t="e">
            <v>#REF!</v>
          </cell>
          <cell r="O1040" t="str">
            <v>A</v>
          </cell>
          <cell r="Q1040">
            <v>-28906</v>
          </cell>
          <cell r="R1040">
            <v>-25970</v>
          </cell>
          <cell r="U1040">
            <v>0</v>
          </cell>
          <cell r="V1040">
            <v>0</v>
          </cell>
          <cell r="Y1040">
            <v>0</v>
          </cell>
          <cell r="Z1040">
            <v>0</v>
          </cell>
          <cell r="AC1040">
            <v>-28906</v>
          </cell>
          <cell r="AD1040">
            <v>-25970</v>
          </cell>
          <cell r="AG1040">
            <v>0</v>
          </cell>
          <cell r="AH1040">
            <v>0</v>
          </cell>
        </row>
        <row r="1041">
          <cell r="AC1041">
            <v>0</v>
          </cell>
          <cell r="AG1041">
            <v>0</v>
          </cell>
        </row>
        <row r="1043">
          <cell r="H1043">
            <v>1069000</v>
          </cell>
          <cell r="K1043">
            <v>0</v>
          </cell>
          <cell r="L1043" t="str">
            <v>Service Tax</v>
          </cell>
          <cell r="M1043" t="e">
            <v>#N/A</v>
          </cell>
          <cell r="N1043" t="e">
            <v>#REF!</v>
          </cell>
          <cell r="O1043" t="str">
            <v>A</v>
          </cell>
          <cell r="P1043">
            <v>0</v>
          </cell>
          <cell r="Q1043">
            <v>37146585</v>
          </cell>
          <cell r="R1043">
            <v>21131022</v>
          </cell>
          <cell r="S1043">
            <v>0</v>
          </cell>
          <cell r="T1043">
            <v>0</v>
          </cell>
          <cell r="U1043">
            <v>-13664699</v>
          </cell>
          <cell r="V1043">
            <v>-18710194</v>
          </cell>
          <cell r="W1043">
            <v>0</v>
          </cell>
          <cell r="X1043">
            <v>0</v>
          </cell>
          <cell r="Y1043">
            <v>46842140</v>
          </cell>
          <cell r="Z1043">
            <v>37280346</v>
          </cell>
          <cell r="AA1043">
            <v>0</v>
          </cell>
          <cell r="AB1043">
            <v>0</v>
          </cell>
          <cell r="AC1043">
            <v>3566816</v>
          </cell>
          <cell r="AD1043">
            <v>2503771</v>
          </cell>
          <cell r="AE1043">
            <v>0</v>
          </cell>
          <cell r="AF1043">
            <v>0</v>
          </cell>
          <cell r="AG1043">
            <v>402328</v>
          </cell>
          <cell r="AH1043">
            <v>57099</v>
          </cell>
        </row>
        <row r="1044">
          <cell r="H1044">
            <v>1057000</v>
          </cell>
          <cell r="I1044">
            <v>0</v>
          </cell>
          <cell r="K1044" t="str">
            <v>Others</v>
          </cell>
          <cell r="M1044" t="e">
            <v>#N/A</v>
          </cell>
          <cell r="N1044" t="e">
            <v>#REF!</v>
          </cell>
          <cell r="O1044" t="str">
            <v>A</v>
          </cell>
          <cell r="Q1044">
            <v>0</v>
          </cell>
          <cell r="R1044">
            <v>0</v>
          </cell>
          <cell r="U1044">
            <v>0</v>
          </cell>
          <cell r="V1044">
            <v>0</v>
          </cell>
          <cell r="Y1044">
            <v>0</v>
          </cell>
          <cell r="Z1044">
            <v>0</v>
          </cell>
          <cell r="AC1044">
            <v>0</v>
          </cell>
          <cell r="AD1044">
            <v>0</v>
          </cell>
          <cell r="AG1044">
            <v>0</v>
          </cell>
          <cell r="AH1044">
            <v>0</v>
          </cell>
        </row>
        <row r="1045">
          <cell r="H1045">
            <v>1067000</v>
          </cell>
          <cell r="L1045" t="str">
            <v>Rgrp of Custom Duty Paid-Bal with Govt. Authorities-15613</v>
          </cell>
          <cell r="M1045" t="e">
            <v>#N/A</v>
          </cell>
          <cell r="N1045" t="e">
            <v>#REF!</v>
          </cell>
          <cell r="O1045" t="str">
            <v>A</v>
          </cell>
          <cell r="Q1045">
            <v>0</v>
          </cell>
          <cell r="R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row>
        <row r="1046">
          <cell r="H1046">
            <v>1068000</v>
          </cell>
          <cell r="M1046" t="e">
            <v>#N/A</v>
          </cell>
          <cell r="N1046" t="e">
            <v>#REF!</v>
          </cell>
          <cell r="O1046" t="str">
            <v>A</v>
          </cell>
          <cell r="Q1046">
            <v>0</v>
          </cell>
          <cell r="R1046">
            <v>0</v>
          </cell>
          <cell r="AC1046">
            <v>0</v>
          </cell>
          <cell r="AD1046">
            <v>0</v>
          </cell>
          <cell r="AG1046">
            <v>0</v>
          </cell>
          <cell r="AH1046">
            <v>0</v>
          </cell>
        </row>
        <row r="1047">
          <cell r="H1047">
            <v>1069000</v>
          </cell>
          <cell r="K1047" t="str">
            <v>Balance With Excise Authorities</v>
          </cell>
          <cell r="M1047" t="e">
            <v>#N/A</v>
          </cell>
          <cell r="N1047" t="e">
            <v>#REF!</v>
          </cell>
          <cell r="O1047" t="str">
            <v>A</v>
          </cell>
          <cell r="P1047">
            <v>0</v>
          </cell>
          <cell r="Q1047">
            <v>99905062</v>
          </cell>
          <cell r="R1047">
            <v>91275489</v>
          </cell>
          <cell r="S1047">
            <v>0</v>
          </cell>
          <cell r="T1047">
            <v>2162</v>
          </cell>
          <cell r="U1047">
            <v>-9766495</v>
          </cell>
          <cell r="V1047">
            <v>-13938810</v>
          </cell>
          <cell r="W1047">
            <v>0</v>
          </cell>
          <cell r="X1047">
            <v>2162</v>
          </cell>
          <cell r="Y1047">
            <v>90164126</v>
          </cell>
          <cell r="Z1047">
            <v>83961364</v>
          </cell>
          <cell r="AA1047">
            <v>0</v>
          </cell>
          <cell r="AB1047">
            <v>2162</v>
          </cell>
          <cell r="AC1047">
            <v>13497643</v>
          </cell>
          <cell r="AD1047">
            <v>15841559</v>
          </cell>
          <cell r="AE1047">
            <v>0</v>
          </cell>
          <cell r="AF1047">
            <v>2162</v>
          </cell>
          <cell r="AG1047">
            <v>6009788</v>
          </cell>
          <cell r="AH1047">
            <v>5411376</v>
          </cell>
        </row>
        <row r="1048">
          <cell r="H1048">
            <v>1070000</v>
          </cell>
          <cell r="K1048" t="str">
            <v>Prepaid Expenses</v>
          </cell>
          <cell r="M1048" t="e">
            <v>#N/A</v>
          </cell>
          <cell r="N1048" t="e">
            <v>#REF!</v>
          </cell>
          <cell r="O1048" t="str">
            <v>A</v>
          </cell>
        </row>
        <row r="1049">
          <cell r="H1049">
            <v>1071000</v>
          </cell>
          <cell r="L1049" t="str">
            <v>Regrouped from Long Term Prepaid</v>
          </cell>
          <cell r="M1049" t="e">
            <v>#N/A</v>
          </cell>
          <cell r="N1049" t="e">
            <v>#REF!</v>
          </cell>
          <cell r="O1049" t="str">
            <v>A</v>
          </cell>
          <cell r="Q1049">
            <v>3629057</v>
          </cell>
          <cell r="R1049">
            <v>3760090</v>
          </cell>
          <cell r="U1049">
            <v>3629057</v>
          </cell>
          <cell r="V1049">
            <v>3455392</v>
          </cell>
          <cell r="Y1049">
            <v>0</v>
          </cell>
          <cell r="Z1049">
            <v>93001</v>
          </cell>
          <cell r="AC1049">
            <v>0</v>
          </cell>
          <cell r="AD1049">
            <v>132610</v>
          </cell>
          <cell r="AG1049">
            <v>0</v>
          </cell>
          <cell r="AH1049">
            <v>79087</v>
          </cell>
        </row>
        <row r="1050">
          <cell r="H1050">
            <v>1072000</v>
          </cell>
          <cell r="L1050">
            <v>0</v>
          </cell>
          <cell r="M1050" t="e">
            <v>#N/A</v>
          </cell>
          <cell r="N1050" t="e">
            <v>#REF!</v>
          </cell>
          <cell r="O1050" t="str">
            <v>A</v>
          </cell>
          <cell r="Q1050">
            <v>0</v>
          </cell>
          <cell r="R1050">
            <v>0</v>
          </cell>
        </row>
        <row r="1051">
          <cell r="H1051">
            <v>1073000</v>
          </cell>
          <cell r="K1051" t="str">
            <v>Prepaid Expenses</v>
          </cell>
          <cell r="M1051" t="e">
            <v>#N/A</v>
          </cell>
          <cell r="N1051" t="e">
            <v>#REF!</v>
          </cell>
          <cell r="O1051" t="str">
            <v>A</v>
          </cell>
          <cell r="P1051">
            <v>0</v>
          </cell>
          <cell r="Q1051">
            <v>3629057</v>
          </cell>
          <cell r="R1051">
            <v>3760090</v>
          </cell>
          <cell r="T1051">
            <v>0</v>
          </cell>
          <cell r="U1051">
            <v>3629057</v>
          </cell>
          <cell r="V1051">
            <v>3455392</v>
          </cell>
          <cell r="W1051">
            <v>0</v>
          </cell>
          <cell r="X1051">
            <v>0</v>
          </cell>
          <cell r="Y1051">
            <v>0</v>
          </cell>
          <cell r="Z1051">
            <v>93001</v>
          </cell>
          <cell r="AA1051">
            <v>0</v>
          </cell>
          <cell r="AB1051">
            <v>0</v>
          </cell>
          <cell r="AC1051">
            <v>0</v>
          </cell>
          <cell r="AD1051">
            <v>132610</v>
          </cell>
          <cell r="AE1051">
            <v>0</v>
          </cell>
          <cell r="AF1051">
            <v>0</v>
          </cell>
          <cell r="AG1051">
            <v>0</v>
          </cell>
          <cell r="AH1051">
            <v>79087</v>
          </cell>
        </row>
        <row r="1052">
          <cell r="H1052">
            <v>1074000</v>
          </cell>
          <cell r="K1052" t="str">
            <v>OTHERS</v>
          </cell>
          <cell r="O1052" t="str">
            <v>A</v>
          </cell>
        </row>
        <row r="1053">
          <cell r="H1053">
            <v>1075000</v>
          </cell>
          <cell r="I1053" t="str">
            <v>3715</v>
          </cell>
          <cell r="L1053" t="str">
            <v>Depb Receivable A/C</v>
          </cell>
          <cell r="M1053" t="e">
            <v>#N/A</v>
          </cell>
          <cell r="N1053" t="e">
            <v>#REF!</v>
          </cell>
          <cell r="O1053" t="str">
            <v>A</v>
          </cell>
          <cell r="Q1053">
            <v>0</v>
          </cell>
          <cell r="R1053">
            <v>0</v>
          </cell>
          <cell r="U1053">
            <v>0</v>
          </cell>
          <cell r="V1053">
            <v>0</v>
          </cell>
          <cell r="Y1053">
            <v>0</v>
          </cell>
          <cell r="Z1053">
            <v>0</v>
          </cell>
          <cell r="AC1053">
            <v>0</v>
          </cell>
          <cell r="AD1053">
            <v>0</v>
          </cell>
          <cell r="AG1053">
            <v>0</v>
          </cell>
          <cell r="AH1053">
            <v>0</v>
          </cell>
        </row>
        <row r="1054">
          <cell r="G1054">
            <v>15216</v>
          </cell>
          <cell r="H1054">
            <v>1076000</v>
          </cell>
          <cell r="I1054" t="str">
            <v>3710</v>
          </cell>
          <cell r="L1054" t="str">
            <v>Interest Receivable</v>
          </cell>
          <cell r="M1054" t="str">
            <v>INTEREST RECEIVABLE</v>
          </cell>
          <cell r="N1054" t="e">
            <v>#REF!</v>
          </cell>
          <cell r="O1054" t="str">
            <v>A</v>
          </cell>
          <cell r="Q1054">
            <v>1059583</v>
          </cell>
          <cell r="R1054">
            <v>1359128</v>
          </cell>
          <cell r="U1054">
            <v>41821</v>
          </cell>
          <cell r="V1054">
            <v>285551</v>
          </cell>
          <cell r="Y1054">
            <v>646144</v>
          </cell>
          <cell r="Z1054">
            <v>927571</v>
          </cell>
          <cell r="AC1054">
            <v>226306</v>
          </cell>
          <cell r="AD1054">
            <v>0</v>
          </cell>
          <cell r="AG1054">
            <v>145312</v>
          </cell>
          <cell r="AH1054">
            <v>146006</v>
          </cell>
        </row>
        <row r="1055">
          <cell r="G1055">
            <v>15256</v>
          </cell>
          <cell r="H1055">
            <v>1077000</v>
          </cell>
          <cell r="I1055" t="str">
            <v>1514</v>
          </cell>
          <cell r="L1055" t="str">
            <v>Creditors Dr. Balance</v>
          </cell>
          <cell r="M1055" t="str">
            <v>CREDITORS DEBIT BALANCES</v>
          </cell>
          <cell r="N1055" t="e">
            <v>#REF!</v>
          </cell>
          <cell r="O1055" t="str">
            <v>A</v>
          </cell>
          <cell r="Q1055">
            <v>13397890</v>
          </cell>
          <cell r="R1055">
            <v>10539461</v>
          </cell>
          <cell r="U1055">
            <v>11514015</v>
          </cell>
          <cell r="V1055">
            <v>7148636</v>
          </cell>
          <cell r="Y1055">
            <v>1539961</v>
          </cell>
          <cell r="Z1055">
            <v>2540058</v>
          </cell>
          <cell r="AC1055">
            <v>343914</v>
          </cell>
          <cell r="AD1055">
            <v>830284</v>
          </cell>
          <cell r="AG1055">
            <v>0</v>
          </cell>
          <cell r="AH1055">
            <v>20483</v>
          </cell>
        </row>
        <row r="1056">
          <cell r="G1056">
            <v>15243</v>
          </cell>
          <cell r="H1056">
            <v>1078000</v>
          </cell>
          <cell r="I1056" t="str">
            <v>3410</v>
          </cell>
          <cell r="L1056" t="str">
            <v>Advance  Suppliers</v>
          </cell>
          <cell r="M1056" t="str">
            <v>ADVANCE SUPPLIERS/ OTHERS (3410)</v>
          </cell>
          <cell r="N1056" t="e">
            <v>#REF!</v>
          </cell>
          <cell r="O1056" t="str">
            <v>A</v>
          </cell>
          <cell r="Q1056">
            <v>8013</v>
          </cell>
          <cell r="R1056">
            <v>8013</v>
          </cell>
          <cell r="U1056">
            <v>7000</v>
          </cell>
          <cell r="V1056">
            <v>7000</v>
          </cell>
          <cell r="Y1056">
            <v>0</v>
          </cell>
          <cell r="Z1056">
            <v>0</v>
          </cell>
          <cell r="AC1056">
            <v>1013</v>
          </cell>
          <cell r="AD1056">
            <v>1013</v>
          </cell>
          <cell r="AG1056">
            <v>0</v>
          </cell>
          <cell r="AH1056">
            <v>0</v>
          </cell>
        </row>
        <row r="1057">
          <cell r="G1057">
            <v>15239</v>
          </cell>
          <cell r="H1057">
            <v>1079000</v>
          </cell>
          <cell r="I1057" t="str">
            <v>3510</v>
          </cell>
          <cell r="L1057" t="str">
            <v>Advance Against Expenses</v>
          </cell>
          <cell r="M1057" t="str">
            <v>ADVANCE AGAINST EXPENSES</v>
          </cell>
          <cell r="N1057" t="e">
            <v>#REF!</v>
          </cell>
          <cell r="O1057" t="str">
            <v>A</v>
          </cell>
          <cell r="Q1057">
            <v>12500</v>
          </cell>
          <cell r="R1057">
            <v>51500</v>
          </cell>
          <cell r="U1057">
            <v>0</v>
          </cell>
          <cell r="V1057">
            <v>73000</v>
          </cell>
          <cell r="Y1057">
            <v>7000</v>
          </cell>
          <cell r="Z1057">
            <v>-33000</v>
          </cell>
          <cell r="AC1057">
            <v>0</v>
          </cell>
          <cell r="AD1057">
            <v>0</v>
          </cell>
          <cell r="AG1057">
            <v>5500</v>
          </cell>
          <cell r="AH1057">
            <v>11500</v>
          </cell>
        </row>
        <row r="1058">
          <cell r="G1058">
            <v>15241</v>
          </cell>
          <cell r="H1058">
            <v>1080000</v>
          </cell>
          <cell r="I1058" t="str">
            <v>3530</v>
          </cell>
          <cell r="L1058" t="str">
            <v>Advance Against Salary/Wages</v>
          </cell>
          <cell r="M1058" t="str">
            <v>ADVANCE AGAINST SALARY/WAGES</v>
          </cell>
          <cell r="N1058" t="e">
            <v>#REF!</v>
          </cell>
          <cell r="O1058" t="str">
            <v>A</v>
          </cell>
          <cell r="Q1058">
            <v>300500</v>
          </cell>
          <cell r="R1058">
            <v>6300</v>
          </cell>
          <cell r="U1058">
            <v>255500</v>
          </cell>
          <cell r="V1058">
            <v>6300</v>
          </cell>
          <cell r="Y1058">
            <v>45000</v>
          </cell>
          <cell r="Z1058">
            <v>0</v>
          </cell>
          <cell r="AC1058">
            <v>0</v>
          </cell>
          <cell r="AD1058">
            <v>0</v>
          </cell>
          <cell r="AG1058">
            <v>0</v>
          </cell>
          <cell r="AH1058">
            <v>0</v>
          </cell>
        </row>
        <row r="1059">
          <cell r="G1059">
            <v>15242</v>
          </cell>
          <cell r="H1059">
            <v>1081000</v>
          </cell>
          <cell r="I1059" t="str">
            <v>3540</v>
          </cell>
          <cell r="L1059" t="str">
            <v>Advance Against Lta</v>
          </cell>
          <cell r="M1059" t="str">
            <v>ADVANCE AGAINST LTA</v>
          </cell>
          <cell r="N1059" t="e">
            <v>#REF!</v>
          </cell>
          <cell r="O1059" t="str">
            <v>A</v>
          </cell>
          <cell r="Q1059">
            <v>0</v>
          </cell>
          <cell r="R1059">
            <v>0</v>
          </cell>
          <cell r="U1059">
            <v>0</v>
          </cell>
          <cell r="V1059">
            <v>0</v>
          </cell>
          <cell r="Y1059">
            <v>0</v>
          </cell>
          <cell r="Z1059">
            <v>0</v>
          </cell>
          <cell r="AC1059">
            <v>0</v>
          </cell>
          <cell r="AD1059">
            <v>0</v>
          </cell>
          <cell r="AG1059">
            <v>0</v>
          </cell>
          <cell r="AH1059">
            <v>0</v>
          </cell>
        </row>
        <row r="1060">
          <cell r="G1060">
            <v>15244</v>
          </cell>
          <cell r="H1060">
            <v>1082000</v>
          </cell>
          <cell r="L1060" t="str">
            <v>Advance Against Cheque</v>
          </cell>
          <cell r="M1060" t="str">
            <v>ADVANCE AGAINST CHEQUE</v>
          </cell>
          <cell r="N1060" t="e">
            <v>#REF!</v>
          </cell>
          <cell r="O1060" t="str">
            <v>A</v>
          </cell>
          <cell r="Q1060">
            <v>0</v>
          </cell>
          <cell r="R1060">
            <v>0</v>
          </cell>
          <cell r="U1060">
            <v>0</v>
          </cell>
          <cell r="V1060">
            <v>0</v>
          </cell>
          <cell r="Y1060">
            <v>0</v>
          </cell>
          <cell r="Z1060">
            <v>0</v>
          </cell>
          <cell r="AC1060">
            <v>0</v>
          </cell>
          <cell r="AD1060">
            <v>0</v>
          </cell>
          <cell r="AG1060">
            <v>0</v>
          </cell>
          <cell r="AH1060">
            <v>0</v>
          </cell>
        </row>
        <row r="1061">
          <cell r="G1061">
            <v>15249</v>
          </cell>
          <cell r="H1061">
            <v>1083000</v>
          </cell>
          <cell r="I1061" t="str">
            <v>3550</v>
          </cell>
          <cell r="L1061" t="str">
            <v>Festivals Loan</v>
          </cell>
          <cell r="M1061" t="str">
            <v>FESTIVALS LOAN</v>
          </cell>
          <cell r="N1061" t="e">
            <v>#REF!</v>
          </cell>
          <cell r="O1061" t="str">
            <v>A</v>
          </cell>
          <cell r="Q1061">
            <v>631600</v>
          </cell>
          <cell r="R1061">
            <v>595400</v>
          </cell>
          <cell r="U1061">
            <v>469200</v>
          </cell>
          <cell r="V1061">
            <v>493000</v>
          </cell>
          <cell r="Y1061">
            <v>162400</v>
          </cell>
          <cell r="Z1061">
            <v>102400</v>
          </cell>
          <cell r="AC1061">
            <v>0</v>
          </cell>
          <cell r="AD1061">
            <v>0</v>
          </cell>
          <cell r="AG1061">
            <v>0</v>
          </cell>
          <cell r="AH1061">
            <v>0</v>
          </cell>
        </row>
        <row r="1062">
          <cell r="G1062">
            <v>15250</v>
          </cell>
          <cell r="H1062">
            <v>1084000</v>
          </cell>
          <cell r="I1062" t="str">
            <v>3560</v>
          </cell>
          <cell r="L1062" t="str">
            <v>Car Loan</v>
          </cell>
          <cell r="M1062" t="str">
            <v>CAR LOAN</v>
          </cell>
          <cell r="N1062" t="e">
            <v>#REF!</v>
          </cell>
          <cell r="O1062" t="str">
            <v>A</v>
          </cell>
          <cell r="Q1062">
            <v>630969</v>
          </cell>
          <cell r="R1062">
            <v>548372</v>
          </cell>
          <cell r="U1062">
            <v>625944</v>
          </cell>
          <cell r="V1062">
            <v>500807</v>
          </cell>
          <cell r="Y1062">
            <v>5025</v>
          </cell>
          <cell r="Z1062">
            <v>47565</v>
          </cell>
          <cell r="AC1062">
            <v>0</v>
          </cell>
          <cell r="AD1062">
            <v>0</v>
          </cell>
          <cell r="AG1062">
            <v>0</v>
          </cell>
          <cell r="AH1062">
            <v>0</v>
          </cell>
        </row>
        <row r="1063">
          <cell r="G1063">
            <v>15251</v>
          </cell>
          <cell r="H1063">
            <v>1085000</v>
          </cell>
          <cell r="I1063" t="str">
            <v>3580</v>
          </cell>
          <cell r="L1063" t="str">
            <v>Sundry Loan</v>
          </cell>
          <cell r="M1063" t="str">
            <v>SUNDRY LOAN</v>
          </cell>
          <cell r="N1063" t="e">
            <v>#REF!</v>
          </cell>
          <cell r="O1063" t="str">
            <v>A</v>
          </cell>
          <cell r="Q1063">
            <v>1278908</v>
          </cell>
          <cell r="R1063">
            <v>1491780</v>
          </cell>
          <cell r="U1063">
            <v>532112</v>
          </cell>
          <cell r="V1063">
            <v>507505</v>
          </cell>
          <cell r="Y1063">
            <v>708796</v>
          </cell>
          <cell r="Z1063">
            <v>952275</v>
          </cell>
          <cell r="AC1063">
            <v>0</v>
          </cell>
          <cell r="AD1063">
            <v>0</v>
          </cell>
          <cell r="AG1063">
            <v>38000</v>
          </cell>
          <cell r="AH1063">
            <v>32000</v>
          </cell>
        </row>
        <row r="1064">
          <cell r="G1064">
            <v>15227</v>
          </cell>
          <cell r="H1064">
            <v>1086000</v>
          </cell>
          <cell r="I1064" t="str">
            <v>3600</v>
          </cell>
          <cell r="L1064" t="str">
            <v>Recoverable From Employees</v>
          </cell>
          <cell r="M1064" t="str">
            <v>RECOVERABLE FROM EMPLOYEES</v>
          </cell>
          <cell r="N1064" t="e">
            <v>#REF!</v>
          </cell>
          <cell r="O1064" t="str">
            <v>A</v>
          </cell>
          <cell r="Q1064">
            <v>75078</v>
          </cell>
          <cell r="R1064">
            <v>75656</v>
          </cell>
          <cell r="U1064">
            <v>5000</v>
          </cell>
          <cell r="V1064">
            <v>5000</v>
          </cell>
          <cell r="Y1064">
            <v>70000</v>
          </cell>
          <cell r="Z1064">
            <v>70000</v>
          </cell>
          <cell r="AC1064">
            <v>78</v>
          </cell>
          <cell r="AD1064">
            <v>656</v>
          </cell>
          <cell r="AG1064">
            <v>0</v>
          </cell>
          <cell r="AH1064">
            <v>0</v>
          </cell>
        </row>
        <row r="1065">
          <cell r="H1065">
            <v>1087000</v>
          </cell>
          <cell r="I1065" t="str">
            <v>2765</v>
          </cell>
          <cell r="L1065" t="str">
            <v>Per Exp Recoverable</v>
          </cell>
          <cell r="M1065" t="e">
            <v>#N/A</v>
          </cell>
          <cell r="N1065" t="e">
            <v>#REF!</v>
          </cell>
          <cell r="O1065" t="str">
            <v>A</v>
          </cell>
          <cell r="Q1065">
            <v>0</v>
          </cell>
          <cell r="R1065">
            <v>0</v>
          </cell>
          <cell r="U1065">
            <v>0</v>
          </cell>
          <cell r="V1065">
            <v>0</v>
          </cell>
          <cell r="Y1065">
            <v>0</v>
          </cell>
          <cell r="Z1065">
            <v>0</v>
          </cell>
          <cell r="AC1065">
            <v>0</v>
          </cell>
          <cell r="AD1065">
            <v>0</v>
          </cell>
          <cell r="AG1065">
            <v>0</v>
          </cell>
          <cell r="AH1065">
            <v>0</v>
          </cell>
        </row>
        <row r="1066">
          <cell r="G1066">
            <v>15228</v>
          </cell>
          <cell r="H1066">
            <v>1088000</v>
          </cell>
          <cell r="I1066" t="str">
            <v>3601</v>
          </cell>
          <cell r="L1066" t="str">
            <v>Recoverable From Others</v>
          </cell>
          <cell r="M1066" t="str">
            <v>RECOVERABLE FROM OTHERS</v>
          </cell>
          <cell r="N1066" t="e">
            <v>#REF!</v>
          </cell>
          <cell r="O1066" t="str">
            <v>A</v>
          </cell>
          <cell r="Q1066">
            <v>79976</v>
          </cell>
          <cell r="R1066">
            <v>79626</v>
          </cell>
          <cell r="U1066">
            <v>4141</v>
          </cell>
          <cell r="V1066">
            <v>4041</v>
          </cell>
          <cell r="Y1066">
            <v>75835</v>
          </cell>
          <cell r="Z1066">
            <v>75585</v>
          </cell>
          <cell r="AC1066">
            <v>0</v>
          </cell>
          <cell r="AD1066">
            <v>0</v>
          </cell>
          <cell r="AG1066">
            <v>0</v>
          </cell>
          <cell r="AH1066">
            <v>0</v>
          </cell>
        </row>
        <row r="1067">
          <cell r="G1067">
            <v>15229</v>
          </cell>
          <cell r="H1067">
            <v>1089000</v>
          </cell>
          <cell r="I1067" t="str">
            <v>3602</v>
          </cell>
          <cell r="L1067" t="str">
            <v>Recoverable From Insurance Co.</v>
          </cell>
          <cell r="M1067" t="str">
            <v>RECOVERABLE FROM INSURANCE CO.</v>
          </cell>
          <cell r="N1067" t="e">
            <v>#REF!</v>
          </cell>
          <cell r="O1067" t="str">
            <v>A</v>
          </cell>
          <cell r="Q1067">
            <v>340535</v>
          </cell>
          <cell r="R1067">
            <v>506284</v>
          </cell>
          <cell r="U1067">
            <v>-13143</v>
          </cell>
          <cell r="V1067">
            <v>104857</v>
          </cell>
          <cell r="Y1067">
            <v>353678</v>
          </cell>
          <cell r="Z1067">
            <v>401427</v>
          </cell>
          <cell r="AC1067">
            <v>0</v>
          </cell>
          <cell r="AD1067">
            <v>0</v>
          </cell>
          <cell r="AG1067">
            <v>0</v>
          </cell>
          <cell r="AH1067">
            <v>0</v>
          </cell>
        </row>
        <row r="1068">
          <cell r="G1068">
            <v>15230</v>
          </cell>
          <cell r="H1068">
            <v>1090000</v>
          </cell>
          <cell r="I1068" t="str">
            <v>3603</v>
          </cell>
          <cell r="L1068" t="str">
            <v>Recoverable From Van Leer</v>
          </cell>
          <cell r="M1068" t="str">
            <v>RECOVERABLE FROM VAN LEER</v>
          </cell>
          <cell r="N1068" t="e">
            <v>#REF!</v>
          </cell>
          <cell r="O1068" t="str">
            <v>A</v>
          </cell>
          <cell r="Q1068">
            <v>0</v>
          </cell>
          <cell r="R1068">
            <v>36250</v>
          </cell>
          <cell r="U1068">
            <v>0</v>
          </cell>
          <cell r="V1068">
            <v>36250</v>
          </cell>
          <cell r="Y1068">
            <v>0</v>
          </cell>
          <cell r="Z1068">
            <v>0</v>
          </cell>
          <cell r="AC1068">
            <v>0</v>
          </cell>
          <cell r="AD1068">
            <v>0</v>
          </cell>
          <cell r="AG1068">
            <v>0</v>
          </cell>
          <cell r="AH1068">
            <v>0</v>
          </cell>
        </row>
        <row r="1069">
          <cell r="G1069">
            <v>15231</v>
          </cell>
          <cell r="H1069">
            <v>1091000</v>
          </cell>
          <cell r="I1069" t="str">
            <v>3605</v>
          </cell>
          <cell r="L1069" t="str">
            <v>Recoverable From L.I.C.- Gratuirty</v>
          </cell>
          <cell r="M1069" t="str">
            <v>RECOVERABLE FROM L.I.C.- GRATUIRTY</v>
          </cell>
          <cell r="N1069" t="e">
            <v>#REF!</v>
          </cell>
          <cell r="O1069" t="str">
            <v>A</v>
          </cell>
          <cell r="Q1069">
            <v>0</v>
          </cell>
          <cell r="R1069">
            <v>3255281</v>
          </cell>
          <cell r="U1069">
            <v>0</v>
          </cell>
          <cell r="V1069">
            <v>3118952</v>
          </cell>
          <cell r="Y1069">
            <v>0</v>
          </cell>
          <cell r="Z1069">
            <v>136329</v>
          </cell>
          <cell r="AC1069">
            <v>0</v>
          </cell>
          <cell r="AD1069">
            <v>0</v>
          </cell>
          <cell r="AG1069">
            <v>0</v>
          </cell>
          <cell r="AH1069">
            <v>0</v>
          </cell>
        </row>
        <row r="1070">
          <cell r="H1070">
            <v>1092000</v>
          </cell>
          <cell r="M1070" t="e">
            <v>#N/A</v>
          </cell>
          <cell r="N1070" t="e">
            <v>#REF!</v>
          </cell>
          <cell r="O1070" t="str">
            <v>A</v>
          </cell>
          <cell r="Q1070">
            <v>0</v>
          </cell>
          <cell r="R1070">
            <v>0</v>
          </cell>
          <cell r="U1070">
            <v>0</v>
          </cell>
          <cell r="V1070">
            <v>0</v>
          </cell>
          <cell r="Y1070">
            <v>0</v>
          </cell>
          <cell r="Z1070">
            <v>0</v>
          </cell>
          <cell r="AC1070">
            <v>0</v>
          </cell>
          <cell r="AD1070">
            <v>0</v>
          </cell>
          <cell r="AG1070">
            <v>0</v>
          </cell>
          <cell r="AH1070">
            <v>0</v>
          </cell>
        </row>
        <row r="1071">
          <cell r="G1071">
            <v>15232</v>
          </cell>
          <cell r="H1071">
            <v>1093000</v>
          </cell>
          <cell r="L1071" t="str">
            <v>Recoverable From Esic</v>
          </cell>
          <cell r="M1071" t="str">
            <v>RECOVERABLE FROM ESIC</v>
          </cell>
          <cell r="N1071" t="e">
            <v>#REF!</v>
          </cell>
          <cell r="O1071" t="str">
            <v>A</v>
          </cell>
          <cell r="Q1071">
            <v>242483</v>
          </cell>
          <cell r="R1071">
            <v>238008</v>
          </cell>
          <cell r="U1071">
            <v>19589</v>
          </cell>
          <cell r="V1071">
            <v>15114</v>
          </cell>
          <cell r="Y1071">
            <v>222894</v>
          </cell>
          <cell r="Z1071">
            <v>222894</v>
          </cell>
          <cell r="AC1071">
            <v>0</v>
          </cell>
          <cell r="AD1071">
            <v>0</v>
          </cell>
          <cell r="AG1071">
            <v>0</v>
          </cell>
          <cell r="AH1071">
            <v>0</v>
          </cell>
        </row>
        <row r="1072">
          <cell r="H1072">
            <v>1094000</v>
          </cell>
          <cell r="I1072" t="str">
            <v>2770</v>
          </cell>
          <cell r="L1072" t="str">
            <v>Misc. Deduction Salary</v>
          </cell>
          <cell r="M1072" t="e">
            <v>#N/A</v>
          </cell>
          <cell r="N1072" t="e">
            <v>#REF!</v>
          </cell>
          <cell r="O1072" t="str">
            <v>A</v>
          </cell>
          <cell r="Q1072">
            <v>0</v>
          </cell>
          <cell r="R1072">
            <v>0</v>
          </cell>
          <cell r="U1072">
            <v>0</v>
          </cell>
          <cell r="V1072">
            <v>0</v>
          </cell>
          <cell r="Y1072">
            <v>0</v>
          </cell>
          <cell r="Z1072">
            <v>0</v>
          </cell>
          <cell r="AC1072">
            <v>0</v>
          </cell>
          <cell r="AD1072">
            <v>0</v>
          </cell>
          <cell r="AG1072">
            <v>0</v>
          </cell>
          <cell r="AH1072">
            <v>0</v>
          </cell>
        </row>
        <row r="1073">
          <cell r="H1073">
            <v>1095000</v>
          </cell>
          <cell r="L1073" t="str">
            <v xml:space="preserve">regrouped to Long Term </v>
          </cell>
          <cell r="O1073" t="str">
            <v>A</v>
          </cell>
          <cell r="Q1073">
            <v>-1651723</v>
          </cell>
          <cell r="R1073">
            <v>-4543670</v>
          </cell>
          <cell r="T1073">
            <v>0</v>
          </cell>
          <cell r="U1073">
            <v>-629667</v>
          </cell>
          <cell r="V1073">
            <v>-4543670</v>
          </cell>
          <cell r="W1073">
            <v>0</v>
          </cell>
          <cell r="X1073">
            <v>0</v>
          </cell>
          <cell r="Y1073">
            <v>-1022056</v>
          </cell>
          <cell r="Z1073">
            <v>0</v>
          </cell>
          <cell r="AA1073">
            <v>0</v>
          </cell>
          <cell r="AB1073">
            <v>0</v>
          </cell>
          <cell r="AC1073">
            <v>0</v>
          </cell>
          <cell r="AD1073">
            <v>0</v>
          </cell>
          <cell r="AE1073">
            <v>0</v>
          </cell>
          <cell r="AF1073">
            <v>0</v>
          </cell>
          <cell r="AG1073">
            <v>0</v>
          </cell>
          <cell r="AH1073">
            <v>0</v>
          </cell>
        </row>
        <row r="1074">
          <cell r="H1074">
            <v>1096000</v>
          </cell>
          <cell r="K1074" t="str">
            <v>OTHERS</v>
          </cell>
          <cell r="M1074" t="e">
            <v>#N/A</v>
          </cell>
          <cell r="N1074" t="e">
            <v>#REF!</v>
          </cell>
          <cell r="O1074" t="str">
            <v>A</v>
          </cell>
          <cell r="P1074">
            <v>0</v>
          </cell>
          <cell r="Q1074">
            <v>16406312</v>
          </cell>
          <cell r="R1074">
            <v>14247389</v>
          </cell>
          <cell r="T1074">
            <v>0</v>
          </cell>
          <cell r="U1074">
            <v>12831512</v>
          </cell>
          <cell r="V1074">
            <v>7762343</v>
          </cell>
          <cell r="W1074">
            <v>0</v>
          </cell>
          <cell r="X1074">
            <v>0</v>
          </cell>
          <cell r="Y1074">
            <v>2814677</v>
          </cell>
          <cell r="Z1074">
            <v>5443104</v>
          </cell>
          <cell r="AA1074">
            <v>0</v>
          </cell>
          <cell r="AB1074">
            <v>0</v>
          </cell>
          <cell r="AC1074">
            <v>571311</v>
          </cell>
          <cell r="AD1074">
            <v>831953</v>
          </cell>
          <cell r="AE1074">
            <v>0</v>
          </cell>
          <cell r="AF1074">
            <v>0</v>
          </cell>
          <cell r="AG1074">
            <v>188812</v>
          </cell>
          <cell r="AH1074">
            <v>209989</v>
          </cell>
        </row>
        <row r="1075">
          <cell r="H1075">
            <v>1097000</v>
          </cell>
          <cell r="J1075" t="str">
            <v>SHORT TERM LOANS &amp; ADVANCES</v>
          </cell>
          <cell r="M1075" t="e">
            <v>#N/A</v>
          </cell>
          <cell r="N1075" t="e">
            <v>#REF!</v>
          </cell>
          <cell r="O1075" t="str">
            <v>A</v>
          </cell>
          <cell r="P1075">
            <v>0</v>
          </cell>
          <cell r="Q1075">
            <v>160699171</v>
          </cell>
          <cell r="R1075">
            <v>125895608</v>
          </cell>
          <cell r="T1075">
            <v>2162</v>
          </cell>
          <cell r="U1075">
            <v>47448814</v>
          </cell>
          <cell r="V1075">
            <v>7949059</v>
          </cell>
          <cell r="W1075">
            <v>0</v>
          </cell>
          <cell r="X1075">
            <v>2162</v>
          </cell>
          <cell r="Y1075">
            <v>92982803</v>
          </cell>
          <cell r="Z1075">
            <v>95385153</v>
          </cell>
          <cell r="AA1075">
            <v>0</v>
          </cell>
          <cell r="AB1075">
            <v>2162</v>
          </cell>
          <cell r="AC1075">
            <v>14068954</v>
          </cell>
          <cell r="AD1075">
            <v>16813122</v>
          </cell>
          <cell r="AE1075">
            <v>0</v>
          </cell>
          <cell r="AF1075">
            <v>2162</v>
          </cell>
          <cell r="AG1075">
            <v>6198600</v>
          </cell>
          <cell r="AH1075">
            <v>5748274</v>
          </cell>
        </row>
        <row r="1076">
          <cell r="H1076">
            <v>1174000</v>
          </cell>
          <cell r="M1076" t="e">
            <v>#N/A</v>
          </cell>
          <cell r="N1076" t="e">
            <v>#REF!</v>
          </cell>
          <cell r="O1076" t="str">
            <v>A</v>
          </cell>
        </row>
        <row r="1077">
          <cell r="H1077">
            <v>1100000</v>
          </cell>
          <cell r="J1077" t="str">
            <v>OTHER CURRENT ASSETS</v>
          </cell>
          <cell r="M1077" t="e">
            <v>#N/A</v>
          </cell>
          <cell r="N1077" t="e">
            <v>#REF!</v>
          </cell>
          <cell r="O1077" t="str">
            <v>A</v>
          </cell>
        </row>
        <row r="1078">
          <cell r="H1078">
            <v>1101000</v>
          </cell>
          <cell r="O1078" t="str">
            <v>A</v>
          </cell>
          <cell r="Q1078">
            <v>0</v>
          </cell>
          <cell r="R1078">
            <v>0</v>
          </cell>
        </row>
        <row r="1079">
          <cell r="H1079">
            <v>1102000</v>
          </cell>
          <cell r="L1079" t="str">
            <v>Regrouped from Interest Accrued on Deposits</v>
          </cell>
          <cell r="M1079" t="e">
            <v>#N/A</v>
          </cell>
          <cell r="N1079" t="e">
            <v>#REF!</v>
          </cell>
          <cell r="O1079" t="str">
            <v>A</v>
          </cell>
          <cell r="Q1079">
            <v>0</v>
          </cell>
          <cell r="R1079">
            <v>0</v>
          </cell>
          <cell r="U1079">
            <v>0</v>
          </cell>
          <cell r="V1079">
            <v>0</v>
          </cell>
          <cell r="Y1079">
            <v>0</v>
          </cell>
          <cell r="Z1079">
            <v>0</v>
          </cell>
          <cell r="AC1079">
            <v>0</v>
          </cell>
          <cell r="AD1079">
            <v>0</v>
          </cell>
          <cell r="AG1079">
            <v>0</v>
          </cell>
          <cell r="AH1079">
            <v>0</v>
          </cell>
        </row>
        <row r="1080">
          <cell r="G1080" t="str">
            <v>14302</v>
          </cell>
          <cell r="I1080" t="str">
            <v xml:space="preserve">3606 </v>
          </cell>
          <cell r="L1080" t="str">
            <v>FORWARD CONTRACT RECEIVABLE ACCOUNT</v>
          </cell>
          <cell r="Q1080">
            <v>0</v>
          </cell>
          <cell r="R1080">
            <v>0</v>
          </cell>
          <cell r="U1080">
            <v>0</v>
          </cell>
          <cell r="V1080">
            <v>0</v>
          </cell>
          <cell r="Y1080">
            <v>0</v>
          </cell>
          <cell r="Z1080">
            <v>0</v>
          </cell>
          <cell r="AC1080">
            <v>0</v>
          </cell>
          <cell r="AD1080">
            <v>0</v>
          </cell>
          <cell r="AG1080">
            <v>0</v>
          </cell>
          <cell r="AH1080">
            <v>0</v>
          </cell>
        </row>
        <row r="1081">
          <cell r="G1081" t="str">
            <v>14303</v>
          </cell>
          <cell r="L1081" t="str">
            <v>DEFERRED PREMIUM ACCOUNT</v>
          </cell>
          <cell r="Q1081">
            <v>0</v>
          </cell>
          <cell r="R1081">
            <v>0</v>
          </cell>
          <cell r="U1081">
            <v>0</v>
          </cell>
          <cell r="V1081">
            <v>0</v>
          </cell>
          <cell r="Y1081">
            <v>0</v>
          </cell>
          <cell r="Z1081">
            <v>0</v>
          </cell>
          <cell r="AC1081">
            <v>0</v>
          </cell>
          <cell r="AD1081">
            <v>0</v>
          </cell>
          <cell r="AG1081">
            <v>0</v>
          </cell>
          <cell r="AH1081">
            <v>0</v>
          </cell>
        </row>
        <row r="1082">
          <cell r="G1082">
            <v>15218</v>
          </cell>
          <cell r="H1082">
            <v>1103000</v>
          </cell>
          <cell r="L1082" t="str">
            <v>Regoruped fromDepb Receivable A/C</v>
          </cell>
          <cell r="M1082" t="str">
            <v>DEPB RECEIVABLE A/C</v>
          </cell>
          <cell r="N1082" t="e">
            <v>#REF!</v>
          </cell>
          <cell r="O1082" t="str">
            <v>A</v>
          </cell>
          <cell r="Q1082">
            <v>0</v>
          </cell>
          <cell r="R1082">
            <v>914255</v>
          </cell>
          <cell r="U1082">
            <v>0</v>
          </cell>
          <cell r="V1082">
            <v>914255</v>
          </cell>
          <cell r="Y1082">
            <v>0</v>
          </cell>
          <cell r="Z1082">
            <v>0</v>
          </cell>
          <cell r="AC1082">
            <v>0</v>
          </cell>
          <cell r="AD1082">
            <v>0</v>
          </cell>
          <cell r="AG1082">
            <v>0</v>
          </cell>
          <cell r="AH1082">
            <v>0</v>
          </cell>
        </row>
        <row r="1083">
          <cell r="H1083">
            <v>1104000</v>
          </cell>
          <cell r="L1083" t="str">
            <v>Regrouped Duty Drawback</v>
          </cell>
          <cell r="O1083" t="str">
            <v>A</v>
          </cell>
          <cell r="Q1083">
            <v>8960974</v>
          </cell>
          <cell r="R1083">
            <v>2620026</v>
          </cell>
          <cell r="U1083">
            <v>8587442</v>
          </cell>
          <cell r="V1083">
            <v>2620026</v>
          </cell>
          <cell r="Y1083">
            <v>373532</v>
          </cell>
          <cell r="AC1083">
            <v>0</v>
          </cell>
        </row>
        <row r="1084">
          <cell r="H1084">
            <v>1105000</v>
          </cell>
          <cell r="O1084" t="str">
            <v>A</v>
          </cell>
          <cell r="Q1084">
            <v>0</v>
          </cell>
          <cell r="R1084">
            <v>0</v>
          </cell>
        </row>
        <row r="1085">
          <cell r="H1085">
            <v>1106000</v>
          </cell>
          <cell r="J1085" t="str">
            <v>OTHER CURRENT ASSETS</v>
          </cell>
          <cell r="M1085" t="e">
            <v>#N/A</v>
          </cell>
          <cell r="N1085" t="e">
            <v>#REF!</v>
          </cell>
          <cell r="O1085" t="str">
            <v>A</v>
          </cell>
          <cell r="P1085">
            <v>0</v>
          </cell>
          <cell r="Q1085">
            <v>8960974</v>
          </cell>
          <cell r="R1085">
            <v>3534281</v>
          </cell>
          <cell r="T1085">
            <v>0</v>
          </cell>
          <cell r="U1085">
            <v>8587442</v>
          </cell>
          <cell r="V1085">
            <v>3534281</v>
          </cell>
          <cell r="W1085">
            <v>0</v>
          </cell>
          <cell r="X1085">
            <v>0</v>
          </cell>
          <cell r="Y1085">
            <v>373532</v>
          </cell>
          <cell r="Z1085">
            <v>0</v>
          </cell>
          <cell r="AA1085">
            <v>0</v>
          </cell>
          <cell r="AB1085">
            <v>0</v>
          </cell>
          <cell r="AC1085">
            <v>0</v>
          </cell>
          <cell r="AD1085">
            <v>0</v>
          </cell>
          <cell r="AE1085">
            <v>0</v>
          </cell>
          <cell r="AF1085">
            <v>0</v>
          </cell>
          <cell r="AG1085">
            <v>0</v>
          </cell>
          <cell r="AH1085">
            <v>0</v>
          </cell>
        </row>
        <row r="1086">
          <cell r="H1086">
            <v>1174000</v>
          </cell>
          <cell r="M1086" t="e">
            <v>#N/A</v>
          </cell>
          <cell r="N1086" t="e">
            <v>#REF!</v>
          </cell>
          <cell r="O1086" t="str">
            <v>A</v>
          </cell>
        </row>
        <row r="1087">
          <cell r="H1087">
            <v>1211000</v>
          </cell>
          <cell r="J1087" t="str">
            <v>System (Erp) Accounts</v>
          </cell>
          <cell r="M1087" t="e">
            <v>#N/A</v>
          </cell>
          <cell r="N1087" t="e">
            <v>#REF!</v>
          </cell>
          <cell r="O1087" t="str">
            <v>S</v>
          </cell>
        </row>
        <row r="1088">
          <cell r="G1088">
            <v>12150</v>
          </cell>
          <cell r="H1088">
            <v>1212000</v>
          </cell>
          <cell r="L1088" t="str">
            <v>Raw Material Consumed (Bom)</v>
          </cell>
          <cell r="M1088" t="str">
            <v>RAW MATERIAL CONSUMED (BOM)</v>
          </cell>
          <cell r="N1088" t="e">
            <v>#REF!</v>
          </cell>
          <cell r="O1088" t="str">
            <v>S</v>
          </cell>
          <cell r="Q1088">
            <v>2544258653</v>
          </cell>
          <cell r="R1088">
            <v>1313344814</v>
          </cell>
          <cell r="U1088">
            <v>271001005</v>
          </cell>
          <cell r="V1088">
            <v>313521147</v>
          </cell>
          <cell r="X1088">
            <v>0</v>
          </cell>
          <cell r="Y1088">
            <v>2273257648</v>
          </cell>
          <cell r="Z1088">
            <v>999823667</v>
          </cell>
        </row>
        <row r="1089">
          <cell r="G1089">
            <v>12153</v>
          </cell>
          <cell r="H1089">
            <v>1213000</v>
          </cell>
          <cell r="L1089" t="str">
            <v>Consumption Raw Materials (Other Than Bom)</v>
          </cell>
          <cell r="M1089" t="str">
            <v>CONSUMPTION RAW MATERIALS (OTHER THAN BOM)</v>
          </cell>
          <cell r="N1089" t="e">
            <v>#REF!</v>
          </cell>
          <cell r="O1089" t="str">
            <v>S</v>
          </cell>
          <cell r="Q1089">
            <v>0</v>
          </cell>
          <cell r="R1089">
            <v>0</v>
          </cell>
          <cell r="U1089">
            <v>0</v>
          </cell>
          <cell r="V1089">
            <v>0</v>
          </cell>
          <cell r="X1089">
            <v>0</v>
          </cell>
          <cell r="Y1089">
            <v>0</v>
          </cell>
          <cell r="Z1089">
            <v>0</v>
          </cell>
        </row>
        <row r="1090">
          <cell r="G1090">
            <v>12155</v>
          </cell>
          <cell r="H1090">
            <v>1214000</v>
          </cell>
          <cell r="L1090" t="str">
            <v>Plating Chemicals Consumed (Other Than Bom)</v>
          </cell>
          <cell r="M1090" t="str">
            <v>PLATING CHEMICALS CONSUMED (OTHER THAN BOM)</v>
          </cell>
          <cell r="N1090" t="e">
            <v>#REF!</v>
          </cell>
          <cell r="O1090" t="str">
            <v>S</v>
          </cell>
          <cell r="Q1090">
            <v>11662880</v>
          </cell>
          <cell r="R1090">
            <v>20024221</v>
          </cell>
          <cell r="U1090">
            <v>11662880</v>
          </cell>
          <cell r="V1090">
            <v>20024221</v>
          </cell>
          <cell r="X1090">
            <v>0</v>
          </cell>
          <cell r="Y1090">
            <v>0</v>
          </cell>
          <cell r="Z1090">
            <v>0</v>
          </cell>
        </row>
        <row r="1091">
          <cell r="G1091">
            <v>12225</v>
          </cell>
          <cell r="H1091">
            <v>1215000</v>
          </cell>
          <cell r="L1091" t="str">
            <v>Packing Material Consumed</v>
          </cell>
          <cell r="M1091" t="str">
            <v>PACKING MATERIAL CONSUMED</v>
          </cell>
          <cell r="N1091" t="e">
            <v>#REF!</v>
          </cell>
          <cell r="O1091" t="str">
            <v>S</v>
          </cell>
          <cell r="Q1091">
            <v>0</v>
          </cell>
          <cell r="R1091">
            <v>0</v>
          </cell>
          <cell r="U1091">
            <v>0</v>
          </cell>
          <cell r="V1091">
            <v>0</v>
          </cell>
          <cell r="X1091">
            <v>0</v>
          </cell>
          <cell r="Y1091">
            <v>0</v>
          </cell>
          <cell r="Z1091">
            <v>0</v>
          </cell>
        </row>
        <row r="1092">
          <cell r="G1092">
            <v>13102</v>
          </cell>
          <cell r="H1092">
            <v>1216000</v>
          </cell>
          <cell r="L1092" t="str">
            <v>Stock Valuation Diff A/C (Wip)</v>
          </cell>
          <cell r="M1092" t="str">
            <v>STOCK VALUATION DIFF A/C (WIP)</v>
          </cell>
          <cell r="N1092" t="e">
            <v>#REF!</v>
          </cell>
          <cell r="O1092" t="str">
            <v>S</v>
          </cell>
          <cell r="Q1092">
            <v>1040734</v>
          </cell>
          <cell r="R1092">
            <v>16595274297</v>
          </cell>
          <cell r="U1092">
            <v>1040734</v>
          </cell>
          <cell r="V1092">
            <v>6645125</v>
          </cell>
          <cell r="X1092">
            <v>0</v>
          </cell>
          <cell r="Y1092">
            <v>0</v>
          </cell>
          <cell r="Z1092">
            <v>16588629172</v>
          </cell>
        </row>
        <row r="1093">
          <cell r="G1093">
            <v>13111</v>
          </cell>
          <cell r="H1093">
            <v>1217000</v>
          </cell>
          <cell r="L1093" t="str">
            <v>Stores, Spare Parts, Consumables Consumed</v>
          </cell>
          <cell r="M1093" t="str">
            <v>STORES, SPARE PARTS, CONSUMABLES CONSUMED</v>
          </cell>
          <cell r="N1093" t="e">
            <v>#REF!</v>
          </cell>
          <cell r="O1093" t="str">
            <v>S</v>
          </cell>
          <cell r="Q1093">
            <v>856106</v>
          </cell>
          <cell r="R1093">
            <v>9785590</v>
          </cell>
          <cell r="U1093">
            <v>709588</v>
          </cell>
          <cell r="V1093">
            <v>8322402</v>
          </cell>
          <cell r="X1093">
            <v>0</v>
          </cell>
          <cell r="Y1093">
            <v>146518</v>
          </cell>
          <cell r="Z1093">
            <v>1463188</v>
          </cell>
        </row>
        <row r="1094">
          <cell r="G1094">
            <v>15089</v>
          </cell>
          <cell r="H1094">
            <v>1218000</v>
          </cell>
          <cell r="L1094" t="str">
            <v>Goods-In-Transit (Fg)</v>
          </cell>
          <cell r="M1094" t="str">
            <v>GOODS-IN-TRANSIT (FG)</v>
          </cell>
          <cell r="N1094" t="e">
            <v>#REF!</v>
          </cell>
          <cell r="O1094" t="str">
            <v>S</v>
          </cell>
          <cell r="Q1094">
            <v>868597</v>
          </cell>
          <cell r="R1094">
            <v>-539075</v>
          </cell>
          <cell r="U1094">
            <v>0</v>
          </cell>
          <cell r="V1094">
            <v>-310713</v>
          </cell>
          <cell r="X1094">
            <v>0</v>
          </cell>
          <cell r="Y1094">
            <v>868597</v>
          </cell>
          <cell r="Z1094">
            <v>-228362</v>
          </cell>
        </row>
        <row r="1095">
          <cell r="G1095">
            <v>15090</v>
          </cell>
          <cell r="H1095">
            <v>1219000</v>
          </cell>
          <cell r="L1095" t="str">
            <v>Goods-In-Transit (Rm)</v>
          </cell>
          <cell r="M1095" t="str">
            <v>GOODS-IN-TRANSIT (RM)</v>
          </cell>
          <cell r="N1095" t="e">
            <v>#REF!</v>
          </cell>
          <cell r="O1095" t="str">
            <v>S</v>
          </cell>
          <cell r="Q1095">
            <v>-196174</v>
          </cell>
          <cell r="R1095">
            <v>107299</v>
          </cell>
          <cell r="U1095">
            <v>0</v>
          </cell>
          <cell r="V1095">
            <v>0</v>
          </cell>
          <cell r="X1095">
            <v>0</v>
          </cell>
          <cell r="Y1095">
            <v>-196174</v>
          </cell>
          <cell r="Z1095">
            <v>107299</v>
          </cell>
        </row>
        <row r="1096">
          <cell r="G1096">
            <v>15091</v>
          </cell>
          <cell r="H1096">
            <v>1220000</v>
          </cell>
          <cell r="L1096" t="str">
            <v>Transfer Issue/Receipt A/C (Git) Rm</v>
          </cell>
          <cell r="M1096" t="str">
            <v>TRANSFER ISSUE/RECEIPT A/C (GIT) RM</v>
          </cell>
          <cell r="N1096" t="e">
            <v>#REF!</v>
          </cell>
          <cell r="O1096" t="str">
            <v>S</v>
          </cell>
          <cell r="Q1096">
            <v>-116273088</v>
          </cell>
          <cell r="R1096">
            <v>93928297</v>
          </cell>
          <cell r="U1096">
            <v>2627569</v>
          </cell>
          <cell r="V1096">
            <v>2251625</v>
          </cell>
          <cell r="X1096">
            <v>0</v>
          </cell>
          <cell r="Y1096">
            <v>-118900657</v>
          </cell>
          <cell r="Z1096">
            <v>91676672</v>
          </cell>
        </row>
        <row r="1097">
          <cell r="G1097">
            <v>15092</v>
          </cell>
          <cell r="H1097">
            <v>1221000</v>
          </cell>
          <cell r="L1097" t="str">
            <v>Unrealised Profit/Loss On Transfer</v>
          </cell>
          <cell r="M1097" t="str">
            <v>UNREALISED PROFIT/LOSS ON TRANSFER</v>
          </cell>
          <cell r="N1097" t="e">
            <v>#REF!</v>
          </cell>
          <cell r="O1097" t="str">
            <v>S</v>
          </cell>
          <cell r="Q1097">
            <v>141475242</v>
          </cell>
          <cell r="R1097">
            <v>-79613689</v>
          </cell>
          <cell r="U1097">
            <v>306502</v>
          </cell>
          <cell r="V1097">
            <v>7589889</v>
          </cell>
          <cell r="X1097">
            <v>0</v>
          </cell>
          <cell r="Y1097">
            <v>141168740</v>
          </cell>
          <cell r="Z1097">
            <v>-87203578</v>
          </cell>
        </row>
        <row r="1098">
          <cell r="G1098">
            <v>15095</v>
          </cell>
          <cell r="H1098">
            <v>1222000</v>
          </cell>
          <cell r="L1098" t="str">
            <v>Transfer Issue/Receipt A/C (Git) Fg</v>
          </cell>
          <cell r="M1098" t="str">
            <v>TRANSFER ISSUE/RECEIPT A/C (GIT) FG</v>
          </cell>
          <cell r="N1098" t="e">
            <v>#REF!</v>
          </cell>
          <cell r="O1098" t="str">
            <v>S</v>
          </cell>
          <cell r="Q1098">
            <v>-25832778</v>
          </cell>
          <cell r="R1098">
            <v>-14171026</v>
          </cell>
          <cell r="U1098">
            <v>-2945984</v>
          </cell>
          <cell r="V1098">
            <v>-9823354</v>
          </cell>
          <cell r="X1098">
            <v>0</v>
          </cell>
          <cell r="Y1098">
            <v>-22886794</v>
          </cell>
          <cell r="Z1098">
            <v>-4347672</v>
          </cell>
        </row>
        <row r="1099">
          <cell r="G1099">
            <v>15116</v>
          </cell>
          <cell r="H1099">
            <v>1223000</v>
          </cell>
          <cell r="L1099" t="str">
            <v>FINISHED GOODS STOCK (BS)</v>
          </cell>
          <cell r="M1099" t="str">
            <v>FINISHED GOODS STOCK (BS)</v>
          </cell>
          <cell r="N1099" t="e">
            <v>#REF!</v>
          </cell>
          <cell r="O1099" t="str">
            <v>S</v>
          </cell>
          <cell r="Q1099">
            <v>-39336812</v>
          </cell>
          <cell r="R1099">
            <v>19967711</v>
          </cell>
          <cell r="U1099">
            <v>-13124738</v>
          </cell>
          <cell r="V1099">
            <v>5146833</v>
          </cell>
          <cell r="X1099">
            <v>0</v>
          </cell>
          <cell r="Y1099">
            <v>-26212074</v>
          </cell>
          <cell r="Z1099">
            <v>14820878</v>
          </cell>
        </row>
        <row r="1100">
          <cell r="G1100">
            <v>15119</v>
          </cell>
          <cell r="H1100">
            <v>1224000</v>
          </cell>
          <cell r="L1100" t="str">
            <v>Packing Slip A/C (Matl Assign Yet To Despatch [Net 15615])</v>
          </cell>
          <cell r="M1100" t="str">
            <v>PACKING SLIP A/C (MATL ASSIGN YET TO DESPATCH [NET 15615])</v>
          </cell>
          <cell r="N1100" t="e">
            <v>#REF!</v>
          </cell>
          <cell r="O1100" t="str">
            <v>S</v>
          </cell>
          <cell r="Q1100">
            <v>-6</v>
          </cell>
          <cell r="R1100">
            <v>-179922</v>
          </cell>
          <cell r="U1100">
            <v>0</v>
          </cell>
          <cell r="V1100">
            <v>-4785</v>
          </cell>
          <cell r="X1100">
            <v>0</v>
          </cell>
          <cell r="Y1100">
            <v>-6</v>
          </cell>
          <cell r="Z1100">
            <v>-175137</v>
          </cell>
        </row>
        <row r="1101">
          <cell r="G1101">
            <v>15123</v>
          </cell>
          <cell r="H1101">
            <v>1225000</v>
          </cell>
          <cell r="L1101" t="str">
            <v>Scrap Receipt</v>
          </cell>
          <cell r="M1101" t="str">
            <v>SCRAP RECEIPT</v>
          </cell>
          <cell r="N1101" t="e">
            <v>#REF!</v>
          </cell>
          <cell r="O1101" t="str">
            <v>S</v>
          </cell>
          <cell r="Q1101">
            <v>-5245931</v>
          </cell>
          <cell r="R1101">
            <v>-3937367</v>
          </cell>
          <cell r="U1101">
            <v>-5245931</v>
          </cell>
          <cell r="V1101">
            <v>-3937367</v>
          </cell>
          <cell r="X1101">
            <v>0</v>
          </cell>
          <cell r="Y1101">
            <v>0</v>
          </cell>
          <cell r="Z1101">
            <v>0</v>
          </cell>
        </row>
        <row r="1102">
          <cell r="G1102">
            <v>15124</v>
          </cell>
          <cell r="H1102">
            <v>1226000</v>
          </cell>
          <cell r="L1102" t="str">
            <v>Purchase, Packing Slip Prov For Pending Grn Wip)</v>
          </cell>
          <cell r="M1102" t="str">
            <v>PURCHASE, PACKING SLIP PROV FOR PENDING GRN WIP)</v>
          </cell>
          <cell r="N1102" t="e">
            <v>#REF!</v>
          </cell>
          <cell r="O1102" t="str">
            <v>S</v>
          </cell>
          <cell r="Q1102">
            <v>0</v>
          </cell>
          <cell r="R1102">
            <v>0</v>
          </cell>
          <cell r="U1102">
            <v>0</v>
          </cell>
          <cell r="V1102">
            <v>0</v>
          </cell>
          <cell r="X1102">
            <v>0</v>
          </cell>
          <cell r="Y1102">
            <v>0</v>
          </cell>
          <cell r="Z1102">
            <v>0</v>
          </cell>
        </row>
        <row r="1103">
          <cell r="G1103">
            <v>15130</v>
          </cell>
          <cell r="H1103">
            <v>1227000</v>
          </cell>
          <cell r="L1103" t="str">
            <v>Closing stock of WIP-BS</v>
          </cell>
          <cell r="M1103" t="str">
            <v>WORK IN PROCESS STOCK (BS)</v>
          </cell>
          <cell r="N1103" t="e">
            <v>#REF!</v>
          </cell>
          <cell r="O1103" t="str">
            <v>S</v>
          </cell>
          <cell r="Q1103">
            <v>243716580</v>
          </cell>
          <cell r="R1103">
            <v>239203058</v>
          </cell>
          <cell r="U1103">
            <v>74086975</v>
          </cell>
          <cell r="V1103">
            <v>104122392</v>
          </cell>
          <cell r="X1103">
            <v>0</v>
          </cell>
          <cell r="Y1103">
            <v>169629605</v>
          </cell>
          <cell r="Z1103">
            <v>135080666</v>
          </cell>
        </row>
        <row r="1104">
          <cell r="G1104">
            <v>15139</v>
          </cell>
          <cell r="H1104">
            <v>1228000</v>
          </cell>
          <cell r="L1104" t="str">
            <v>Branch Sales</v>
          </cell>
          <cell r="M1104" t="str">
            <v>BRANCH SALES</v>
          </cell>
          <cell r="N1104" t="e">
            <v>#REF!</v>
          </cell>
          <cell r="O1104" t="str">
            <v>S</v>
          </cell>
          <cell r="Q1104">
            <v>681593</v>
          </cell>
          <cell r="R1104">
            <v>-24033</v>
          </cell>
          <cell r="U1104">
            <v>32625</v>
          </cell>
          <cell r="V1104">
            <v>-14932</v>
          </cell>
          <cell r="X1104">
            <v>0</v>
          </cell>
          <cell r="Y1104">
            <v>648968</v>
          </cell>
          <cell r="Z1104">
            <v>-9101</v>
          </cell>
        </row>
        <row r="1105">
          <cell r="G1105">
            <v>15219</v>
          </cell>
          <cell r="H1105">
            <v>1229000</v>
          </cell>
          <cell r="L1105" t="str">
            <v>Aa Receivable A/C</v>
          </cell>
          <cell r="M1105" t="str">
            <v>AA RECEIVABLE A/C</v>
          </cell>
          <cell r="N1105" t="e">
            <v>#REF!</v>
          </cell>
          <cell r="O1105" t="str">
            <v>S</v>
          </cell>
          <cell r="Q1105">
            <v>0</v>
          </cell>
          <cell r="R1105">
            <v>0</v>
          </cell>
          <cell r="U1105">
            <v>0</v>
          </cell>
          <cell r="V1105">
            <v>0</v>
          </cell>
          <cell r="X1105">
            <v>0</v>
          </cell>
          <cell r="Y1105">
            <v>0</v>
          </cell>
          <cell r="Z1105">
            <v>0</v>
          </cell>
        </row>
        <row r="1106">
          <cell r="G1106">
            <v>15606</v>
          </cell>
          <cell r="H1106">
            <v>1230000</v>
          </cell>
          <cell r="L1106" t="str">
            <v>Import Duty Expence A/C</v>
          </cell>
          <cell r="M1106" t="str">
            <v>IMPORT DUTY EXPENCE A/C</v>
          </cell>
          <cell r="N1106" t="e">
            <v>#REF!</v>
          </cell>
          <cell r="O1106" t="str">
            <v>S</v>
          </cell>
          <cell r="Q1106">
            <v>0</v>
          </cell>
          <cell r="R1106">
            <v>0</v>
          </cell>
          <cell r="U1106">
            <v>0</v>
          </cell>
          <cell r="V1106">
            <v>0</v>
          </cell>
          <cell r="X1106">
            <v>0</v>
          </cell>
          <cell r="Y1106">
            <v>0</v>
          </cell>
          <cell r="Z1106">
            <v>0</v>
          </cell>
        </row>
        <row r="1107">
          <cell r="G1107">
            <v>15609</v>
          </cell>
          <cell r="H1107">
            <v>1231000</v>
          </cell>
          <cell r="L1107" t="str">
            <v>Export Duty Payable A/C</v>
          </cell>
          <cell r="M1107" t="str">
            <v>EXPORT DUTY PAYABLE A/C</v>
          </cell>
          <cell r="N1107" t="e">
            <v>#REF!</v>
          </cell>
          <cell r="O1107" t="str">
            <v>S</v>
          </cell>
          <cell r="Q1107">
            <v>0</v>
          </cell>
          <cell r="R1107">
            <v>0</v>
          </cell>
          <cell r="U1107">
            <v>0</v>
          </cell>
          <cell r="V1107">
            <v>0</v>
          </cell>
          <cell r="X1107">
            <v>0</v>
          </cell>
          <cell r="Y1107">
            <v>0</v>
          </cell>
          <cell r="Z1107">
            <v>0</v>
          </cell>
        </row>
        <row r="1108">
          <cell r="G1108">
            <v>15612</v>
          </cell>
          <cell r="H1108">
            <v>1232000</v>
          </cell>
          <cell r="L1108" t="str">
            <v>Tax Adjustment - Settlement (Sys)</v>
          </cell>
          <cell r="M1108" t="str">
            <v>TAX ADJUSTMENT - SETTLEMENT (SYS)</v>
          </cell>
          <cell r="N1108" t="e">
            <v>#REF!</v>
          </cell>
          <cell r="O1108" t="str">
            <v>S</v>
          </cell>
          <cell r="Q1108">
            <v>0</v>
          </cell>
          <cell r="R1108">
            <v>0</v>
          </cell>
          <cell r="U1108">
            <v>0</v>
          </cell>
          <cell r="V1108">
            <v>0</v>
          </cell>
          <cell r="X1108">
            <v>0</v>
          </cell>
          <cell r="Y1108">
            <v>0</v>
          </cell>
          <cell r="Z1108">
            <v>0</v>
          </cell>
        </row>
        <row r="1109">
          <cell r="G1109">
            <v>15614</v>
          </cell>
          <cell r="H1109">
            <v>1233000</v>
          </cell>
          <cell r="L1109" t="str">
            <v>Issue A/C - Packing Material Stock (Bs)</v>
          </cell>
          <cell r="M1109" t="str">
            <v>ISSUE A/C - PACKING MATERIAL STOCK (BS)</v>
          </cell>
          <cell r="N1109" t="e">
            <v>#REF!</v>
          </cell>
          <cell r="O1109" t="str">
            <v>S</v>
          </cell>
          <cell r="Q1109">
            <v>-14696132</v>
          </cell>
          <cell r="R1109">
            <v>-16114173</v>
          </cell>
          <cell r="U1109">
            <v>-11681475</v>
          </cell>
          <cell r="V1109">
            <v>-12490111</v>
          </cell>
          <cell r="X1109">
            <v>0</v>
          </cell>
          <cell r="Y1109">
            <v>-3014657</v>
          </cell>
          <cell r="Z1109">
            <v>-3624062</v>
          </cell>
        </row>
        <row r="1110">
          <cell r="G1110">
            <v>15615</v>
          </cell>
          <cell r="H1110">
            <v>1234000</v>
          </cell>
          <cell r="L1110" t="str">
            <v>Packing Slip A/C Off Set (Matl Assign Yet To Des Net 15119)</v>
          </cell>
          <cell r="M1110" t="str">
            <v>PACKING SLIP A/C OFF SET (MATL ASSIGN YET TO DES NET 15119)</v>
          </cell>
          <cell r="N1110" t="e">
            <v>#REF!</v>
          </cell>
          <cell r="O1110" t="str">
            <v>S</v>
          </cell>
          <cell r="Q1110">
            <v>6</v>
          </cell>
          <cell r="R1110">
            <v>179922</v>
          </cell>
          <cell r="U1110">
            <v>0</v>
          </cell>
          <cell r="V1110">
            <v>4785</v>
          </cell>
          <cell r="X1110">
            <v>0</v>
          </cell>
          <cell r="Y1110">
            <v>6</v>
          </cell>
          <cell r="Z1110">
            <v>175137</v>
          </cell>
        </row>
        <row r="1111">
          <cell r="G1111">
            <v>15616</v>
          </cell>
          <cell r="H1111">
            <v>1235000</v>
          </cell>
          <cell r="L1111" t="str">
            <v>Production Issue Offset A/C Sales Order Issue (1)</v>
          </cell>
          <cell r="M1111" t="str">
            <v>PRODUCTION ISSUE OFFSET A/C SALES ORDER ISSUE (1)</v>
          </cell>
          <cell r="N1111" t="e">
            <v>#REF!</v>
          </cell>
          <cell r="O1111" t="str">
            <v>S</v>
          </cell>
          <cell r="Q1111">
            <v>75056881</v>
          </cell>
          <cell r="R1111">
            <v>88711755</v>
          </cell>
          <cell r="U1111">
            <v>64117648</v>
          </cell>
          <cell r="V1111">
            <v>88711990</v>
          </cell>
          <cell r="X1111">
            <v>0</v>
          </cell>
          <cell r="Y1111">
            <v>10939233</v>
          </cell>
          <cell r="Z1111">
            <v>-235</v>
          </cell>
        </row>
        <row r="1112">
          <cell r="G1112">
            <v>15617</v>
          </cell>
          <cell r="H1112">
            <v>1236000</v>
          </cell>
          <cell r="L1112" t="str">
            <v>Production Picking Slip A/C (1)</v>
          </cell>
          <cell r="M1112" t="str">
            <v>PRODUCTION PICKING SLIP A/C (1)</v>
          </cell>
          <cell r="N1112" t="e">
            <v>#REF!</v>
          </cell>
          <cell r="O1112" t="str">
            <v>S</v>
          </cell>
          <cell r="Q1112">
            <v>-16131896</v>
          </cell>
          <cell r="R1112">
            <v>-40854776</v>
          </cell>
          <cell r="U1112">
            <v>5478</v>
          </cell>
          <cell r="V1112">
            <v>0</v>
          </cell>
          <cell r="X1112">
            <v>0</v>
          </cell>
          <cell r="Y1112">
            <v>-16137374</v>
          </cell>
          <cell r="Z1112">
            <v>-40854776</v>
          </cell>
        </row>
        <row r="1113">
          <cell r="G1113">
            <v>15618</v>
          </cell>
          <cell r="H1113">
            <v>1237000</v>
          </cell>
          <cell r="L1113" t="str">
            <v>Production Picking Slip Offset A/C (1)</v>
          </cell>
          <cell r="M1113" t="str">
            <v>PRODUCTION PICKING SLIP OFFSET A/C (1)</v>
          </cell>
          <cell r="N1113" t="e">
            <v>#REF!</v>
          </cell>
          <cell r="O1113" t="str">
            <v>S</v>
          </cell>
          <cell r="Q1113">
            <v>28915475</v>
          </cell>
          <cell r="R1113">
            <v>77295147</v>
          </cell>
          <cell r="U1113">
            <v>313143</v>
          </cell>
          <cell r="V1113">
            <v>-439</v>
          </cell>
          <cell r="X1113">
            <v>0</v>
          </cell>
          <cell r="Y1113">
            <v>28602332</v>
          </cell>
          <cell r="Z1113">
            <v>77295586</v>
          </cell>
        </row>
        <row r="1114">
          <cell r="G1114">
            <v>15631</v>
          </cell>
          <cell r="H1114">
            <v>1238000</v>
          </cell>
          <cell r="L1114" t="str">
            <v>Inventory Issue A/C (Internal) - Rm</v>
          </cell>
          <cell r="M1114" t="str">
            <v>INVENTORY ISSUE A/C (INTERNAL) - RM</v>
          </cell>
          <cell r="N1114" t="e">
            <v>#REF!</v>
          </cell>
          <cell r="O1114" t="str">
            <v>S</v>
          </cell>
          <cell r="Q1114">
            <v>-77599531</v>
          </cell>
          <cell r="R1114">
            <v>-16639758627</v>
          </cell>
          <cell r="U1114">
            <v>-16000867</v>
          </cell>
          <cell r="V1114">
            <v>-21764246</v>
          </cell>
          <cell r="X1114">
            <v>0</v>
          </cell>
          <cell r="Y1114">
            <v>-61598664</v>
          </cell>
          <cell r="Z1114">
            <v>-16617994381</v>
          </cell>
        </row>
        <row r="1115">
          <cell r="G1115">
            <v>15632</v>
          </cell>
          <cell r="H1115">
            <v>1239000</v>
          </cell>
          <cell r="L1115" t="str">
            <v>Issue A/C - Rm</v>
          </cell>
          <cell r="M1115" t="str">
            <v>ISSUE A/C - RM</v>
          </cell>
          <cell r="N1115" t="e">
            <v>#REF!</v>
          </cell>
          <cell r="O1115" t="str">
            <v>S</v>
          </cell>
          <cell r="Q1115">
            <v>-3713352</v>
          </cell>
          <cell r="R1115">
            <v>-3017401</v>
          </cell>
          <cell r="U1115">
            <v>0</v>
          </cell>
          <cell r="V1115">
            <v>0</v>
          </cell>
          <cell r="X1115">
            <v>0</v>
          </cell>
          <cell r="Y1115">
            <v>-3713352</v>
          </cell>
          <cell r="Z1115">
            <v>-3017401</v>
          </cell>
        </row>
        <row r="1116">
          <cell r="G1116">
            <v>15633</v>
          </cell>
          <cell r="H1116">
            <v>1240000</v>
          </cell>
          <cell r="L1116" t="str">
            <v>Inventory Issue A/C (Internal) - Rm (Steel/Hdpe)</v>
          </cell>
          <cell r="M1116" t="str">
            <v>INVENTORY ISSUE A/C (INTERNAL) - RM (STEEL/HDPE)</v>
          </cell>
          <cell r="N1116" t="e">
            <v>#REF!</v>
          </cell>
          <cell r="O1116" t="str">
            <v>S</v>
          </cell>
          <cell r="Q1116">
            <v>-11184761</v>
          </cell>
          <cell r="R1116">
            <v>-35754708</v>
          </cell>
          <cell r="U1116">
            <v>-334149</v>
          </cell>
          <cell r="V1116">
            <v>439</v>
          </cell>
          <cell r="X1116">
            <v>0</v>
          </cell>
          <cell r="Y1116">
            <v>-10850612</v>
          </cell>
          <cell r="Z1116">
            <v>-35755147</v>
          </cell>
        </row>
        <row r="1117">
          <cell r="G1117">
            <v>15634</v>
          </cell>
          <cell r="H1117">
            <v>1241000</v>
          </cell>
          <cell r="L1117" t="str">
            <v>Issue A/C - Rm (Steel / Hdpe) - Bs</v>
          </cell>
          <cell r="M1117" t="str">
            <v>ISSUE A/C - RM (STEEL / HDPE) - BS</v>
          </cell>
          <cell r="N1117" t="e">
            <v>#REF!</v>
          </cell>
          <cell r="O1117" t="str">
            <v>S</v>
          </cell>
          <cell r="Q1117">
            <v>-2560633963</v>
          </cell>
          <cell r="R1117">
            <v>-1385024858</v>
          </cell>
          <cell r="U1117">
            <v>-274055599</v>
          </cell>
          <cell r="V1117">
            <v>-388586811</v>
          </cell>
          <cell r="X1117">
            <v>0</v>
          </cell>
          <cell r="Y1117">
            <v>-2286578364</v>
          </cell>
          <cell r="Z1117">
            <v>-996438047</v>
          </cell>
        </row>
        <row r="1118">
          <cell r="G1118">
            <v>15635</v>
          </cell>
          <cell r="H1118">
            <v>1242000</v>
          </cell>
          <cell r="L1118" t="str">
            <v>Inventory Issue A/C (Internal) - Rm (Gasket Tube/ M B)</v>
          </cell>
          <cell r="M1118" t="str">
            <v>INVENTORY ISSUE A/C (INTERNAL) - RM (GASKET TUBE/ M B)</v>
          </cell>
          <cell r="N1118" t="e">
            <v>#REF!</v>
          </cell>
          <cell r="O1118" t="str">
            <v>S</v>
          </cell>
          <cell r="Q1118">
            <v>-112955</v>
          </cell>
          <cell r="R1118">
            <v>4151</v>
          </cell>
          <cell r="U1118">
            <v>0</v>
          </cell>
          <cell r="V1118">
            <v>0</v>
          </cell>
          <cell r="X1118">
            <v>0</v>
          </cell>
          <cell r="Y1118">
            <v>-112955</v>
          </cell>
          <cell r="Z1118">
            <v>4151</v>
          </cell>
        </row>
        <row r="1119">
          <cell r="G1119">
            <v>15636</v>
          </cell>
          <cell r="H1119">
            <v>1243000</v>
          </cell>
          <cell r="L1119" t="str">
            <v>Issue A/C - Rm (Gasket Tube / Master Batch) - Bs</v>
          </cell>
          <cell r="M1119" t="str">
            <v>ISSUE A/C - RM (GASKET TUBE / MASTER BATCH) - BS</v>
          </cell>
          <cell r="N1119" t="e">
            <v>#REF!</v>
          </cell>
          <cell r="O1119" t="str">
            <v>S</v>
          </cell>
          <cell r="Q1119">
            <v>-8031843</v>
          </cell>
          <cell r="R1119">
            <v>-9118230</v>
          </cell>
          <cell r="U1119">
            <v>0</v>
          </cell>
          <cell r="V1119">
            <v>0</v>
          </cell>
          <cell r="X1119">
            <v>0</v>
          </cell>
          <cell r="Y1119">
            <v>-8031843</v>
          </cell>
          <cell r="Z1119">
            <v>-9118230</v>
          </cell>
        </row>
        <row r="1120">
          <cell r="G1120">
            <v>15637</v>
          </cell>
          <cell r="H1120">
            <v>1244000</v>
          </cell>
          <cell r="L1120" t="str">
            <v>Inventory Issue A/C (Internal) - Rm (Tinplate / Co-Pp)</v>
          </cell>
          <cell r="M1120" t="str">
            <v>INVENTORY ISSUE A/C (INTERNAL) - RM (TINPLATE / CO-PP)</v>
          </cell>
          <cell r="N1120" t="e">
            <v>#REF!</v>
          </cell>
          <cell r="O1120" t="str">
            <v>S</v>
          </cell>
          <cell r="Q1120">
            <v>864465</v>
          </cell>
          <cell r="R1120">
            <v>-778914</v>
          </cell>
          <cell r="U1120">
            <v>0</v>
          </cell>
          <cell r="V1120">
            <v>0</v>
          </cell>
          <cell r="X1120">
            <v>0</v>
          </cell>
          <cell r="Y1120">
            <v>864465</v>
          </cell>
          <cell r="Z1120">
            <v>-778914</v>
          </cell>
        </row>
        <row r="1121">
          <cell r="G1121">
            <v>15638</v>
          </cell>
          <cell r="H1121">
            <v>1245000</v>
          </cell>
          <cell r="L1121" t="str">
            <v>Issue A/C - Rm (Tin Plate / Co-Pp) - Bs</v>
          </cell>
          <cell r="M1121" t="str">
            <v>ISSUE A/C - RM (TIN PLATE / CO-PP) - BS</v>
          </cell>
          <cell r="N1121" t="e">
            <v>#REF!</v>
          </cell>
          <cell r="O1121" t="str">
            <v>S</v>
          </cell>
          <cell r="Q1121">
            <v>-51426498</v>
          </cell>
          <cell r="R1121">
            <v>-62090415</v>
          </cell>
          <cell r="U1121">
            <v>-17794097</v>
          </cell>
          <cell r="V1121">
            <v>-18617227</v>
          </cell>
          <cell r="X1121">
            <v>0</v>
          </cell>
          <cell r="Y1121">
            <v>-33632401</v>
          </cell>
          <cell r="Z1121">
            <v>-43473188</v>
          </cell>
        </row>
        <row r="1122">
          <cell r="G1122">
            <v>15639</v>
          </cell>
          <cell r="H1122">
            <v>1246000</v>
          </cell>
          <cell r="L1122" t="str">
            <v>Inventory Issue A/C (Internal) - Rm (Inks)</v>
          </cell>
          <cell r="M1122" t="str">
            <v>INVENTORY ISSUE A/C (INTERNAL) - RM (INKS)</v>
          </cell>
          <cell r="N1122" t="e">
            <v>#REF!</v>
          </cell>
          <cell r="O1122" t="str">
            <v>S</v>
          </cell>
          <cell r="Q1122">
            <v>-111095</v>
          </cell>
          <cell r="R1122">
            <v>5931</v>
          </cell>
          <cell r="U1122">
            <v>0</v>
          </cell>
          <cell r="V1122">
            <v>0</v>
          </cell>
          <cell r="X1122">
            <v>0</v>
          </cell>
          <cell r="Y1122">
            <v>-111095</v>
          </cell>
          <cell r="Z1122">
            <v>5931</v>
          </cell>
        </row>
        <row r="1123">
          <cell r="G1123">
            <v>15640</v>
          </cell>
          <cell r="H1123">
            <v>1247000</v>
          </cell>
          <cell r="L1123" t="str">
            <v>Isse A/C - Rm (Inks) - Bs</v>
          </cell>
          <cell r="M1123" t="str">
            <v>ISSE A/C - RM (INKS) - BS</v>
          </cell>
          <cell r="N1123" t="e">
            <v>#REF!</v>
          </cell>
          <cell r="O1123" t="str">
            <v>S</v>
          </cell>
          <cell r="Q1123">
            <v>-5618249</v>
          </cell>
          <cell r="R1123">
            <v>-4773776</v>
          </cell>
          <cell r="U1123">
            <v>-1306723</v>
          </cell>
          <cell r="V1123">
            <v>-1162144</v>
          </cell>
          <cell r="X1123">
            <v>0</v>
          </cell>
          <cell r="Y1123">
            <v>-4311526</v>
          </cell>
          <cell r="Z1123">
            <v>-3611632</v>
          </cell>
        </row>
        <row r="1124">
          <cell r="G1124">
            <v>15641</v>
          </cell>
          <cell r="H1124">
            <v>1248000</v>
          </cell>
          <cell r="L1124" t="str">
            <v>Inventory Issue A/C (Internal) - Rm (Chemicals/Accessories)</v>
          </cell>
          <cell r="M1124" t="str">
            <v>INVENTORY ISSUE A/C (INTERNAL) - RM (CHEMICALS/ACCESSORIES)</v>
          </cell>
          <cell r="N1124" t="e">
            <v>#REF!</v>
          </cell>
          <cell r="O1124" t="str">
            <v>S</v>
          </cell>
          <cell r="Q1124">
            <v>-839445</v>
          </cell>
          <cell r="R1124">
            <v>76893</v>
          </cell>
          <cell r="U1124">
            <v>-5254</v>
          </cell>
          <cell r="V1124">
            <v>0</v>
          </cell>
          <cell r="X1124">
            <v>0</v>
          </cell>
          <cell r="Y1124">
            <v>-834191</v>
          </cell>
          <cell r="Z1124">
            <v>76893</v>
          </cell>
        </row>
        <row r="1125">
          <cell r="G1125">
            <v>15642</v>
          </cell>
          <cell r="H1125">
            <v>1249000</v>
          </cell>
          <cell r="L1125" t="str">
            <v>Issue A/C - Rm (Chemicals / Accessories) - Bs</v>
          </cell>
          <cell r="M1125" t="str">
            <v>ISSUE A/C - RM (CHEMICALS / ACCESSORIES) - BS</v>
          </cell>
          <cell r="N1125" t="e">
            <v>#REF!</v>
          </cell>
          <cell r="O1125" t="str">
            <v>S</v>
          </cell>
          <cell r="Q1125">
            <v>-49799490</v>
          </cell>
          <cell r="R1125">
            <v>-70490699</v>
          </cell>
          <cell r="U1125">
            <v>-20672535</v>
          </cell>
          <cell r="V1125">
            <v>-16317302</v>
          </cell>
          <cell r="X1125">
            <v>0</v>
          </cell>
          <cell r="Y1125">
            <v>-29126955</v>
          </cell>
          <cell r="Z1125">
            <v>-54173397</v>
          </cell>
        </row>
        <row r="1126">
          <cell r="G1126">
            <v>15643</v>
          </cell>
          <cell r="H1126">
            <v>1250000</v>
          </cell>
          <cell r="L1126" t="str">
            <v>Inventory Issue A/C (Internal) - Rm (Others)</v>
          </cell>
          <cell r="M1126" t="str">
            <v>INVENTORY ISSUE A/C (INTERNAL) - RM (OTHERS)</v>
          </cell>
          <cell r="N1126" t="e">
            <v>#REF!</v>
          </cell>
          <cell r="O1126" t="str">
            <v>S</v>
          </cell>
          <cell r="Q1126">
            <v>0</v>
          </cell>
          <cell r="R1126">
            <v>0</v>
          </cell>
          <cell r="U1126">
            <v>0</v>
          </cell>
          <cell r="V1126">
            <v>0</v>
          </cell>
          <cell r="X1126">
            <v>0</v>
          </cell>
          <cell r="Y1126">
            <v>0</v>
          </cell>
          <cell r="Z1126">
            <v>0</v>
          </cell>
        </row>
        <row r="1127">
          <cell r="G1127">
            <v>15644</v>
          </cell>
          <cell r="H1127">
            <v>1251000</v>
          </cell>
          <cell r="L1127" t="str">
            <v>Issue A/C - Rm (Others) - Bs</v>
          </cell>
          <cell r="M1127" t="str">
            <v>ISSUE A/C - RM (OTHERS) - BS</v>
          </cell>
          <cell r="N1127" t="e">
            <v>#REF!</v>
          </cell>
          <cell r="O1127" t="str">
            <v>S</v>
          </cell>
          <cell r="Q1127">
            <v>-12189792</v>
          </cell>
          <cell r="R1127">
            <v>-24526144</v>
          </cell>
          <cell r="U1127">
            <v>-12189792</v>
          </cell>
          <cell r="V1127">
            <v>-20937764</v>
          </cell>
          <cell r="X1127">
            <v>0</v>
          </cell>
          <cell r="Y1127">
            <v>0</v>
          </cell>
          <cell r="Z1127">
            <v>-3588380</v>
          </cell>
        </row>
        <row r="1128">
          <cell r="G1128">
            <v>15645</v>
          </cell>
          <cell r="H1128">
            <v>1252000</v>
          </cell>
          <cell r="L1128" t="str">
            <v>Inventory Issue A/C (Internal) - Rm (Purchase+Process)</v>
          </cell>
          <cell r="M1128" t="str">
            <v>INVENTORY ISSUE A/C (INTERNAL) - RM (PURCHASE+PROCESS)</v>
          </cell>
          <cell r="N1128" t="e">
            <v>#REF!</v>
          </cell>
          <cell r="O1128" t="str">
            <v>S</v>
          </cell>
          <cell r="Q1128">
            <v>17007</v>
          </cell>
          <cell r="R1128">
            <v>6298</v>
          </cell>
          <cell r="U1128">
            <v>17007</v>
          </cell>
          <cell r="V1128">
            <v>6298</v>
          </cell>
          <cell r="X1128">
            <v>0</v>
          </cell>
          <cell r="Y1128">
            <v>0</v>
          </cell>
          <cell r="Z1128">
            <v>0</v>
          </cell>
        </row>
        <row r="1129">
          <cell r="G1129">
            <v>15646</v>
          </cell>
          <cell r="H1129">
            <v>1253000</v>
          </cell>
          <cell r="L1129" t="str">
            <v>Issue A/C - Rm (Puchase-Process) - Bs</v>
          </cell>
          <cell r="M1129" t="str">
            <v>ISSUE A/C - RM (PUCHASE+PROCESS) - BS</v>
          </cell>
          <cell r="N1129" t="e">
            <v>#REF!</v>
          </cell>
          <cell r="O1129" t="str">
            <v>S</v>
          </cell>
          <cell r="Q1129">
            <v>-51937030</v>
          </cell>
          <cell r="R1129">
            <v>-58140606</v>
          </cell>
          <cell r="U1129">
            <v>-51937030</v>
          </cell>
          <cell r="V1129">
            <v>-58140606</v>
          </cell>
          <cell r="X1129">
            <v>0</v>
          </cell>
          <cell r="Y1129">
            <v>0</v>
          </cell>
          <cell r="Z1129">
            <v>0</v>
          </cell>
        </row>
        <row r="1130">
          <cell r="G1130">
            <v>15648</v>
          </cell>
          <cell r="H1130">
            <v>984000</v>
          </cell>
          <cell r="L1130" t="str">
            <v>Scrap Consumed</v>
          </cell>
          <cell r="M1130" t="str">
            <v>SCRAP CONSUMED</v>
          </cell>
          <cell r="N1130" t="e">
            <v>#REF!</v>
          </cell>
          <cell r="O1130" t="str">
            <v>S</v>
          </cell>
          <cell r="P1130">
            <v>0</v>
          </cell>
          <cell r="Q1130">
            <v>67974032</v>
          </cell>
          <cell r="R1130">
            <v>85591296</v>
          </cell>
          <cell r="T1130">
            <v>0</v>
          </cell>
          <cell r="U1130">
            <v>67974032</v>
          </cell>
          <cell r="V1130">
            <v>85591296</v>
          </cell>
          <cell r="X1130">
            <v>0</v>
          </cell>
          <cell r="Y1130">
            <v>0</v>
          </cell>
          <cell r="Z1130">
            <v>0</v>
          </cell>
          <cell r="AB1130">
            <v>0</v>
          </cell>
          <cell r="AC1130">
            <v>0</v>
          </cell>
          <cell r="AD1130">
            <v>0</v>
          </cell>
          <cell r="AF1130">
            <v>0</v>
          </cell>
          <cell r="AG1130">
            <v>0</v>
          </cell>
          <cell r="AH1130">
            <v>0</v>
          </cell>
        </row>
        <row r="1131">
          <cell r="G1131" t="str">
            <v>15135-2</v>
          </cell>
          <cell r="H1131">
            <v>985000</v>
          </cell>
          <cell r="L1131" t="str">
            <v>Work In Process Scrap (Bs)</v>
          </cell>
          <cell r="M1131" t="str">
            <v>WORK IN PROCESS SCRAP (BS)</v>
          </cell>
          <cell r="N1131" t="e">
            <v>#REF!</v>
          </cell>
          <cell r="O1131" t="str">
            <v>S</v>
          </cell>
          <cell r="P1131">
            <v>0</v>
          </cell>
          <cell r="Q1131">
            <v>-62435111</v>
          </cell>
          <cell r="R1131">
            <v>-85591295</v>
          </cell>
          <cell r="T1131">
            <v>0</v>
          </cell>
          <cell r="U1131">
            <v>-62435111</v>
          </cell>
          <cell r="V1131">
            <v>-85591295</v>
          </cell>
          <cell r="X1131">
            <v>0</v>
          </cell>
          <cell r="Y1131">
            <v>0</v>
          </cell>
          <cell r="Z1131">
            <v>0</v>
          </cell>
          <cell r="AB1131">
            <v>0</v>
          </cell>
          <cell r="AC1131">
            <v>0</v>
          </cell>
          <cell r="AD1131">
            <v>0</v>
          </cell>
          <cell r="AF1131">
            <v>0</v>
          </cell>
          <cell r="AG1131">
            <v>0</v>
          </cell>
          <cell r="AH1131">
            <v>0</v>
          </cell>
        </row>
        <row r="1132">
          <cell r="G1132">
            <v>15623</v>
          </cell>
          <cell r="H1132">
            <v>986000</v>
          </cell>
          <cell r="L1132" t="str">
            <v>Wip Issue A/C - Work Center</v>
          </cell>
          <cell r="M1132" t="str">
            <v>WIP Issue a/c - Work Center</v>
          </cell>
          <cell r="N1132" t="e">
            <v>#REF!</v>
          </cell>
          <cell r="O1132" t="str">
            <v>S</v>
          </cell>
          <cell r="P1132">
            <v>0</v>
          </cell>
          <cell r="Q1132">
            <v>0</v>
          </cell>
          <cell r="R1132">
            <v>0</v>
          </cell>
          <cell r="T1132">
            <v>0</v>
          </cell>
          <cell r="U1132">
            <v>0</v>
          </cell>
          <cell r="V1132">
            <v>0</v>
          </cell>
          <cell r="X1132">
            <v>0</v>
          </cell>
          <cell r="Y1132">
            <v>0</v>
          </cell>
          <cell r="Z1132">
            <v>0</v>
          </cell>
          <cell r="AB1132">
            <v>0</v>
          </cell>
          <cell r="AC1132">
            <v>0</v>
          </cell>
          <cell r="AD1132">
            <v>0</v>
          </cell>
          <cell r="AF1132">
            <v>0</v>
          </cell>
          <cell r="AG1132">
            <v>0</v>
          </cell>
          <cell r="AH1132">
            <v>0</v>
          </cell>
        </row>
        <row r="1133">
          <cell r="G1133">
            <v>15624</v>
          </cell>
          <cell r="H1133">
            <v>987000</v>
          </cell>
          <cell r="L1133" t="str">
            <v>Wip A/C - Work Center (Costing Offset)</v>
          </cell>
          <cell r="M1133" t="str">
            <v>WIP a/c - Work Center (costing offset)</v>
          </cell>
          <cell r="N1133" t="e">
            <v>#REF!</v>
          </cell>
          <cell r="O1133" t="str">
            <v>S</v>
          </cell>
          <cell r="P1133">
            <v>0</v>
          </cell>
          <cell r="Q1133">
            <v>0</v>
          </cell>
          <cell r="R1133">
            <v>0</v>
          </cell>
          <cell r="T1133">
            <v>0</v>
          </cell>
          <cell r="U1133">
            <v>0</v>
          </cell>
          <cell r="V1133">
            <v>0</v>
          </cell>
          <cell r="X1133">
            <v>0</v>
          </cell>
          <cell r="Y1133">
            <v>0</v>
          </cell>
          <cell r="Z1133">
            <v>0</v>
          </cell>
          <cell r="AB1133">
            <v>0</v>
          </cell>
          <cell r="AC1133">
            <v>0</v>
          </cell>
          <cell r="AD1133">
            <v>0</v>
          </cell>
          <cell r="AF1133">
            <v>0</v>
          </cell>
          <cell r="AG1133">
            <v>0</v>
          </cell>
          <cell r="AH1133">
            <v>0</v>
          </cell>
        </row>
        <row r="1134">
          <cell r="G1134">
            <v>15619</v>
          </cell>
          <cell r="H1134">
            <v>988000</v>
          </cell>
          <cell r="L1134">
            <v>0</v>
          </cell>
          <cell r="M1134" t="str">
            <v>PRODCUTION REPORTS AS FINISHED A/C (NET OFF 15620)</v>
          </cell>
          <cell r="N1134" t="e">
            <v>#REF!</v>
          </cell>
          <cell r="O1134" t="str">
            <v>S</v>
          </cell>
          <cell r="P1134">
            <v>0</v>
          </cell>
          <cell r="Q1134">
            <v>74093950</v>
          </cell>
          <cell r="R1134">
            <v>2635437</v>
          </cell>
          <cell r="T1134">
            <v>0</v>
          </cell>
          <cell r="U1134">
            <v>-942424</v>
          </cell>
          <cell r="V1134">
            <v>0</v>
          </cell>
          <cell r="X1134">
            <v>0</v>
          </cell>
          <cell r="Y1134">
            <v>75036374</v>
          </cell>
          <cell r="Z1134">
            <v>2635437</v>
          </cell>
          <cell r="AB1134">
            <v>0</v>
          </cell>
          <cell r="AC1134">
            <v>0</v>
          </cell>
          <cell r="AD1134">
            <v>0</v>
          </cell>
          <cell r="AF1134">
            <v>0</v>
          </cell>
          <cell r="AG1134">
            <v>0</v>
          </cell>
          <cell r="AH1134">
            <v>0</v>
          </cell>
        </row>
        <row r="1135">
          <cell r="G1135">
            <v>15620</v>
          </cell>
          <cell r="H1135">
            <v>989000</v>
          </cell>
          <cell r="L1135">
            <v>0</v>
          </cell>
          <cell r="M1135" t="str">
            <v>PRODCUTION REPORTS AS FINISHED OFFSET A/C (NET OFF 15619</v>
          </cell>
          <cell r="N1135" t="e">
            <v>#REF!</v>
          </cell>
          <cell r="O1135" t="str">
            <v>S</v>
          </cell>
          <cell r="P1135">
            <v>0</v>
          </cell>
          <cell r="Q1135">
            <v>-74093950</v>
          </cell>
          <cell r="R1135">
            <v>-2635437</v>
          </cell>
          <cell r="T1135">
            <v>0</v>
          </cell>
          <cell r="U1135">
            <v>942424</v>
          </cell>
          <cell r="V1135">
            <v>0</v>
          </cell>
          <cell r="X1135">
            <v>0</v>
          </cell>
          <cell r="Y1135">
            <v>-75036374</v>
          </cell>
          <cell r="Z1135">
            <v>-2635437</v>
          </cell>
          <cell r="AB1135">
            <v>0</v>
          </cell>
          <cell r="AC1135">
            <v>0</v>
          </cell>
          <cell r="AD1135">
            <v>0</v>
          </cell>
          <cell r="AF1135">
            <v>0</v>
          </cell>
          <cell r="AG1135">
            <v>0</v>
          </cell>
          <cell r="AH1135">
            <v>0</v>
          </cell>
        </row>
        <row r="1136">
          <cell r="G1136">
            <v>16001</v>
          </cell>
          <cell r="L1136" t="str">
            <v>STOCK TRF A/C FOR CHENNAI TO COCHIN (CHE NOT IN ERP)</v>
          </cell>
          <cell r="O1136" t="str">
            <v>S</v>
          </cell>
          <cell r="Q1136">
            <v>-200</v>
          </cell>
          <cell r="R1136">
            <v>0</v>
          </cell>
          <cell r="U1136">
            <v>0</v>
          </cell>
          <cell r="V1136">
            <v>0</v>
          </cell>
          <cell r="X1136">
            <v>0</v>
          </cell>
          <cell r="Y1136">
            <v>-200</v>
          </cell>
          <cell r="Z1136">
            <v>0</v>
          </cell>
        </row>
        <row r="1137">
          <cell r="G1137">
            <v>999999</v>
          </cell>
          <cell r="L1137" t="str">
            <v>Dummy A</v>
          </cell>
          <cell r="M1137" t="str">
            <v>Dummy Account</v>
          </cell>
          <cell r="N1137" t="e">
            <v>#REF!</v>
          </cell>
          <cell r="O1137" t="str">
            <v>S</v>
          </cell>
          <cell r="Q1137">
            <v>0</v>
          </cell>
          <cell r="R1137">
            <v>0</v>
          </cell>
          <cell r="U1137">
            <v>0</v>
          </cell>
          <cell r="V1137">
            <v>0</v>
          </cell>
          <cell r="X1137">
            <v>0</v>
          </cell>
          <cell r="Y1137">
            <v>0</v>
          </cell>
          <cell r="Z1137">
            <v>0</v>
          </cell>
        </row>
        <row r="1138">
          <cell r="G1138">
            <v>15647</v>
          </cell>
          <cell r="H1138">
            <v>1254000</v>
          </cell>
          <cell r="L1138" t="str">
            <v>Inventory Issue A/C (Internal) - Fg/Wip/Scrap</v>
          </cell>
          <cell r="M1138" t="str">
            <v>INVENTORY ISSUE A/C (INTERNAL) - FG/WIP/SCRAP</v>
          </cell>
          <cell r="N1138" t="e">
            <v>#REF!</v>
          </cell>
          <cell r="O1138" t="str">
            <v>S</v>
          </cell>
          <cell r="Q1138">
            <v>-3364437</v>
          </cell>
          <cell r="R1138">
            <v>-6949274</v>
          </cell>
          <cell r="U1138">
            <v>-2510617</v>
          </cell>
          <cell r="V1138">
            <v>-2477898</v>
          </cell>
          <cell r="X1138">
            <v>0</v>
          </cell>
          <cell r="Y1138">
            <v>-853820</v>
          </cell>
          <cell r="Z1138">
            <v>-4471376</v>
          </cell>
        </row>
        <row r="1139">
          <cell r="H1139">
            <v>1255000</v>
          </cell>
          <cell r="L1139" t="str">
            <v>Provision taken in Purchase A/c</v>
          </cell>
          <cell r="M1139" t="e">
            <v>#N/A</v>
          </cell>
          <cell r="N1139" t="e">
            <v>#REF!</v>
          </cell>
          <cell r="O1139" t="str">
            <v>S</v>
          </cell>
          <cell r="Q1139">
            <v>-677682</v>
          </cell>
          <cell r="R1139">
            <v>-2057672</v>
          </cell>
          <cell r="U1139">
            <v>-1655284</v>
          </cell>
          <cell r="V1139">
            <v>-1761448</v>
          </cell>
          <cell r="Y1139">
            <v>977602</v>
          </cell>
          <cell r="Z1139">
            <v>-296224</v>
          </cell>
        </row>
        <row r="1140">
          <cell r="H1140">
            <v>1256000</v>
          </cell>
          <cell r="J1140" t="str">
            <v>System (Erp) Accounts</v>
          </cell>
          <cell r="M1140" t="e">
            <v>#N/A</v>
          </cell>
          <cell r="N1140" t="e">
            <v>#REF!</v>
          </cell>
          <cell r="O1140" t="str">
            <v>A</v>
          </cell>
          <cell r="P1140">
            <v>0</v>
          </cell>
          <cell r="Q1140">
            <v>0</v>
          </cell>
          <cell r="R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row>
        <row r="1141">
          <cell r="H1141">
            <v>1257000</v>
          </cell>
          <cell r="J1141" t="str">
            <v>Total of Assets</v>
          </cell>
          <cell r="M1141" t="e">
            <v>#N/A</v>
          </cell>
          <cell r="N1141" t="e">
            <v>#REF!</v>
          </cell>
          <cell r="O1141" t="str">
            <v>A</v>
          </cell>
          <cell r="P1141">
            <v>0</v>
          </cell>
          <cell r="Q1141">
            <v>2171319508</v>
          </cell>
          <cell r="R1141">
            <v>2004997681</v>
          </cell>
          <cell r="T1141">
            <v>2162</v>
          </cell>
          <cell r="U1141">
            <v>842653349</v>
          </cell>
          <cell r="V1141">
            <v>922574883</v>
          </cell>
          <cell r="W1141">
            <v>0</v>
          </cell>
          <cell r="X1141">
            <v>2162</v>
          </cell>
          <cell r="Y1141">
            <v>858056850</v>
          </cell>
          <cell r="Z1141">
            <v>656837633</v>
          </cell>
          <cell r="AA1141">
            <v>0</v>
          </cell>
          <cell r="AB1141">
            <v>2162</v>
          </cell>
          <cell r="AC1141">
            <v>207214107</v>
          </cell>
          <cell r="AD1141">
            <v>211695320</v>
          </cell>
          <cell r="AE1141">
            <v>0</v>
          </cell>
          <cell r="AF1141">
            <v>2162</v>
          </cell>
          <cell r="AG1141">
            <v>267947275</v>
          </cell>
          <cell r="AH1141">
            <v>213889845</v>
          </cell>
        </row>
        <row r="1142">
          <cell r="M1142" t="e">
            <v>#N/A</v>
          </cell>
          <cell r="N1142" t="e">
            <v>#REF!</v>
          </cell>
          <cell r="O1142" t="str">
            <v>A</v>
          </cell>
          <cell r="P1142">
            <v>0</v>
          </cell>
          <cell r="Q1142">
            <v>-4552078</v>
          </cell>
          <cell r="R1142">
            <v>3</v>
          </cell>
          <cell r="T1142" t="e">
            <v>#REF!</v>
          </cell>
          <cell r="U1142">
            <v>3081714686</v>
          </cell>
          <cell r="V1142">
            <v>2991620886</v>
          </cell>
          <cell r="W1142">
            <v>0</v>
          </cell>
          <cell r="X1142" t="e">
            <v>#REF!</v>
          </cell>
          <cell r="Y1142">
            <v>-3081714690</v>
          </cell>
          <cell r="Z1142">
            <v>-2991620883</v>
          </cell>
          <cell r="AA1142">
            <v>0</v>
          </cell>
          <cell r="AB1142" t="e">
            <v>#REF!</v>
          </cell>
          <cell r="AC1142">
            <v>0</v>
          </cell>
          <cell r="AD1142">
            <v>0</v>
          </cell>
          <cell r="AE1142">
            <v>0</v>
          </cell>
          <cell r="AF1142" t="e">
            <v>#REF!</v>
          </cell>
          <cell r="AG1142">
            <v>-1</v>
          </cell>
          <cell r="AH1142">
            <v>0</v>
          </cell>
        </row>
        <row r="1143">
          <cell r="Q1143">
            <v>-2171319508</v>
          </cell>
          <cell r="R1143">
            <v>0</v>
          </cell>
          <cell r="U1143">
            <v>0</v>
          </cell>
          <cell r="V1143">
            <v>2991620888.4199829</v>
          </cell>
          <cell r="Y1143">
            <v>0</v>
          </cell>
          <cell r="Z1143">
            <v>-2991620885.3099303</v>
          </cell>
        </row>
        <row r="1144">
          <cell r="U1144">
            <v>-3081714686</v>
          </cell>
          <cell r="V1144">
            <v>2.41998291015625</v>
          </cell>
          <cell r="Y1144">
            <v>3081714690</v>
          </cell>
          <cell r="Z1144">
            <v>-2.3099303245544434</v>
          </cell>
        </row>
        <row r="1145">
          <cell r="U1145">
            <v>-1540857343</v>
          </cell>
          <cell r="V1145">
            <v>1.209991455078125</v>
          </cell>
          <cell r="Y1145">
            <v>1540857345</v>
          </cell>
          <cell r="Z1145">
            <v>-1.1549651622772217</v>
          </cell>
        </row>
        <row r="1149">
          <cell r="J1149" t="str">
            <v>ADJUSTEMENT ENTRIES</v>
          </cell>
        </row>
        <row r="1150">
          <cell r="R1150">
            <v>0</v>
          </cell>
          <cell r="X1150">
            <v>0</v>
          </cell>
        </row>
        <row r="1151">
          <cell r="L1151" t="str">
            <v>Income Tax</v>
          </cell>
        </row>
        <row r="1152">
          <cell r="L1152" t="str">
            <v>Wealth Tax</v>
          </cell>
        </row>
        <row r="1153">
          <cell r="L1153" t="str">
            <v>Deffered Tax  (P&amp;L)</v>
          </cell>
        </row>
        <row r="1154">
          <cell r="L1154" t="e">
            <v>#REF!</v>
          </cell>
          <cell r="V1154">
            <v>0</v>
          </cell>
        </row>
        <row r="1155">
          <cell r="R1155">
            <v>0</v>
          </cell>
          <cell r="X1155">
            <v>0</v>
          </cell>
        </row>
        <row r="1156">
          <cell r="L1156" t="str">
            <v>Proposed Dividend</v>
          </cell>
          <cell r="R1156">
            <v>0</v>
          </cell>
          <cell r="X1156">
            <v>0</v>
          </cell>
        </row>
        <row r="1157">
          <cell r="L1157" t="str">
            <v>Distribution Tax</v>
          </cell>
          <cell r="R1157">
            <v>0</v>
          </cell>
          <cell r="X1157">
            <v>0</v>
          </cell>
        </row>
        <row r="1158">
          <cell r="L1158" t="str">
            <v>To Gr</v>
          </cell>
          <cell r="R1158">
            <v>0</v>
          </cell>
          <cell r="X1158">
            <v>0</v>
          </cell>
        </row>
        <row r="1159">
          <cell r="R1159">
            <v>0</v>
          </cell>
          <cell r="X1159">
            <v>0</v>
          </cell>
        </row>
        <row r="1160">
          <cell r="R1160">
            <v>0</v>
          </cell>
          <cell r="X1160">
            <v>0</v>
          </cell>
        </row>
        <row r="1161">
          <cell r="R1161">
            <v>0</v>
          </cell>
          <cell r="X1161">
            <v>0</v>
          </cell>
        </row>
        <row r="1162">
          <cell r="R1162">
            <v>0</v>
          </cell>
          <cell r="X1162">
            <v>0</v>
          </cell>
        </row>
        <row r="1163">
          <cell r="R1163">
            <v>0</v>
          </cell>
          <cell r="X1163">
            <v>0</v>
          </cell>
        </row>
        <row r="1164">
          <cell r="R1164">
            <v>0</v>
          </cell>
          <cell r="X1164">
            <v>0</v>
          </cell>
        </row>
        <row r="1165">
          <cell r="R1165">
            <v>0</v>
          </cell>
          <cell r="X1165">
            <v>0</v>
          </cell>
        </row>
        <row r="1166">
          <cell r="R1166">
            <v>0</v>
          </cell>
          <cell r="X1166">
            <v>0</v>
          </cell>
        </row>
        <row r="1167">
          <cell r="R1167">
            <v>0</v>
          </cell>
          <cell r="X1167">
            <v>0</v>
          </cell>
        </row>
        <row r="1168">
          <cell r="R1168">
            <v>0</v>
          </cell>
          <cell r="X1168">
            <v>0</v>
          </cell>
        </row>
        <row r="1169">
          <cell r="R1169">
            <v>0</v>
          </cell>
          <cell r="X1169">
            <v>0</v>
          </cell>
        </row>
        <row r="1170">
          <cell r="R1170">
            <v>0</v>
          </cell>
          <cell r="X1170">
            <v>0</v>
          </cell>
        </row>
        <row r="1171">
          <cell r="R1171">
            <v>0</v>
          </cell>
          <cell r="X1171">
            <v>0</v>
          </cell>
        </row>
        <row r="1172">
          <cell r="R1172">
            <v>0</v>
          </cell>
          <cell r="X1172">
            <v>0</v>
          </cell>
        </row>
        <row r="1173">
          <cell r="R1173">
            <v>0</v>
          </cell>
          <cell r="X1173">
            <v>0</v>
          </cell>
        </row>
        <row r="1174">
          <cell r="R1174">
            <v>0</v>
          </cell>
          <cell r="X1174">
            <v>0</v>
          </cell>
        </row>
        <row r="1175">
          <cell r="R1175">
            <v>0</v>
          </cell>
          <cell r="X1175">
            <v>0</v>
          </cell>
        </row>
        <row r="1176">
          <cell r="R1176">
            <v>0</v>
          </cell>
          <cell r="X1176">
            <v>0</v>
          </cell>
        </row>
        <row r="1177">
          <cell r="R1177">
            <v>0</v>
          </cell>
          <cell r="X1177">
            <v>0</v>
          </cell>
        </row>
        <row r="1178">
          <cell r="R1178">
            <v>0</v>
          </cell>
          <cell r="X1178">
            <v>0</v>
          </cell>
        </row>
        <row r="1179">
          <cell r="R1179">
            <v>0</v>
          </cell>
          <cell r="X1179">
            <v>0</v>
          </cell>
        </row>
        <row r="1180">
          <cell r="R1180">
            <v>0</v>
          </cell>
          <cell r="X1180">
            <v>0</v>
          </cell>
        </row>
        <row r="1181">
          <cell r="R1181">
            <v>0</v>
          </cell>
          <cell r="X1181">
            <v>0</v>
          </cell>
        </row>
        <row r="1182">
          <cell r="R1182">
            <v>0</v>
          </cell>
          <cell r="X1182">
            <v>0</v>
          </cell>
        </row>
        <row r="1183">
          <cell r="R1183">
            <v>0</v>
          </cell>
          <cell r="X1183">
            <v>0</v>
          </cell>
        </row>
        <row r="1184">
          <cell r="R1184">
            <v>0</v>
          </cell>
          <cell r="X1184">
            <v>0</v>
          </cell>
        </row>
        <row r="1185">
          <cell r="R1185">
            <v>0</v>
          </cell>
          <cell r="X1185">
            <v>0</v>
          </cell>
        </row>
        <row r="1186">
          <cell r="R1186">
            <v>0</v>
          </cell>
          <cell r="X1186">
            <v>0</v>
          </cell>
        </row>
        <row r="1187">
          <cell r="R1187">
            <v>0</v>
          </cell>
          <cell r="X1187">
            <v>0</v>
          </cell>
        </row>
        <row r="1188">
          <cell r="R1188">
            <v>0</v>
          </cell>
          <cell r="X1188">
            <v>0</v>
          </cell>
        </row>
        <row r="1189">
          <cell r="R1189">
            <v>0</v>
          </cell>
          <cell r="X1189">
            <v>0</v>
          </cell>
        </row>
        <row r="1190">
          <cell r="R1190">
            <v>0</v>
          </cell>
          <cell r="X1190">
            <v>0</v>
          </cell>
        </row>
        <row r="1191">
          <cell r="R1191">
            <v>0</v>
          </cell>
          <cell r="X1191">
            <v>0</v>
          </cell>
        </row>
        <row r="1192">
          <cell r="R1192">
            <v>0</v>
          </cell>
          <cell r="X1192">
            <v>0</v>
          </cell>
        </row>
        <row r="1193">
          <cell r="R1193">
            <v>0</v>
          </cell>
          <cell r="X1193">
            <v>0</v>
          </cell>
        </row>
        <row r="1194">
          <cell r="R1194">
            <v>0</v>
          </cell>
          <cell r="X1194">
            <v>0</v>
          </cell>
        </row>
        <row r="1195">
          <cell r="R1195">
            <v>0</v>
          </cell>
          <cell r="X1195">
            <v>0</v>
          </cell>
        </row>
        <row r="1196">
          <cell r="R1196">
            <v>0</v>
          </cell>
          <cell r="X1196">
            <v>0</v>
          </cell>
        </row>
        <row r="1197">
          <cell r="R1197">
            <v>0</v>
          </cell>
        </row>
        <row r="1198">
          <cell r="J1198" t="str">
            <v>ADJUSTEMENT ENTRIES</v>
          </cell>
          <cell r="P1198">
            <v>0</v>
          </cell>
          <cell r="R1198">
            <v>0</v>
          </cell>
          <cell r="T1198">
            <v>0</v>
          </cell>
          <cell r="X1198">
            <v>0</v>
          </cell>
          <cell r="Y1198">
            <v>0</v>
          </cell>
          <cell r="Z1198">
            <v>0</v>
          </cell>
          <cell r="AB1198">
            <v>0</v>
          </cell>
          <cell r="AC1198">
            <v>0</v>
          </cell>
          <cell r="AD1198">
            <v>0</v>
          </cell>
          <cell r="AF1198">
            <v>0</v>
          </cell>
          <cell r="AG1198">
            <v>0</v>
          </cell>
          <cell r="AH119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3">
          <cell r="C3">
            <v>-79117202</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efreshError="1"/>
      <sheetData sheetId="26" refreshError="1"/>
      <sheetData sheetId="27">
        <row r="1">
          <cell r="B1" t="str">
            <v>BALMER LAWRIE - VAN LEER LTD.</v>
          </cell>
          <cell r="D1">
            <v>3081714704.1900153</v>
          </cell>
          <cell r="E1">
            <v>-3081714697.5800314</v>
          </cell>
          <cell r="F1">
            <v>-1</v>
          </cell>
          <cell r="G1">
            <v>0</v>
          </cell>
          <cell r="H1">
            <v>0</v>
          </cell>
          <cell r="I1">
            <v>-15</v>
          </cell>
          <cell r="J1">
            <v>3081714704</v>
          </cell>
          <cell r="K1">
            <v>-3081714704</v>
          </cell>
        </row>
        <row r="2">
          <cell r="B2" t="str">
            <v>FORMAT FOR TRIAL BALANCE AS ON PARTICULAR DATE</v>
          </cell>
          <cell r="E2">
            <v>6.6099839210510254</v>
          </cell>
          <cell r="H2">
            <v>0</v>
          </cell>
          <cell r="J2">
            <v>0.19001531600952148</v>
          </cell>
          <cell r="K2">
            <v>6.4199686050415039</v>
          </cell>
        </row>
        <row r="3">
          <cell r="B3">
            <v>1</v>
          </cell>
          <cell r="C3">
            <v>2</v>
          </cell>
          <cell r="D3">
            <v>3</v>
          </cell>
          <cell r="E3">
            <v>4</v>
          </cell>
          <cell r="F3">
            <v>5</v>
          </cell>
          <cell r="G3">
            <v>6</v>
          </cell>
          <cell r="H3">
            <v>7</v>
          </cell>
          <cell r="I3">
            <v>8</v>
          </cell>
          <cell r="J3">
            <v>9</v>
          </cell>
          <cell r="K3">
            <v>10</v>
          </cell>
        </row>
        <row r="4">
          <cell r="C4">
            <v>1472.98333</v>
          </cell>
          <cell r="D4">
            <v>42460</v>
          </cell>
          <cell r="F4">
            <v>0</v>
          </cell>
          <cell r="G4" t="str">
            <v xml:space="preserve">Provisions </v>
          </cell>
          <cell r="J4" t="str">
            <v>Final TB  31/03/2016</v>
          </cell>
        </row>
        <row r="5">
          <cell r="B5" t="str">
            <v>GL CODE</v>
          </cell>
          <cell r="C5" t="str">
            <v>ACCOUNT HEAD</v>
          </cell>
        </row>
        <row r="6">
          <cell r="C6">
            <v>0</v>
          </cell>
        </row>
        <row r="7">
          <cell r="D7" t="str">
            <v>SDC-T</v>
          </cell>
          <cell r="E7" t="str">
            <v>PCD-T</v>
          </cell>
          <cell r="G7" t="str">
            <v>SDC-T</v>
          </cell>
          <cell r="H7" t="str">
            <v>PCD-T</v>
          </cell>
          <cell r="J7" t="str">
            <v>SDC-T</v>
          </cell>
          <cell r="K7" t="str">
            <v>PCD-T</v>
          </cell>
        </row>
        <row r="9">
          <cell r="B9">
            <v>11025</v>
          </cell>
          <cell r="C9" t="str">
            <v>PRODUCT SALES (5010)</v>
          </cell>
          <cell r="D9">
            <v>-566195684.80999994</v>
          </cell>
          <cell r="E9">
            <v>-1403586759.2800002</v>
          </cell>
          <cell r="J9">
            <v>-566195685</v>
          </cell>
          <cell r="K9">
            <v>-1403586759</v>
          </cell>
        </row>
        <row r="10">
          <cell r="B10">
            <v>11030</v>
          </cell>
          <cell r="C10" t="str">
            <v>PRODUCT SALES ACCOUNT (5000) (OTHHER THAN FG [SO-POSTING])</v>
          </cell>
          <cell r="D10">
            <v>0</v>
          </cell>
          <cell r="E10">
            <v>-3454072</v>
          </cell>
          <cell r="J10">
            <v>0</v>
          </cell>
          <cell r="K10">
            <v>-3454072</v>
          </cell>
        </row>
        <row r="11">
          <cell r="B11">
            <v>11031</v>
          </cell>
          <cell r="C11" t="str">
            <v>PRODUCT SALES (PRICE VARIATION/ADJUSTMENT)</v>
          </cell>
          <cell r="D11">
            <v>4529068.32</v>
          </cell>
          <cell r="E11">
            <v>8551230.5800000001</v>
          </cell>
          <cell r="J11">
            <v>4529068</v>
          </cell>
          <cell r="K11">
            <v>8551231</v>
          </cell>
        </row>
        <row r="12">
          <cell r="B12">
            <v>11035</v>
          </cell>
          <cell r="C12" t="str">
            <v>SCRAP SALES (GENERATED OUT OF PROCESS) (5100)</v>
          </cell>
          <cell r="D12">
            <v>-44515530</v>
          </cell>
          <cell r="E12">
            <v>-1884700.63</v>
          </cell>
          <cell r="J12">
            <v>-44515530</v>
          </cell>
          <cell r="K12">
            <v>-1884701</v>
          </cell>
        </row>
        <row r="13">
          <cell r="B13">
            <v>11040</v>
          </cell>
          <cell r="C13" t="str">
            <v>SCRAP SALES - MISC (N)</v>
          </cell>
          <cell r="D13">
            <v>310650</v>
          </cell>
          <cell r="E13">
            <v>0</v>
          </cell>
          <cell r="J13">
            <v>310650</v>
          </cell>
          <cell r="K13">
            <v>0</v>
          </cell>
        </row>
        <row r="14">
          <cell r="B14">
            <v>11205</v>
          </cell>
          <cell r="C14" t="str">
            <v>DEPB BENIFIT A/C (INCOME FROM DEPB)</v>
          </cell>
          <cell r="D14">
            <v>-13198080</v>
          </cell>
          <cell r="E14">
            <v>-373532</v>
          </cell>
          <cell r="J14">
            <v>-13198080</v>
          </cell>
          <cell r="K14">
            <v>-373532</v>
          </cell>
        </row>
        <row r="15">
          <cell r="B15">
            <v>11210</v>
          </cell>
          <cell r="C15" t="str">
            <v>MARKETING &amp; MANAGEMENT FEES (INCOME) (5210)</v>
          </cell>
          <cell r="D15">
            <v>-998000</v>
          </cell>
          <cell r="E15">
            <v>0</v>
          </cell>
          <cell r="J15">
            <v>-998000</v>
          </cell>
          <cell r="K15">
            <v>0</v>
          </cell>
        </row>
        <row r="16">
          <cell r="B16">
            <v>11215</v>
          </cell>
          <cell r="C16" t="str">
            <v>INTEREST RECEIVED (5150)</v>
          </cell>
          <cell r="D16">
            <v>-2849162.0000000005</v>
          </cell>
          <cell r="E16">
            <v>-778479.75999999978</v>
          </cell>
          <cell r="J16">
            <v>-2849162</v>
          </cell>
          <cell r="K16">
            <v>-778480</v>
          </cell>
        </row>
        <row r="17">
          <cell r="B17">
            <v>11220</v>
          </cell>
          <cell r="C17" t="str">
            <v>PROVISION (DRS) NO LONGER REQUIRED W/BACK (5180)</v>
          </cell>
          <cell r="D17">
            <v>-22141</v>
          </cell>
          <cell r="E17">
            <v>-78784</v>
          </cell>
          <cell r="J17">
            <v>-22141</v>
          </cell>
          <cell r="K17">
            <v>-78784</v>
          </cell>
        </row>
        <row r="18">
          <cell r="B18">
            <v>11225</v>
          </cell>
          <cell r="C18" t="str">
            <v>SUNDRY CREDIT BALANCES WRITTEN BACK (5235)</v>
          </cell>
          <cell r="D18">
            <v>-25401.679999999702</v>
          </cell>
          <cell r="E18">
            <v>-25141.370000000112</v>
          </cell>
          <cell r="J18">
            <v>-25402</v>
          </cell>
          <cell r="K18">
            <v>-25141</v>
          </cell>
        </row>
        <row r="19">
          <cell r="B19">
            <v>11230</v>
          </cell>
          <cell r="C19" t="str">
            <v>LIABILITIES NO LONGER REQUIRED WRITTEN BACK</v>
          </cell>
          <cell r="D19">
            <v>-31327575</v>
          </cell>
          <cell r="E19">
            <v>-691625</v>
          </cell>
          <cell r="J19">
            <v>-31327575</v>
          </cell>
          <cell r="K19">
            <v>-691625</v>
          </cell>
        </row>
        <row r="20">
          <cell r="B20">
            <v>11240</v>
          </cell>
          <cell r="C20" t="str">
            <v>PROFIT ON SALE OF ASSETS (5170)</v>
          </cell>
          <cell r="D20">
            <v>-214563</v>
          </cell>
          <cell r="E20">
            <v>-388173</v>
          </cell>
          <cell r="G20">
            <v>-551</v>
          </cell>
          <cell r="J20">
            <v>-215114</v>
          </cell>
          <cell r="K20">
            <v>-388173</v>
          </cell>
        </row>
        <row r="21">
          <cell r="B21">
            <v>11245</v>
          </cell>
          <cell r="C21" t="str">
            <v>DIVIDEND INCOME (5240)</v>
          </cell>
          <cell r="D21">
            <v>-38500000</v>
          </cell>
          <cell r="E21">
            <v>0</v>
          </cell>
          <cell r="J21">
            <v>-38500000</v>
          </cell>
          <cell r="K21">
            <v>0</v>
          </cell>
        </row>
        <row r="22">
          <cell r="B22">
            <v>11255</v>
          </cell>
          <cell r="C22" t="str">
            <v>JOBBING INCOME (5160)</v>
          </cell>
          <cell r="D22">
            <v>0</v>
          </cell>
          <cell r="E22">
            <v>3827415</v>
          </cell>
          <cell r="J22">
            <v>0</v>
          </cell>
          <cell r="K22">
            <v>3827415</v>
          </cell>
        </row>
        <row r="23">
          <cell r="B23">
            <v>11265</v>
          </cell>
          <cell r="C23" t="str">
            <v>SUNDRY INCOME (5230)</v>
          </cell>
          <cell r="D23">
            <v>-37718.120000000003</v>
          </cell>
          <cell r="E23">
            <v>0</v>
          </cell>
          <cell r="J23">
            <v>-37718</v>
          </cell>
          <cell r="K23">
            <v>0</v>
          </cell>
        </row>
        <row r="24">
          <cell r="B24">
            <v>12140</v>
          </cell>
          <cell r="C24" t="str">
            <v>ROUNDING OF DIFF A/C</v>
          </cell>
          <cell r="D24">
            <v>-1</v>
          </cell>
          <cell r="E24">
            <v>0</v>
          </cell>
          <cell r="J24">
            <v>-1</v>
          </cell>
          <cell r="K24">
            <v>0</v>
          </cell>
        </row>
        <row r="25">
          <cell r="B25">
            <v>12141</v>
          </cell>
          <cell r="C25" t="str">
            <v>ROUNDING OFF ACCOUNT (JV)</v>
          </cell>
          <cell r="D25">
            <v>9.9999999999909051E-3</v>
          </cell>
          <cell r="E25">
            <v>-9.9999999999980105E-3</v>
          </cell>
          <cell r="J25">
            <v>0</v>
          </cell>
          <cell r="K25">
            <v>0</v>
          </cell>
        </row>
        <row r="26">
          <cell r="B26">
            <v>12142</v>
          </cell>
          <cell r="C26" t="str">
            <v>ORDER INVOICE ROUNDING (SYS)</v>
          </cell>
          <cell r="D26">
            <v>130.66000000000014</v>
          </cell>
          <cell r="E26">
            <v>59.029999999999752</v>
          </cell>
          <cell r="J26">
            <v>131</v>
          </cell>
          <cell r="K26">
            <v>59</v>
          </cell>
        </row>
        <row r="27">
          <cell r="B27">
            <v>12145</v>
          </cell>
          <cell r="C27" t="str">
            <v>DISCOUNT RECEIVED</v>
          </cell>
          <cell r="D27">
            <v>-64715</v>
          </cell>
          <cell r="E27">
            <v>-29550.129999999888</v>
          </cell>
          <cell r="J27">
            <v>-64715</v>
          </cell>
          <cell r="K27">
            <v>-29550</v>
          </cell>
        </row>
        <row r="28">
          <cell r="B28">
            <v>12146</v>
          </cell>
          <cell r="C28" t="str">
            <v>OPENING STOCK OF RAW MATERIALS</v>
          </cell>
          <cell r="D28">
            <v>30804595</v>
          </cell>
          <cell r="E28">
            <v>61749013</v>
          </cell>
          <cell r="J28">
            <v>30804595</v>
          </cell>
          <cell r="K28">
            <v>61749013</v>
          </cell>
        </row>
        <row r="29">
          <cell r="B29">
            <v>12150</v>
          </cell>
          <cell r="C29" t="str">
            <v>RAW MATERIAL CONSUMED (BOM)</v>
          </cell>
          <cell r="D29">
            <v>271001004.94999981</v>
          </cell>
          <cell r="E29">
            <v>2273257648.0900002</v>
          </cell>
          <cell r="J29">
            <v>271001005</v>
          </cell>
          <cell r="K29">
            <v>2273257648</v>
          </cell>
        </row>
        <row r="30">
          <cell r="B30">
            <v>12151</v>
          </cell>
          <cell r="C30" t="str">
            <v>IMPORT BOOKING DIFF IF MISC CHG. (CHARGED OFF)</v>
          </cell>
          <cell r="D30">
            <v>-161802.75999999995</v>
          </cell>
          <cell r="E30">
            <v>6126387.6200000001</v>
          </cell>
          <cell r="J30">
            <v>-161803</v>
          </cell>
          <cell r="K30">
            <v>6126388</v>
          </cell>
        </row>
        <row r="31">
          <cell r="B31">
            <v>12152</v>
          </cell>
          <cell r="C31" t="str">
            <v>TRANSPORT ACCOUNT PURCHASE (6102)</v>
          </cell>
          <cell r="D31">
            <v>-142574.55999999959</v>
          </cell>
          <cell r="E31">
            <v>6288585.9200000018</v>
          </cell>
          <cell r="J31">
            <v>-142575</v>
          </cell>
          <cell r="K31">
            <v>6288586</v>
          </cell>
        </row>
        <row r="32">
          <cell r="B32">
            <v>12153</v>
          </cell>
          <cell r="C32" t="str">
            <v>CONSUMPTION RAW MATERIALS (OTHER THAN BOM)</v>
          </cell>
          <cell r="D32">
            <v>0</v>
          </cell>
          <cell r="E32">
            <v>0</v>
          </cell>
          <cell r="J32">
            <v>0</v>
          </cell>
          <cell r="K32">
            <v>0</v>
          </cell>
        </row>
        <row r="33">
          <cell r="B33">
            <v>12155</v>
          </cell>
          <cell r="C33" t="str">
            <v>PLATING CHEMICALS CONSUMED (OTHER THAN BOM)</v>
          </cell>
          <cell r="D33">
            <v>11662880.149999999</v>
          </cell>
          <cell r="E33">
            <v>0</v>
          </cell>
          <cell r="J33">
            <v>11662880</v>
          </cell>
          <cell r="K33">
            <v>0</v>
          </cell>
        </row>
        <row r="34">
          <cell r="B34">
            <v>12160</v>
          </cell>
          <cell r="C34" t="str">
            <v>NMMC EXPENSE ACCOUNT</v>
          </cell>
          <cell r="D34">
            <v>7529988.3100000005</v>
          </cell>
          <cell r="E34">
            <v>16695981.479999997</v>
          </cell>
          <cell r="J34">
            <v>7529988</v>
          </cell>
          <cell r="K34">
            <v>16695981</v>
          </cell>
        </row>
        <row r="35">
          <cell r="B35">
            <v>12161</v>
          </cell>
          <cell r="C35" t="str">
            <v>Swachh Bharat Cess</v>
          </cell>
          <cell r="D35">
            <v>140819.21999999997</v>
          </cell>
          <cell r="E35">
            <v>135103.62</v>
          </cell>
          <cell r="J35">
            <v>140819</v>
          </cell>
          <cell r="K35">
            <v>135104</v>
          </cell>
        </row>
        <row r="36">
          <cell r="B36">
            <v>12165</v>
          </cell>
          <cell r="C36" t="str">
            <v>OCTROI ON PURCHASE</v>
          </cell>
          <cell r="D36">
            <v>0</v>
          </cell>
          <cell r="E36">
            <v>66524</v>
          </cell>
          <cell r="J36">
            <v>0</v>
          </cell>
          <cell r="K36">
            <v>66524</v>
          </cell>
        </row>
        <row r="37">
          <cell r="B37">
            <v>12170</v>
          </cell>
          <cell r="C37" t="str">
            <v>CST EXPENSES ACCOUNT</v>
          </cell>
          <cell r="D37">
            <v>193124.36999999988</v>
          </cell>
          <cell r="E37">
            <v>335912.10000000009</v>
          </cell>
          <cell r="J37">
            <v>193124</v>
          </cell>
          <cell r="K37">
            <v>335912</v>
          </cell>
        </row>
        <row r="38">
          <cell r="B38">
            <v>12175</v>
          </cell>
          <cell r="C38" t="str">
            <v>Excise duty on FG Stock (Purchase/Consumption)</v>
          </cell>
          <cell r="D38">
            <v>-450545</v>
          </cell>
          <cell r="E38">
            <v>349820</v>
          </cell>
          <cell r="J38">
            <v>-450545</v>
          </cell>
          <cell r="K38">
            <v>349820</v>
          </cell>
        </row>
        <row r="39">
          <cell r="B39">
            <v>12209</v>
          </cell>
          <cell r="C39" t="str">
            <v>CLOSING STOCK OF RAW MATL (P&amp;L)</v>
          </cell>
          <cell r="D39">
            <v>-28821503.959999979</v>
          </cell>
          <cell r="E39">
            <v>-89564836.800000191</v>
          </cell>
          <cell r="G39">
            <v>0</v>
          </cell>
          <cell r="H39">
            <v>2500000</v>
          </cell>
          <cell r="J39">
            <v>-28821504</v>
          </cell>
          <cell r="K39">
            <v>-87064837</v>
          </cell>
        </row>
        <row r="40">
          <cell r="B40">
            <v>12221</v>
          </cell>
          <cell r="C40" t="str">
            <v>OPENING STOCK OF PACKING MATERIALS</v>
          </cell>
          <cell r="D40">
            <v>1261152</v>
          </cell>
          <cell r="E40">
            <v>1244363</v>
          </cell>
          <cell r="J40">
            <v>1261152</v>
          </cell>
          <cell r="K40">
            <v>1244363</v>
          </cell>
        </row>
        <row r="41">
          <cell r="B41">
            <v>12225</v>
          </cell>
          <cell r="C41" t="str">
            <v>PACKING MATERIAL CONSUMED</v>
          </cell>
          <cell r="D41">
            <v>0</v>
          </cell>
          <cell r="E41">
            <v>0</v>
          </cell>
          <cell r="J41">
            <v>0</v>
          </cell>
          <cell r="K41">
            <v>0</v>
          </cell>
        </row>
        <row r="42">
          <cell r="B42">
            <v>12264</v>
          </cell>
          <cell r="C42" t="str">
            <v>CLOSING STOCK OF PACKINGMATL (P&amp;L)</v>
          </cell>
          <cell r="D42">
            <v>-1116747</v>
          </cell>
          <cell r="E42">
            <v>-1364131</v>
          </cell>
          <cell r="J42">
            <v>-1116747</v>
          </cell>
          <cell r="K42">
            <v>-1364131</v>
          </cell>
        </row>
        <row r="43">
          <cell r="B43">
            <v>13102</v>
          </cell>
          <cell r="C43" t="str">
            <v>STOCK VALUATION DIFF A/C (WIP)</v>
          </cell>
          <cell r="D43">
            <v>1040734.4299926758</v>
          </cell>
          <cell r="E43">
            <v>0</v>
          </cell>
          <cell r="J43">
            <v>1040734</v>
          </cell>
          <cell r="K43">
            <v>0</v>
          </cell>
        </row>
        <row r="44">
          <cell r="B44">
            <v>13110</v>
          </cell>
          <cell r="C44" t="str">
            <v>OPENING STOCK OF STORES SPARES</v>
          </cell>
          <cell r="D44">
            <v>32054425</v>
          </cell>
          <cell r="E44">
            <v>18723177</v>
          </cell>
          <cell r="J44">
            <v>32054425</v>
          </cell>
          <cell r="K44">
            <v>18723177</v>
          </cell>
        </row>
        <row r="45">
          <cell r="B45">
            <v>13111</v>
          </cell>
          <cell r="C45" t="str">
            <v>STORES, SPARE PARTS, CONSUMABLES CONSUMED</v>
          </cell>
          <cell r="D45">
            <v>709587.67999998457</v>
          </cell>
          <cell r="E45">
            <v>146517.97999998927</v>
          </cell>
          <cell r="J45">
            <v>709588</v>
          </cell>
          <cell r="K45">
            <v>146518</v>
          </cell>
        </row>
        <row r="46">
          <cell r="B46">
            <v>13115</v>
          </cell>
          <cell r="C46" t="str">
            <v>OTHER MANUFACTURING EXP/ SERVICES (6250)</v>
          </cell>
          <cell r="D46">
            <v>1314077.5</v>
          </cell>
          <cell r="E46">
            <v>22857344.229999997</v>
          </cell>
          <cell r="J46">
            <v>1314078</v>
          </cell>
          <cell r="K46">
            <v>22857344</v>
          </cell>
        </row>
        <row r="47">
          <cell r="B47">
            <v>13117</v>
          </cell>
          <cell r="C47" t="str">
            <v>CLOSING STOCK OF STORES SPARES (P&amp;L)</v>
          </cell>
          <cell r="D47">
            <v>-36709707</v>
          </cell>
          <cell r="E47">
            <v>-19624499</v>
          </cell>
          <cell r="J47">
            <v>-36709707</v>
          </cell>
          <cell r="K47">
            <v>-19624499</v>
          </cell>
        </row>
        <row r="48">
          <cell r="B48">
            <v>13121</v>
          </cell>
          <cell r="C48" t="str">
            <v>POWER (FACTORY) (6210)</v>
          </cell>
          <cell r="D48">
            <v>29956083.32</v>
          </cell>
          <cell r="E48">
            <v>84631439</v>
          </cell>
          <cell r="J48">
            <v>29956083</v>
          </cell>
          <cell r="K48">
            <v>84631439</v>
          </cell>
        </row>
        <row r="49">
          <cell r="B49">
            <v>13124</v>
          </cell>
          <cell r="C49" t="str">
            <v>POWER (OFFICE)</v>
          </cell>
          <cell r="D49">
            <v>665847.7799999998</v>
          </cell>
          <cell r="E49">
            <v>18000</v>
          </cell>
          <cell r="J49">
            <v>665848</v>
          </cell>
          <cell r="K49">
            <v>18000</v>
          </cell>
        </row>
        <row r="50">
          <cell r="B50">
            <v>13132</v>
          </cell>
          <cell r="C50" t="str">
            <v>REPAIRS &amp; MAINT - PLANT &amp; MACHINERY (6310)</v>
          </cell>
          <cell r="D50">
            <v>8306591.8999999985</v>
          </cell>
          <cell r="E50">
            <v>5903692.0999999978</v>
          </cell>
          <cell r="J50">
            <v>8306592</v>
          </cell>
          <cell r="K50">
            <v>5903692</v>
          </cell>
        </row>
        <row r="51">
          <cell r="B51">
            <v>13137</v>
          </cell>
          <cell r="C51" t="str">
            <v>REPAIRS &amp; MAINT - BUILDING (6320)</v>
          </cell>
          <cell r="D51">
            <v>2076844.0699999994</v>
          </cell>
          <cell r="E51">
            <v>2669363.5</v>
          </cell>
          <cell r="J51">
            <v>2076844</v>
          </cell>
          <cell r="K51">
            <v>2669364</v>
          </cell>
        </row>
        <row r="52">
          <cell r="B52">
            <v>13139</v>
          </cell>
          <cell r="C52" t="str">
            <v>GARDEN MAINT.(7473)</v>
          </cell>
          <cell r="D52">
            <v>103764.6</v>
          </cell>
          <cell r="E52">
            <v>240</v>
          </cell>
          <cell r="J52">
            <v>103765</v>
          </cell>
          <cell r="K52">
            <v>240</v>
          </cell>
        </row>
        <row r="53">
          <cell r="B53">
            <v>13141</v>
          </cell>
          <cell r="C53" t="str">
            <v>REPAIRS TO FURNITURE /EQUIPMENT(6315)</v>
          </cell>
          <cell r="D53">
            <v>141137</v>
          </cell>
          <cell r="E53">
            <v>14980</v>
          </cell>
          <cell r="J53">
            <v>141137</v>
          </cell>
          <cell r="K53">
            <v>14980</v>
          </cell>
        </row>
        <row r="54">
          <cell r="B54">
            <v>13146</v>
          </cell>
          <cell r="C54" t="str">
            <v>REPAIRS &amp; MAINT - ELECTRICALS (6330)</v>
          </cell>
          <cell r="D54">
            <v>2880</v>
          </cell>
          <cell r="E54">
            <v>45106</v>
          </cell>
          <cell r="J54">
            <v>2880</v>
          </cell>
          <cell r="K54">
            <v>45106</v>
          </cell>
        </row>
        <row r="55">
          <cell r="B55">
            <v>13148</v>
          </cell>
          <cell r="C55" t="str">
            <v>REPAIRS &amp; MAINT - OTHERS (6340)</v>
          </cell>
          <cell r="D55">
            <v>227755</v>
          </cell>
          <cell r="E55">
            <v>178034</v>
          </cell>
          <cell r="J55">
            <v>227755</v>
          </cell>
          <cell r="K55">
            <v>178034</v>
          </cell>
        </row>
        <row r="56">
          <cell r="B56">
            <v>13204</v>
          </cell>
          <cell r="C56" t="str">
            <v>SALARIES, WAGES, BONUS ETC.(OFFICERS) (6410,12,15,20-2,</v>
          </cell>
          <cell r="D56">
            <v>44104010.299999997</v>
          </cell>
          <cell r="E56">
            <v>22883318.670000002</v>
          </cell>
          <cell r="J56">
            <v>44104010</v>
          </cell>
          <cell r="K56">
            <v>22883319</v>
          </cell>
        </row>
        <row r="57">
          <cell r="B57">
            <v>13207</v>
          </cell>
          <cell r="C57" t="str">
            <v>LEAVE TRAVEL ASSISTANCE (OFFICERS) (6435)</v>
          </cell>
          <cell r="D57">
            <v>1430950</v>
          </cell>
          <cell r="E57">
            <v>835704</v>
          </cell>
          <cell r="J57">
            <v>1430950</v>
          </cell>
          <cell r="K57">
            <v>835704</v>
          </cell>
        </row>
        <row r="58">
          <cell r="B58">
            <v>13208</v>
          </cell>
          <cell r="C58" t="str">
            <v>PERFORMANCE REWARD (OFFICERS)</v>
          </cell>
          <cell r="D58">
            <v>1955200</v>
          </cell>
          <cell r="E58">
            <v>1074194</v>
          </cell>
          <cell r="J58">
            <v>1955200</v>
          </cell>
          <cell r="K58">
            <v>1074194</v>
          </cell>
        </row>
        <row r="59">
          <cell r="B59">
            <v>13210</v>
          </cell>
          <cell r="C59" t="str">
            <v>STIPEND A/C (6504)</v>
          </cell>
          <cell r="D59">
            <v>124000</v>
          </cell>
          <cell r="E59">
            <v>167925</v>
          </cell>
          <cell r="J59">
            <v>124000</v>
          </cell>
          <cell r="K59">
            <v>167925</v>
          </cell>
        </row>
        <row r="60">
          <cell r="B60">
            <v>13213</v>
          </cell>
          <cell r="C60" t="str">
            <v>MANAGERIAL REMUNERATION (6676)</v>
          </cell>
          <cell r="D60">
            <v>0</v>
          </cell>
          <cell r="E60">
            <v>0</v>
          </cell>
          <cell r="J60">
            <v>0</v>
          </cell>
          <cell r="K60">
            <v>0</v>
          </cell>
        </row>
        <row r="61">
          <cell r="B61">
            <v>13223</v>
          </cell>
          <cell r="C61" t="str">
            <v>SALARIES , WAGES, BONUS ETC. (STAFF)</v>
          </cell>
          <cell r="D61">
            <v>889272</v>
          </cell>
          <cell r="E61">
            <v>0</v>
          </cell>
          <cell r="G61">
            <v>-1185539</v>
          </cell>
          <cell r="J61">
            <v>-296267</v>
          </cell>
          <cell r="K61">
            <v>0</v>
          </cell>
        </row>
        <row r="62">
          <cell r="B62">
            <v>13225</v>
          </cell>
          <cell r="C62" t="str">
            <v>LEAVE TRAVEL ASSISTANCE (STAFF) (6550)</v>
          </cell>
          <cell r="D62">
            <v>43950</v>
          </cell>
          <cell r="E62">
            <v>0</v>
          </cell>
          <cell r="J62">
            <v>43950</v>
          </cell>
          <cell r="K62">
            <v>0</v>
          </cell>
        </row>
        <row r="63">
          <cell r="B63">
            <v>13226</v>
          </cell>
          <cell r="C63" t="str">
            <v>PERFROMANCE REWARD (STAFF)</v>
          </cell>
          <cell r="D63">
            <v>-23500</v>
          </cell>
          <cell r="E63">
            <v>0</v>
          </cell>
          <cell r="J63">
            <v>-23500</v>
          </cell>
          <cell r="K63">
            <v>0</v>
          </cell>
        </row>
        <row r="64">
          <cell r="B64">
            <v>13231</v>
          </cell>
          <cell r="C64" t="str">
            <v>SALARIES , WAGES, BONUS ETC. (WORKERS)</v>
          </cell>
          <cell r="D64">
            <v>50307752.00999999</v>
          </cell>
          <cell r="E64">
            <v>24823157.620000005</v>
          </cell>
          <cell r="J64">
            <v>50307752</v>
          </cell>
          <cell r="K64">
            <v>24823158</v>
          </cell>
        </row>
        <row r="65">
          <cell r="B65">
            <v>13233</v>
          </cell>
          <cell r="C65" t="str">
            <v>LEAVE TRAVEL ASSISTANCE (WORKERS) (6650)</v>
          </cell>
          <cell r="D65">
            <v>1292400</v>
          </cell>
          <cell r="E65">
            <v>953195</v>
          </cell>
          <cell r="J65">
            <v>1292400</v>
          </cell>
          <cell r="K65">
            <v>953195</v>
          </cell>
        </row>
        <row r="66">
          <cell r="B66">
            <v>13235</v>
          </cell>
          <cell r="C66" t="str">
            <v>EXGRATIA (WORKERS) (6660)</v>
          </cell>
          <cell r="D66">
            <v>3515206</v>
          </cell>
          <cell r="E66">
            <v>1397318</v>
          </cell>
          <cell r="J66">
            <v>3515206</v>
          </cell>
          <cell r="K66">
            <v>1397318</v>
          </cell>
        </row>
        <row r="67">
          <cell r="B67">
            <v>13243</v>
          </cell>
          <cell r="C67" t="str">
            <v>GRATUITY (OFFICERS) (6450)</v>
          </cell>
          <cell r="D67">
            <v>648373</v>
          </cell>
          <cell r="E67">
            <v>429310</v>
          </cell>
          <cell r="J67">
            <v>648373</v>
          </cell>
          <cell r="K67">
            <v>429310</v>
          </cell>
        </row>
        <row r="68">
          <cell r="B68">
            <v>13245</v>
          </cell>
          <cell r="C68" t="str">
            <v>PROVIDEND FUND (OFFICERS) (6455)</v>
          </cell>
          <cell r="D68">
            <v>2617842</v>
          </cell>
          <cell r="E68">
            <v>1715861</v>
          </cell>
          <cell r="J68">
            <v>2617842</v>
          </cell>
          <cell r="K68">
            <v>1715861</v>
          </cell>
        </row>
        <row r="69">
          <cell r="B69">
            <v>13247</v>
          </cell>
          <cell r="C69" t="str">
            <v>DEPOSIT LINK INSURANCE FUND (OFFICERS) (7425/7426)</v>
          </cell>
          <cell r="D69">
            <v>193280.99999999988</v>
          </cell>
          <cell r="E69">
            <v>51542</v>
          </cell>
          <cell r="J69">
            <v>193281</v>
          </cell>
          <cell r="K69">
            <v>51542</v>
          </cell>
        </row>
        <row r="70">
          <cell r="B70">
            <v>13249</v>
          </cell>
          <cell r="C70" t="str">
            <v>SUPERANNUATION (OFFICERS) (6480)</v>
          </cell>
          <cell r="D70">
            <v>2419661</v>
          </cell>
          <cell r="E70">
            <v>1379804</v>
          </cell>
          <cell r="J70">
            <v>2419661</v>
          </cell>
          <cell r="K70">
            <v>1379804</v>
          </cell>
        </row>
        <row r="71">
          <cell r="B71">
            <v>13250</v>
          </cell>
          <cell r="C71" t="str">
            <v>ESIC OFFICERS</v>
          </cell>
          <cell r="D71">
            <v>1844</v>
          </cell>
          <cell r="E71">
            <v>0</v>
          </cell>
          <cell r="J71">
            <v>1844</v>
          </cell>
          <cell r="K71">
            <v>0</v>
          </cell>
        </row>
        <row r="72">
          <cell r="B72">
            <v>13255</v>
          </cell>
          <cell r="C72" t="str">
            <v>GRATUITY (STAFF) (6565)</v>
          </cell>
          <cell r="D72">
            <v>20951</v>
          </cell>
          <cell r="E72">
            <v>0</v>
          </cell>
          <cell r="J72">
            <v>20951</v>
          </cell>
          <cell r="K72">
            <v>0</v>
          </cell>
        </row>
        <row r="73">
          <cell r="B73">
            <v>13257</v>
          </cell>
          <cell r="C73" t="str">
            <v>PROVIDEND FUND (STAFF) (6570)</v>
          </cell>
          <cell r="D73">
            <v>63384</v>
          </cell>
          <cell r="E73">
            <v>0</v>
          </cell>
          <cell r="J73">
            <v>63384</v>
          </cell>
          <cell r="K73">
            <v>0</v>
          </cell>
        </row>
        <row r="74">
          <cell r="B74">
            <v>13261</v>
          </cell>
          <cell r="C74" t="str">
            <v>ESIC (STAFF) (6590)</v>
          </cell>
          <cell r="D74">
            <v>11004</v>
          </cell>
          <cell r="E74">
            <v>751</v>
          </cell>
          <cell r="J74">
            <v>11004</v>
          </cell>
          <cell r="K74">
            <v>751</v>
          </cell>
        </row>
        <row r="75">
          <cell r="B75">
            <v>13267</v>
          </cell>
          <cell r="C75" t="str">
            <v>GRATUITY (WORKERS) (6665)</v>
          </cell>
          <cell r="D75">
            <v>4562737</v>
          </cell>
          <cell r="E75">
            <v>940069</v>
          </cell>
          <cell r="J75">
            <v>4562737</v>
          </cell>
          <cell r="K75">
            <v>940069</v>
          </cell>
        </row>
        <row r="76">
          <cell r="B76">
            <v>13269</v>
          </cell>
          <cell r="C76" t="str">
            <v>PROVIDEND FUND (WORKERS) (6670)</v>
          </cell>
          <cell r="D76">
            <v>3268369</v>
          </cell>
          <cell r="E76">
            <v>1506706</v>
          </cell>
          <cell r="J76">
            <v>3268369</v>
          </cell>
          <cell r="K76">
            <v>1506706</v>
          </cell>
        </row>
        <row r="77">
          <cell r="B77">
            <v>13273</v>
          </cell>
          <cell r="C77" t="str">
            <v>ESIC (WORKERS) (6690)</v>
          </cell>
          <cell r="D77">
            <v>12545</v>
          </cell>
          <cell r="E77">
            <v>0</v>
          </cell>
          <cell r="J77">
            <v>12545</v>
          </cell>
          <cell r="K77">
            <v>0</v>
          </cell>
        </row>
        <row r="78">
          <cell r="B78">
            <v>13281</v>
          </cell>
          <cell r="C78" t="str">
            <v>MEDICAL EXPENSES (OFFICERS) (6485)</v>
          </cell>
          <cell r="D78">
            <v>1199626</v>
          </cell>
          <cell r="E78">
            <v>840060</v>
          </cell>
          <cell r="J78">
            <v>1199626</v>
          </cell>
          <cell r="K78">
            <v>840060</v>
          </cell>
        </row>
        <row r="79">
          <cell r="B79">
            <v>13283</v>
          </cell>
          <cell r="C79" t="str">
            <v>MEDICLAIM EXPENSES (OFFICERS) (6490)</v>
          </cell>
          <cell r="D79">
            <v>536481</v>
          </cell>
          <cell r="E79">
            <v>293417</v>
          </cell>
          <cell r="J79">
            <v>536481</v>
          </cell>
          <cell r="K79">
            <v>293417</v>
          </cell>
        </row>
        <row r="80">
          <cell r="B80">
            <v>13285</v>
          </cell>
          <cell r="C80" t="str">
            <v>OFFICE DRESS (OFFICERS) (6495)</v>
          </cell>
          <cell r="D80">
            <v>122808</v>
          </cell>
          <cell r="E80">
            <v>101923</v>
          </cell>
          <cell r="J80">
            <v>122808</v>
          </cell>
          <cell r="K80">
            <v>101923</v>
          </cell>
        </row>
        <row r="81">
          <cell r="B81">
            <v>13287</v>
          </cell>
          <cell r="C81" t="str">
            <v>SOFT FURNISINGS (OFFICERS) (6496)</v>
          </cell>
          <cell r="D81">
            <v>10600</v>
          </cell>
          <cell r="E81">
            <v>9600</v>
          </cell>
          <cell r="J81">
            <v>10600</v>
          </cell>
          <cell r="K81">
            <v>9600</v>
          </cell>
        </row>
        <row r="82">
          <cell r="B82">
            <v>13291</v>
          </cell>
          <cell r="C82" t="str">
            <v>OFFICE DRESS (STAFF)</v>
          </cell>
          <cell r="D82">
            <v>10800</v>
          </cell>
          <cell r="E82">
            <v>0</v>
          </cell>
          <cell r="J82">
            <v>10800</v>
          </cell>
          <cell r="K82">
            <v>0</v>
          </cell>
        </row>
        <row r="83">
          <cell r="B83">
            <v>13292</v>
          </cell>
          <cell r="C83" t="str">
            <v>MEDICLAIM STAFF</v>
          </cell>
          <cell r="D83">
            <v>19807</v>
          </cell>
          <cell r="E83">
            <v>0</v>
          </cell>
          <cell r="J83">
            <v>19807</v>
          </cell>
          <cell r="K83">
            <v>0</v>
          </cell>
        </row>
        <row r="84">
          <cell r="B84">
            <v>13293</v>
          </cell>
          <cell r="C84" t="str">
            <v>MEDICAL EXPENSES (STAFF) (6595)</v>
          </cell>
          <cell r="D84">
            <v>20700</v>
          </cell>
          <cell r="E84">
            <v>0</v>
          </cell>
          <cell r="J84">
            <v>20700</v>
          </cell>
          <cell r="K84">
            <v>0</v>
          </cell>
        </row>
        <row r="85">
          <cell r="B85">
            <v>13298</v>
          </cell>
          <cell r="C85" t="str">
            <v>MAHARASHATRA LABOUR WELFARE FUND (6680)</v>
          </cell>
          <cell r="D85">
            <v>9576</v>
          </cell>
          <cell r="E85">
            <v>3744</v>
          </cell>
          <cell r="J85">
            <v>9576</v>
          </cell>
          <cell r="K85">
            <v>3744</v>
          </cell>
        </row>
        <row r="86">
          <cell r="B86">
            <v>13300</v>
          </cell>
          <cell r="C86" t="str">
            <v>MEDICAL EXPENSES (WORKERS) (6695)</v>
          </cell>
          <cell r="D86">
            <v>1412306</v>
          </cell>
          <cell r="E86">
            <v>514070</v>
          </cell>
          <cell r="J86">
            <v>1412306</v>
          </cell>
          <cell r="K86">
            <v>514070</v>
          </cell>
        </row>
        <row r="87">
          <cell r="B87">
            <v>13301</v>
          </cell>
          <cell r="C87" t="str">
            <v>MEDICLAIM (WORKERS)</v>
          </cell>
          <cell r="D87">
            <v>822674</v>
          </cell>
          <cell r="E87">
            <v>628930.00000000023</v>
          </cell>
          <cell r="J87">
            <v>822674</v>
          </cell>
          <cell r="K87">
            <v>628930</v>
          </cell>
        </row>
        <row r="88">
          <cell r="B88">
            <v>13308</v>
          </cell>
          <cell r="C88" t="str">
            <v>CONTRACT LABOUR EXPENSES (6780)</v>
          </cell>
          <cell r="D88">
            <v>8568295.4000000004</v>
          </cell>
          <cell r="E88">
            <v>115588</v>
          </cell>
          <cell r="J88">
            <v>8568295</v>
          </cell>
          <cell r="K88">
            <v>115588</v>
          </cell>
        </row>
        <row r="89">
          <cell r="B89">
            <v>13314</v>
          </cell>
          <cell r="C89" t="str">
            <v>CANTEEN EXPENSES</v>
          </cell>
          <cell r="D89">
            <v>5853955.5</v>
          </cell>
          <cell r="E89">
            <v>2675943</v>
          </cell>
          <cell r="J89">
            <v>5853956</v>
          </cell>
          <cell r="K89">
            <v>2675943</v>
          </cell>
        </row>
        <row r="90">
          <cell r="B90">
            <v>13316</v>
          </cell>
          <cell r="C90" t="str">
            <v>WELFARE - FIRST AID (7020)</v>
          </cell>
          <cell r="D90">
            <v>81999.329999999958</v>
          </cell>
          <cell r="E90">
            <v>20984</v>
          </cell>
          <cell r="J90">
            <v>81999</v>
          </cell>
          <cell r="K90">
            <v>20984</v>
          </cell>
        </row>
        <row r="91">
          <cell r="B91">
            <v>13318</v>
          </cell>
          <cell r="C91" t="str">
            <v>WELFARE - TRANSPORT (JEEP/ BUS HIRE) EXP. (7040)</v>
          </cell>
          <cell r="D91">
            <v>2509117</v>
          </cell>
          <cell r="E91">
            <v>3024519.5199999996</v>
          </cell>
          <cell r="J91">
            <v>2509117</v>
          </cell>
          <cell r="K91">
            <v>3024520</v>
          </cell>
        </row>
        <row r="92">
          <cell r="B92">
            <v>13320</v>
          </cell>
          <cell r="C92" t="str">
            <v>WELFARE - OTHERS (7050)</v>
          </cell>
          <cell r="D92">
            <v>1784668.5</v>
          </cell>
          <cell r="E92">
            <v>588205.46</v>
          </cell>
          <cell r="J92">
            <v>1784669</v>
          </cell>
          <cell r="K92">
            <v>588205</v>
          </cell>
        </row>
        <row r="93">
          <cell r="B93">
            <v>13381</v>
          </cell>
          <cell r="C93" t="str">
            <v>RENT (7100)</v>
          </cell>
          <cell r="D93">
            <v>299079</v>
          </cell>
          <cell r="E93">
            <v>593480</v>
          </cell>
          <cell r="J93">
            <v>299079</v>
          </cell>
          <cell r="K93">
            <v>593480</v>
          </cell>
        </row>
        <row r="94">
          <cell r="B94">
            <v>13384</v>
          </cell>
          <cell r="C94" t="str">
            <v>WATER (6220)</v>
          </cell>
          <cell r="D94">
            <v>1404687.5</v>
          </cell>
          <cell r="E94">
            <v>1459704.5</v>
          </cell>
          <cell r="J94">
            <v>1404688</v>
          </cell>
          <cell r="K94">
            <v>1459705</v>
          </cell>
        </row>
        <row r="95">
          <cell r="B95">
            <v>13385</v>
          </cell>
          <cell r="C95" t="str">
            <v>RATES &amp; TAXES (7110)</v>
          </cell>
          <cell r="D95">
            <v>492907</v>
          </cell>
          <cell r="E95">
            <v>7144769.9999999981</v>
          </cell>
          <cell r="J95">
            <v>492907</v>
          </cell>
          <cell r="K95">
            <v>7144770</v>
          </cell>
        </row>
        <row r="96">
          <cell r="B96">
            <v>13386</v>
          </cell>
          <cell r="C96" t="str">
            <v>SERVICE TAX ON TRANSPORT (GTO) (7111)</v>
          </cell>
          <cell r="D96">
            <v>35875</v>
          </cell>
          <cell r="E96">
            <v>2091752</v>
          </cell>
          <cell r="J96">
            <v>35875</v>
          </cell>
          <cell r="K96">
            <v>2091752</v>
          </cell>
        </row>
        <row r="97">
          <cell r="B97">
            <v>13387</v>
          </cell>
          <cell r="C97" t="str">
            <v>PROFESSIONAL TAX (COMPANY) (</v>
          </cell>
          <cell r="D97">
            <v>0</v>
          </cell>
          <cell r="E97">
            <v>0</v>
          </cell>
          <cell r="J97">
            <v>0</v>
          </cell>
          <cell r="K97">
            <v>0</v>
          </cell>
        </row>
        <row r="98">
          <cell r="B98">
            <v>13393</v>
          </cell>
          <cell r="C98" t="str">
            <v>INSURANCE (7160)</v>
          </cell>
          <cell r="D98">
            <v>966986.96999999974</v>
          </cell>
          <cell r="E98">
            <v>1003038.7000000002</v>
          </cell>
          <cell r="J98">
            <v>966987</v>
          </cell>
          <cell r="K98">
            <v>1003039</v>
          </cell>
        </row>
        <row r="99">
          <cell r="B99">
            <v>13408</v>
          </cell>
          <cell r="C99" t="str">
            <v>DISCOUNT ALLOWED (7180)</v>
          </cell>
          <cell r="D99">
            <v>32722</v>
          </cell>
          <cell r="E99">
            <v>811708</v>
          </cell>
          <cell r="J99">
            <v>32722</v>
          </cell>
          <cell r="K99">
            <v>811708</v>
          </cell>
        </row>
        <row r="100">
          <cell r="B100">
            <v>13412</v>
          </cell>
          <cell r="C100" t="str">
            <v>COMMISSION ON SALE (7170)</v>
          </cell>
          <cell r="D100">
            <v>14883175</v>
          </cell>
          <cell r="E100">
            <v>985085.99999999814</v>
          </cell>
          <cell r="J100">
            <v>14883175</v>
          </cell>
          <cell r="K100">
            <v>985086</v>
          </cell>
        </row>
        <row r="101">
          <cell r="B101">
            <v>13428</v>
          </cell>
          <cell r="C101" t="str">
            <v>SECURITY (7360)</v>
          </cell>
          <cell r="D101">
            <v>1829199</v>
          </cell>
          <cell r="E101">
            <v>2125237</v>
          </cell>
          <cell r="J101">
            <v>1829199</v>
          </cell>
          <cell r="K101">
            <v>2125237</v>
          </cell>
        </row>
        <row r="102">
          <cell r="B102">
            <v>13429</v>
          </cell>
          <cell r="C102" t="str">
            <v>SAFETY &amp; SANITATION (7370)</v>
          </cell>
          <cell r="D102">
            <v>257061</v>
          </cell>
          <cell r="E102">
            <v>150452</v>
          </cell>
          <cell r="J102">
            <v>257061</v>
          </cell>
          <cell r="K102">
            <v>150452</v>
          </cell>
        </row>
        <row r="103">
          <cell r="B103">
            <v>13446</v>
          </cell>
          <cell r="C103" t="str">
            <v>DIRECTOR'S TRAVELLING EXP. (7210)</v>
          </cell>
          <cell r="D103">
            <v>6836371.4199999999</v>
          </cell>
          <cell r="E103">
            <v>0</v>
          </cell>
          <cell r="J103">
            <v>6836371</v>
          </cell>
          <cell r="K103">
            <v>0</v>
          </cell>
        </row>
        <row r="104">
          <cell r="B104">
            <v>13447</v>
          </cell>
          <cell r="C104" t="str">
            <v>FOREIGNER'S TRAVELLING EXP. (7210)</v>
          </cell>
          <cell r="D104">
            <v>5258299.5</v>
          </cell>
          <cell r="E104">
            <v>47794</v>
          </cell>
          <cell r="J104">
            <v>5258300</v>
          </cell>
          <cell r="K104">
            <v>47794</v>
          </cell>
        </row>
        <row r="105">
          <cell r="B105">
            <v>13448</v>
          </cell>
          <cell r="C105" t="str">
            <v>FOREIGN TRAV)EL EXP. (7211)</v>
          </cell>
          <cell r="D105">
            <v>1631425</v>
          </cell>
          <cell r="E105">
            <v>340614</v>
          </cell>
          <cell r="J105">
            <v>1631425</v>
          </cell>
          <cell r="K105">
            <v>340614</v>
          </cell>
        </row>
        <row r="106">
          <cell r="B106">
            <v>13449</v>
          </cell>
          <cell r="C106" t="str">
            <v>LOCAL TRAVELLING (7212/ 7220)</v>
          </cell>
          <cell r="D106">
            <v>1871194.4000000004</v>
          </cell>
          <cell r="E106">
            <v>1398246</v>
          </cell>
          <cell r="J106">
            <v>1871194</v>
          </cell>
          <cell r="K106">
            <v>1398246</v>
          </cell>
        </row>
        <row r="107">
          <cell r="B107">
            <v>13450</v>
          </cell>
          <cell r="C107" t="str">
            <v>CONVENYANCE EXPENSES (LOCAL) (3316)</v>
          </cell>
          <cell r="D107">
            <v>1065314.5</v>
          </cell>
          <cell r="E107">
            <v>538121</v>
          </cell>
          <cell r="J107">
            <v>1065315</v>
          </cell>
          <cell r="K107">
            <v>538121</v>
          </cell>
        </row>
        <row r="108">
          <cell r="B108">
            <v>13470</v>
          </cell>
          <cell r="C108" t="str">
            <v>DIRECTORS FEES (7280)</v>
          </cell>
          <cell r="D108">
            <v>200000</v>
          </cell>
          <cell r="E108">
            <v>0</v>
          </cell>
          <cell r="J108">
            <v>200000</v>
          </cell>
          <cell r="K108">
            <v>0</v>
          </cell>
        </row>
        <row r="109">
          <cell r="B109">
            <v>13475</v>
          </cell>
          <cell r="C109" t="str">
            <v>FREIGHT &amp; TRANSPORT - LOCAL SALES (7285)</v>
          </cell>
          <cell r="D109">
            <v>3413029.0000000019</v>
          </cell>
          <cell r="E109">
            <v>50714499.420000017</v>
          </cell>
          <cell r="J109">
            <v>3413029</v>
          </cell>
          <cell r="K109">
            <v>50714499</v>
          </cell>
        </row>
        <row r="110">
          <cell r="B110">
            <v>13476</v>
          </cell>
          <cell r="C110" t="str">
            <v>LOADING &amp; UNLOADING EXPENSE (7286)</v>
          </cell>
          <cell r="D110">
            <v>-2051</v>
          </cell>
          <cell r="E110">
            <v>13166033.849999994</v>
          </cell>
          <cell r="J110">
            <v>-2051</v>
          </cell>
          <cell r="K110">
            <v>13166034</v>
          </cell>
        </row>
        <row r="111">
          <cell r="B111">
            <v>13478</v>
          </cell>
          <cell r="C111" t="str">
            <v>FREIGHT ON REJECTED DRUMS</v>
          </cell>
          <cell r="D111">
            <v>8954</v>
          </cell>
          <cell r="E111">
            <v>26338.000000000007</v>
          </cell>
          <cell r="J111">
            <v>8954</v>
          </cell>
          <cell r="K111">
            <v>26338</v>
          </cell>
        </row>
        <row r="112">
          <cell r="B112">
            <v>13479</v>
          </cell>
          <cell r="C112" t="str">
            <v>FREIGHT - THAPI &amp; TOLL CHARGES</v>
          </cell>
          <cell r="D112">
            <v>820</v>
          </cell>
          <cell r="E112">
            <v>2400</v>
          </cell>
          <cell r="J112">
            <v>820</v>
          </cell>
          <cell r="K112">
            <v>2400</v>
          </cell>
        </row>
        <row r="113">
          <cell r="B113">
            <v>13480</v>
          </cell>
          <cell r="C113" t="str">
            <v>OCTROI - PAID (7310)</v>
          </cell>
          <cell r="D113">
            <v>115803</v>
          </cell>
          <cell r="E113">
            <v>-5506081.5500000007</v>
          </cell>
          <cell r="J113">
            <v>115803</v>
          </cell>
          <cell r="K113">
            <v>-5506082</v>
          </cell>
        </row>
        <row r="114">
          <cell r="B114">
            <v>13483</v>
          </cell>
          <cell r="C114" t="str">
            <v>FREIGHT &amp; TRANSPORT - RECOVERED LOCAL (7290)</v>
          </cell>
          <cell r="D114">
            <v>-4142521.59</v>
          </cell>
          <cell r="E114">
            <v>-33332153.140000001</v>
          </cell>
          <cell r="J114">
            <v>-4142522</v>
          </cell>
          <cell r="K114">
            <v>-33332153</v>
          </cell>
        </row>
        <row r="115">
          <cell r="B115">
            <v>13484</v>
          </cell>
          <cell r="C115" t="str">
            <v>OCTROI - RECOVERED (7315)</v>
          </cell>
          <cell r="D115">
            <v>0</v>
          </cell>
          <cell r="E115">
            <v>5544780</v>
          </cell>
          <cell r="J115">
            <v>0</v>
          </cell>
          <cell r="K115">
            <v>5544780</v>
          </cell>
        </row>
        <row r="116">
          <cell r="B116">
            <v>13485</v>
          </cell>
          <cell r="C116" t="str">
            <v>FREIGHT &amp; TRANSPORT - EXPORTS SALES (7295)</v>
          </cell>
          <cell r="D116">
            <v>6211052.6799999997</v>
          </cell>
          <cell r="E116">
            <v>1819873.950000003</v>
          </cell>
          <cell r="J116">
            <v>6211053</v>
          </cell>
          <cell r="K116">
            <v>1819874</v>
          </cell>
        </row>
        <row r="117">
          <cell r="B117">
            <v>13486</v>
          </cell>
          <cell r="C117" t="str">
            <v>FREIGHT &amp; TRANSPORT - RECOVERED- EXPORTS (7300)</v>
          </cell>
          <cell r="D117">
            <v>0</v>
          </cell>
          <cell r="E117">
            <v>0</v>
          </cell>
          <cell r="J117">
            <v>0</v>
          </cell>
          <cell r="K117">
            <v>0</v>
          </cell>
        </row>
        <row r="118">
          <cell r="B118">
            <v>13506</v>
          </cell>
          <cell r="C118" t="str">
            <v>BAD DEBTS (7350)</v>
          </cell>
          <cell r="D118">
            <v>0</v>
          </cell>
          <cell r="E118">
            <v>54155.320000000065</v>
          </cell>
          <cell r="J118">
            <v>0</v>
          </cell>
          <cell r="K118">
            <v>54155</v>
          </cell>
        </row>
        <row r="119">
          <cell r="B119">
            <v>13507</v>
          </cell>
          <cell r="C119" t="str">
            <v>ADV. WIRTTEN OFF</v>
          </cell>
          <cell r="D119">
            <v>914255</v>
          </cell>
          <cell r="E119">
            <v>0</v>
          </cell>
          <cell r="J119">
            <v>914255</v>
          </cell>
          <cell r="K119">
            <v>0</v>
          </cell>
        </row>
        <row r="120">
          <cell r="B120">
            <v>13526</v>
          </cell>
          <cell r="C120" t="str">
            <v>PROVISION FOR DOUBTFUL DEBTS/ADVANCE (7355)</v>
          </cell>
          <cell r="D120">
            <v>2168621</v>
          </cell>
          <cell r="E120">
            <v>0</v>
          </cell>
          <cell r="J120">
            <v>2168621</v>
          </cell>
          <cell r="K120">
            <v>0</v>
          </cell>
        </row>
        <row r="121">
          <cell r="B121">
            <v>13539</v>
          </cell>
          <cell r="C121" t="str">
            <v>LEGAL EXPENSES (7260)</v>
          </cell>
          <cell r="D121">
            <v>45010</v>
          </cell>
          <cell r="E121">
            <v>12300</v>
          </cell>
          <cell r="J121">
            <v>45010</v>
          </cell>
          <cell r="K121">
            <v>12300</v>
          </cell>
        </row>
        <row r="122">
          <cell r="B122">
            <v>13540</v>
          </cell>
          <cell r="C122" t="str">
            <v>PROFESSIONAL EXPENSES (7265)</v>
          </cell>
          <cell r="D122">
            <v>19488393.760000005</v>
          </cell>
          <cell r="E122">
            <v>486387</v>
          </cell>
          <cell r="G122">
            <v>250000</v>
          </cell>
          <cell r="J122">
            <v>19738394</v>
          </cell>
          <cell r="K122">
            <v>486387</v>
          </cell>
        </row>
        <row r="123">
          <cell r="B123">
            <v>13542</v>
          </cell>
          <cell r="C123" t="str">
            <v>SECRETARIAL EXPENSES (7271,7272,7273)</v>
          </cell>
          <cell r="D123">
            <v>1016524</v>
          </cell>
          <cell r="E123">
            <v>0</v>
          </cell>
          <cell r="J123">
            <v>1016524</v>
          </cell>
          <cell r="K123">
            <v>0</v>
          </cell>
        </row>
        <row r="124">
          <cell r="B124">
            <v>13558</v>
          </cell>
          <cell r="C124" t="str">
            <v>PRINTING &amp; STATIONERY (7460,7461)</v>
          </cell>
          <cell r="D124">
            <v>592816.65</v>
          </cell>
          <cell r="E124">
            <v>616484.75</v>
          </cell>
          <cell r="J124">
            <v>592817</v>
          </cell>
          <cell r="K124">
            <v>616485</v>
          </cell>
        </row>
        <row r="125">
          <cell r="B125">
            <v>13559</v>
          </cell>
          <cell r="C125" t="str">
            <v>PHOTO COPYING EXPENSES (7495)</v>
          </cell>
          <cell r="D125">
            <v>69584</v>
          </cell>
          <cell r="E125">
            <v>11581.400000000001</v>
          </cell>
          <cell r="J125">
            <v>69584</v>
          </cell>
          <cell r="K125">
            <v>11581</v>
          </cell>
        </row>
        <row r="126">
          <cell r="B126">
            <v>13563</v>
          </cell>
          <cell r="C126" t="str">
            <v>TELEPHONE, TELEX &amp; FAX EXPENSES (7500)</v>
          </cell>
          <cell r="D126">
            <v>1008660.0699999997</v>
          </cell>
          <cell r="E126">
            <v>368890.38000000012</v>
          </cell>
          <cell r="J126">
            <v>1008660</v>
          </cell>
          <cell r="K126">
            <v>368890</v>
          </cell>
        </row>
        <row r="127">
          <cell r="B127">
            <v>13573</v>
          </cell>
          <cell r="C127" t="str">
            <v>CAR EXPENSES [COMPANY CARS] (7650-53)</v>
          </cell>
          <cell r="D127">
            <v>1026810.5900000003</v>
          </cell>
          <cell r="E127">
            <v>0</v>
          </cell>
          <cell r="J127">
            <v>1026811</v>
          </cell>
          <cell r="K127">
            <v>0</v>
          </cell>
        </row>
        <row r="128">
          <cell r="B128">
            <v>13596</v>
          </cell>
          <cell r="C128" t="str">
            <v>BOOKS , NEWS PAPERS AND PERIODICALS (7390)</v>
          </cell>
          <cell r="D128">
            <v>102772</v>
          </cell>
          <cell r="E128">
            <v>13500</v>
          </cell>
          <cell r="J128">
            <v>102772</v>
          </cell>
          <cell r="K128">
            <v>13500</v>
          </cell>
        </row>
        <row r="129">
          <cell r="B129">
            <v>13599</v>
          </cell>
          <cell r="C129" t="str">
            <v>SUBSCRIPTION - OTHERS (7400,7405)</v>
          </cell>
          <cell r="D129">
            <v>373168.47999999986</v>
          </cell>
          <cell r="E129">
            <v>267017</v>
          </cell>
          <cell r="J129">
            <v>373168</v>
          </cell>
          <cell r="K129">
            <v>267017</v>
          </cell>
        </row>
        <row r="130">
          <cell r="B130">
            <v>13600</v>
          </cell>
          <cell r="C130" t="str">
            <v>POSTAGE/ TELEGRAM/ COURIER (7410)</v>
          </cell>
          <cell r="D130">
            <v>956373.06</v>
          </cell>
          <cell r="E130">
            <v>37570.75</v>
          </cell>
          <cell r="J130">
            <v>956373</v>
          </cell>
          <cell r="K130">
            <v>37571</v>
          </cell>
        </row>
        <row r="131">
          <cell r="B131">
            <v>13601</v>
          </cell>
          <cell r="C131" t="str">
            <v>EXPORT EXPENSES (7415)</v>
          </cell>
          <cell r="D131">
            <v>200562</v>
          </cell>
          <cell r="E131">
            <v>21000</v>
          </cell>
          <cell r="J131">
            <v>200562</v>
          </cell>
          <cell r="K131">
            <v>21000</v>
          </cell>
        </row>
        <row r="132">
          <cell r="B132">
            <v>13602</v>
          </cell>
          <cell r="C132" t="str">
            <v>SELLING EXPENSES (SAMPLES) (7420)</v>
          </cell>
          <cell r="D132">
            <v>10390694.519999998</v>
          </cell>
          <cell r="E132">
            <v>1200394.0000000002</v>
          </cell>
          <cell r="J132">
            <v>10390695</v>
          </cell>
          <cell r="K132">
            <v>1200394</v>
          </cell>
        </row>
        <row r="133">
          <cell r="B133">
            <v>13603</v>
          </cell>
          <cell r="C133" t="str">
            <v>ADVERTISEMENT (7430)</v>
          </cell>
          <cell r="D133">
            <v>10000</v>
          </cell>
          <cell r="E133">
            <v>15000</v>
          </cell>
          <cell r="J133">
            <v>10000</v>
          </cell>
          <cell r="K133">
            <v>15000</v>
          </cell>
        </row>
        <row r="134">
          <cell r="B134">
            <v>13604</v>
          </cell>
          <cell r="C134" t="str">
            <v>MEETING &amp; CONFERENCE EXPENSES (7435)</v>
          </cell>
          <cell r="D134">
            <v>849168.94</v>
          </cell>
          <cell r="E134">
            <v>28381</v>
          </cell>
          <cell r="J134">
            <v>849169</v>
          </cell>
          <cell r="K134">
            <v>28381</v>
          </cell>
        </row>
        <row r="135">
          <cell r="B135">
            <v>13605</v>
          </cell>
          <cell r="C135" t="str">
            <v>ENTERTAINMENT EXPENSES (7440)</v>
          </cell>
          <cell r="D135">
            <v>77784</v>
          </cell>
          <cell r="E135">
            <v>26366</v>
          </cell>
          <cell r="J135">
            <v>77784</v>
          </cell>
          <cell r="K135">
            <v>26366</v>
          </cell>
        </row>
        <row r="136">
          <cell r="B136">
            <v>13606</v>
          </cell>
          <cell r="C136" t="str">
            <v>SYSTEM EXPENSES (7445)</v>
          </cell>
          <cell r="D136">
            <v>2091389.5299999993</v>
          </cell>
          <cell r="E136">
            <v>69774.999999999971</v>
          </cell>
          <cell r="J136">
            <v>2091390</v>
          </cell>
          <cell r="K136">
            <v>69775</v>
          </cell>
        </row>
        <row r="137">
          <cell r="B137">
            <v>13607</v>
          </cell>
          <cell r="C137" t="str">
            <v>ISO EXPENSES (7455)</v>
          </cell>
          <cell r="D137">
            <v>23800</v>
          </cell>
          <cell r="E137">
            <v>99618</v>
          </cell>
          <cell r="J137">
            <v>23800</v>
          </cell>
          <cell r="K137">
            <v>99621</v>
          </cell>
        </row>
        <row r="138">
          <cell r="B138">
            <v>13608</v>
          </cell>
          <cell r="C138" t="str">
            <v>GENERAL EXPENSES (7470-71)</v>
          </cell>
          <cell r="D138">
            <v>1831166.9900000002</v>
          </cell>
          <cell r="E138">
            <v>1368715</v>
          </cell>
          <cell r="F138">
            <v>-1</v>
          </cell>
          <cell r="I138">
            <v>-15</v>
          </cell>
          <cell r="J138">
            <v>1831166</v>
          </cell>
          <cell r="K138">
            <v>1368700</v>
          </cell>
        </row>
        <row r="139">
          <cell r="B139">
            <v>13609</v>
          </cell>
          <cell r="C139" t="str">
            <v>GIFT &amp; PRESENTATION (7472-74)</v>
          </cell>
          <cell r="D139">
            <v>146510</v>
          </cell>
          <cell r="E139">
            <v>353090</v>
          </cell>
          <cell r="J139">
            <v>146510</v>
          </cell>
          <cell r="K139">
            <v>353090</v>
          </cell>
        </row>
        <row r="140">
          <cell r="B140">
            <v>13610</v>
          </cell>
          <cell r="C140" t="str">
            <v>CORPORATE EXPENSES (CENTRAL SERVICES) (7475)</v>
          </cell>
          <cell r="D140">
            <v>-39465000</v>
          </cell>
          <cell r="E140">
            <v>27183000</v>
          </cell>
          <cell r="J140">
            <v>-39465000</v>
          </cell>
          <cell r="K140">
            <v>27183000</v>
          </cell>
        </row>
        <row r="141">
          <cell r="B141">
            <v>13611</v>
          </cell>
          <cell r="C141" t="str">
            <v>STAFF TRAINING (7480)</v>
          </cell>
          <cell r="D141">
            <v>433850</v>
          </cell>
          <cell r="E141">
            <v>10500</v>
          </cell>
          <cell r="J141">
            <v>433850</v>
          </cell>
          <cell r="K141">
            <v>10500</v>
          </cell>
        </row>
        <row r="142">
          <cell r="B142">
            <v>13612</v>
          </cell>
          <cell r="C142" t="str">
            <v>RECRUITMENT EXPENSES (7485)</v>
          </cell>
          <cell r="D142">
            <v>40511</v>
          </cell>
          <cell r="E142">
            <v>92904.719999999972</v>
          </cell>
          <cell r="J142">
            <v>40511</v>
          </cell>
          <cell r="K142">
            <v>92905</v>
          </cell>
        </row>
        <row r="143">
          <cell r="B143">
            <v>13613</v>
          </cell>
          <cell r="C143" t="str">
            <v>COURSES &amp; CONFERENCE EXP (7490)</v>
          </cell>
          <cell r="D143">
            <v>677839</v>
          </cell>
          <cell r="E143">
            <v>1222304</v>
          </cell>
          <cell r="J143">
            <v>677839</v>
          </cell>
          <cell r="K143">
            <v>1222304</v>
          </cell>
        </row>
        <row r="144">
          <cell r="B144">
            <v>13639</v>
          </cell>
          <cell r="C144" t="str">
            <v>DONATIONS (7505)</v>
          </cell>
          <cell r="D144">
            <v>2035000</v>
          </cell>
          <cell r="E144">
            <v>0</v>
          </cell>
          <cell r="J144">
            <v>2035000</v>
          </cell>
          <cell r="K144">
            <v>0</v>
          </cell>
        </row>
        <row r="145">
          <cell r="B145">
            <v>13672</v>
          </cell>
          <cell r="C145" t="str">
            <v>LOSS ON SALE OF ASSETS (7450)</v>
          </cell>
          <cell r="D145">
            <v>0</v>
          </cell>
          <cell r="E145">
            <v>0</v>
          </cell>
          <cell r="J145">
            <v>0</v>
          </cell>
          <cell r="K145">
            <v>0</v>
          </cell>
        </row>
        <row r="146">
          <cell r="B146">
            <v>13704</v>
          </cell>
          <cell r="C146" t="str">
            <v>SCREEN PRINTING CHARGES (6230)</v>
          </cell>
          <cell r="D146">
            <v>0</v>
          </cell>
          <cell r="E146">
            <v>18107275</v>
          </cell>
          <cell r="J146">
            <v>0</v>
          </cell>
          <cell r="K146">
            <v>18107275</v>
          </cell>
        </row>
        <row r="147">
          <cell r="B147">
            <v>13738</v>
          </cell>
          <cell r="C147" t="str">
            <v>REALISED GAIN/LOSS ON EXCHANGE (5195)</v>
          </cell>
          <cell r="D147">
            <v>-3475489.85</v>
          </cell>
          <cell r="E147">
            <v>6656856.8800000101</v>
          </cell>
          <cell r="J147">
            <v>-3475490</v>
          </cell>
          <cell r="K147">
            <v>6656857</v>
          </cell>
        </row>
        <row r="148">
          <cell r="B148">
            <v>13739</v>
          </cell>
          <cell r="C148" t="str">
            <v>UNREALISED GAIN/LOSS ON EXCHANGE (5200)</v>
          </cell>
          <cell r="D148">
            <v>1038899.19</v>
          </cell>
          <cell r="E148">
            <v>-2079158.5899999999</v>
          </cell>
          <cell r="J148">
            <v>1038899</v>
          </cell>
          <cell r="K148">
            <v>-2079159</v>
          </cell>
        </row>
        <row r="149">
          <cell r="B149">
            <v>13740</v>
          </cell>
          <cell r="C149" t="str">
            <v>ROUND OFF DIFF IN F CURRENCY (SYS)</v>
          </cell>
          <cell r="D149">
            <v>394637.50000000023</v>
          </cell>
          <cell r="E149">
            <v>97140.019999999946</v>
          </cell>
          <cell r="J149">
            <v>394638</v>
          </cell>
          <cell r="K149">
            <v>97140</v>
          </cell>
        </row>
        <row r="150">
          <cell r="B150">
            <v>13752</v>
          </cell>
          <cell r="C150" t="str">
            <v>OPENING STOCK OF FINISHED GOODS</v>
          </cell>
          <cell r="D150">
            <v>36677104</v>
          </cell>
          <cell r="E150">
            <v>17830652</v>
          </cell>
          <cell r="J150">
            <v>36677104</v>
          </cell>
          <cell r="K150">
            <v>17830652</v>
          </cell>
        </row>
        <row r="151">
          <cell r="B151">
            <v>13753</v>
          </cell>
          <cell r="C151" t="str">
            <v>OPENING STOCKS OF WIP</v>
          </cell>
          <cell r="D151">
            <v>17474851</v>
          </cell>
          <cell r="E151">
            <v>26766530</v>
          </cell>
          <cell r="J151">
            <v>17474851</v>
          </cell>
          <cell r="K151">
            <v>26766530</v>
          </cell>
        </row>
        <row r="152">
          <cell r="B152">
            <v>13756</v>
          </cell>
          <cell r="C152" t="str">
            <v>CLOSING STOCK OF FG (P&amp;L)</v>
          </cell>
          <cell r="D152">
            <v>-33857101</v>
          </cell>
          <cell r="E152">
            <v>-16961544</v>
          </cell>
          <cell r="J152">
            <v>-33857101</v>
          </cell>
          <cell r="K152">
            <v>-16961544</v>
          </cell>
        </row>
        <row r="153">
          <cell r="B153">
            <v>13757</v>
          </cell>
          <cell r="C153" t="str">
            <v>CLOSING STOCK OF WIP (P&amp;L)</v>
          </cell>
          <cell r="D153">
            <v>-15053266</v>
          </cell>
          <cell r="E153">
            <v>-16390687</v>
          </cell>
          <cell r="J153">
            <v>-15053266</v>
          </cell>
          <cell r="K153">
            <v>-16390687</v>
          </cell>
        </row>
        <row r="154">
          <cell r="B154">
            <v>13773</v>
          </cell>
          <cell r="C154" t="str">
            <v>BANK CHARGES (7520-22)</v>
          </cell>
          <cell r="D154">
            <v>2231378.0999999987</v>
          </cell>
          <cell r="E154">
            <v>374072.73000000045</v>
          </cell>
          <cell r="J154">
            <v>2231378</v>
          </cell>
          <cell r="K154">
            <v>374073</v>
          </cell>
        </row>
        <row r="155">
          <cell r="B155">
            <v>13853</v>
          </cell>
          <cell r="C155" t="str">
            <v>INTEREST ON WORKING CAPITAL (7610,15,20,25)</v>
          </cell>
          <cell r="D155">
            <v>31561255.529999997</v>
          </cell>
          <cell r="E155">
            <v>1910.1000000000058</v>
          </cell>
          <cell r="J155">
            <v>31561256</v>
          </cell>
          <cell r="K155">
            <v>1910</v>
          </cell>
        </row>
        <row r="156">
          <cell r="B156">
            <v>13854</v>
          </cell>
          <cell r="C156" t="str">
            <v>INTEREST ON TERM LOAN (7630)</v>
          </cell>
          <cell r="D156">
            <v>8881214.6199999992</v>
          </cell>
          <cell r="E156">
            <v>0</v>
          </cell>
          <cell r="J156">
            <v>8881215</v>
          </cell>
          <cell r="K156">
            <v>0</v>
          </cell>
        </row>
        <row r="157">
          <cell r="B157">
            <v>13855</v>
          </cell>
          <cell r="C157" t="str">
            <v>OTHER INTEREST (7640)</v>
          </cell>
          <cell r="D157">
            <v>193403</v>
          </cell>
          <cell r="E157">
            <v>292341.00000000023</v>
          </cell>
          <cell r="J157">
            <v>193403</v>
          </cell>
          <cell r="K157">
            <v>292341</v>
          </cell>
        </row>
        <row r="158">
          <cell r="B158">
            <v>13858</v>
          </cell>
          <cell r="C158" t="str">
            <v>INTEREST ON CURRENT ACCOUNTS (7645)</v>
          </cell>
          <cell r="D158">
            <v>-31426000</v>
          </cell>
          <cell r="E158">
            <v>19216000</v>
          </cell>
          <cell r="J158">
            <v>-31426000</v>
          </cell>
          <cell r="K158">
            <v>19216000</v>
          </cell>
        </row>
        <row r="159">
          <cell r="B159">
            <v>13887</v>
          </cell>
          <cell r="C159" t="str">
            <v>DEPRECIATION - ENABLING ASSETS (7700)</v>
          </cell>
          <cell r="D159">
            <v>25606991</v>
          </cell>
          <cell r="E159">
            <v>14867119</v>
          </cell>
          <cell r="J159">
            <v>25606991</v>
          </cell>
          <cell r="K159">
            <v>14867119</v>
          </cell>
        </row>
        <row r="160">
          <cell r="B160">
            <v>13920</v>
          </cell>
          <cell r="C160" t="str">
            <v>INCOME TAX (8910)</v>
          </cell>
          <cell r="D160">
            <v>0</v>
          </cell>
          <cell r="E160">
            <v>0</v>
          </cell>
          <cell r="G160">
            <v>36300000</v>
          </cell>
          <cell r="H160">
            <v>0</v>
          </cell>
          <cell r="J160">
            <v>36300000</v>
          </cell>
          <cell r="K160">
            <v>0</v>
          </cell>
        </row>
        <row r="161">
          <cell r="B161">
            <v>13929</v>
          </cell>
          <cell r="C161" t="str">
            <v>DEFFERED TAX (P&amp;L) (8912)</v>
          </cell>
          <cell r="D161">
            <v>0</v>
          </cell>
          <cell r="E161">
            <v>0</v>
          </cell>
          <cell r="G161">
            <v>904252</v>
          </cell>
          <cell r="H161">
            <v>0</v>
          </cell>
          <cell r="J161">
            <v>904252</v>
          </cell>
          <cell r="K161">
            <v>0</v>
          </cell>
        </row>
        <row r="162">
          <cell r="B162">
            <v>13962</v>
          </cell>
          <cell r="C162" t="str">
            <v>PROPOSED DIVIDEND (8000)</v>
          </cell>
          <cell r="D162">
            <v>0</v>
          </cell>
          <cell r="E162">
            <v>0</v>
          </cell>
          <cell r="J162">
            <v>0</v>
          </cell>
          <cell r="K162">
            <v>0</v>
          </cell>
        </row>
        <row r="163">
          <cell r="B163">
            <v>13963</v>
          </cell>
          <cell r="C163" t="str">
            <v>DISTRIBUTION TAX (8050)</v>
          </cell>
          <cell r="D163">
            <v>0</v>
          </cell>
          <cell r="E163">
            <v>0</v>
          </cell>
          <cell r="J163">
            <v>0</v>
          </cell>
          <cell r="K163">
            <v>0</v>
          </cell>
        </row>
        <row r="164">
          <cell r="B164">
            <v>14005</v>
          </cell>
          <cell r="C164" t="str">
            <v>SHARE CAPITAL (1000)</v>
          </cell>
          <cell r="D164">
            <v>-179520140</v>
          </cell>
          <cell r="E164">
            <v>0</v>
          </cell>
          <cell r="J164">
            <v>-179520140</v>
          </cell>
          <cell r="K164">
            <v>0</v>
          </cell>
        </row>
        <row r="165">
          <cell r="B165">
            <v>14006</v>
          </cell>
          <cell r="C165" t="str">
            <v>FOREFITED SHARES (1004)</v>
          </cell>
          <cell r="D165">
            <v>-114000</v>
          </cell>
          <cell r="E165">
            <v>0</v>
          </cell>
          <cell r="J165">
            <v>-114000</v>
          </cell>
          <cell r="K165">
            <v>0</v>
          </cell>
        </row>
        <row r="166">
          <cell r="B166">
            <v>14015</v>
          </cell>
          <cell r="C166" t="str">
            <v>CAPITAL RESERVE (1015)</v>
          </cell>
          <cell r="D166">
            <v>-720125</v>
          </cell>
          <cell r="E166">
            <v>0</v>
          </cell>
          <cell r="J166">
            <v>-720125</v>
          </cell>
          <cell r="K166">
            <v>0</v>
          </cell>
        </row>
        <row r="167">
          <cell r="B167">
            <v>14018</v>
          </cell>
          <cell r="C167" t="str">
            <v>SHARE PREMIUM (1030)</v>
          </cell>
          <cell r="D167">
            <v>-321591974.56000006</v>
          </cell>
          <cell r="E167">
            <v>0</v>
          </cell>
          <cell r="J167">
            <v>-321591975</v>
          </cell>
          <cell r="K167">
            <v>0</v>
          </cell>
        </row>
        <row r="168">
          <cell r="B168">
            <v>14019</v>
          </cell>
          <cell r="C168" t="str">
            <v>FOREFITED SHARE PREMIUM ACCOUNT (1032)</v>
          </cell>
          <cell r="D168">
            <v>-171000</v>
          </cell>
          <cell r="E168">
            <v>0</v>
          </cell>
          <cell r="J168">
            <v>-171000</v>
          </cell>
          <cell r="K168">
            <v>0</v>
          </cell>
        </row>
        <row r="169">
          <cell r="B169">
            <v>14026</v>
          </cell>
          <cell r="C169" t="str">
            <v>GENERAL RESERVE (1010)</v>
          </cell>
          <cell r="D169">
            <v>-32840480.299999997</v>
          </cell>
          <cell r="E169">
            <v>0</v>
          </cell>
          <cell r="G169">
            <v>0</v>
          </cell>
          <cell r="J169">
            <v>-32840480</v>
          </cell>
          <cell r="K169">
            <v>0</v>
          </cell>
        </row>
        <row r="170">
          <cell r="B170">
            <v>14033</v>
          </cell>
          <cell r="C170" t="str">
            <v>PROFIT AND LOSS ACCOUNT (1050)</v>
          </cell>
          <cell r="D170">
            <v>-209006195.99999991</v>
          </cell>
          <cell r="E170">
            <v>-191686773</v>
          </cell>
          <cell r="H170">
            <v>0</v>
          </cell>
          <cell r="J170">
            <v>-209006196</v>
          </cell>
          <cell r="K170">
            <v>-191686773</v>
          </cell>
        </row>
        <row r="171">
          <cell r="B171">
            <v>14034</v>
          </cell>
          <cell r="C171" t="str">
            <v>YEAR END RESULTS</v>
          </cell>
          <cell r="D171">
            <v>-7941769.6300003529</v>
          </cell>
          <cell r="E171">
            <v>-60688294.579998851</v>
          </cell>
          <cell r="J171">
            <v>-7941770</v>
          </cell>
          <cell r="K171">
            <v>-60688295</v>
          </cell>
        </row>
        <row r="172">
          <cell r="B172">
            <v>14070</v>
          </cell>
          <cell r="C172" t="str">
            <v>CASH CREDIT - BOI (21049) (0510)</v>
          </cell>
          <cell r="D172">
            <v>1139365900.2399998</v>
          </cell>
          <cell r="E172">
            <v>-1185912245.54</v>
          </cell>
          <cell r="J172">
            <v>1139365900</v>
          </cell>
          <cell r="K172">
            <v>-1185912246</v>
          </cell>
        </row>
        <row r="173">
          <cell r="B173">
            <v>14072</v>
          </cell>
          <cell r="C173" t="str">
            <v>PACKING CREDIT [BOI] (0520)</v>
          </cell>
          <cell r="D173">
            <v>-7750000</v>
          </cell>
          <cell r="E173">
            <v>0</v>
          </cell>
          <cell r="J173">
            <v>-7750000</v>
          </cell>
          <cell r="K173">
            <v>0</v>
          </cell>
        </row>
        <row r="174">
          <cell r="B174">
            <v>14079</v>
          </cell>
          <cell r="C174" t="str">
            <v>CASH CREDIT - HSBC (005-464698-001) (0600)</v>
          </cell>
          <cell r="D174">
            <v>-31157387.300000012</v>
          </cell>
          <cell r="E174">
            <v>22376362.790000003</v>
          </cell>
          <cell r="J174">
            <v>-31157387</v>
          </cell>
          <cell r="K174">
            <v>22376363</v>
          </cell>
        </row>
        <row r="175">
          <cell r="B175">
            <v>14080</v>
          </cell>
          <cell r="C175" t="str">
            <v>CASH CREDIT - HSBC (005-464698-002)</v>
          </cell>
          <cell r="D175">
            <v>-230131375.8499999</v>
          </cell>
          <cell r="E175">
            <v>221942479.19999963</v>
          </cell>
          <cell r="J175">
            <v>-230131376</v>
          </cell>
          <cell r="K175">
            <v>221942479</v>
          </cell>
        </row>
        <row r="176">
          <cell r="B176">
            <v>14082</v>
          </cell>
          <cell r="C176" t="str">
            <v>DEMAND LOAN - HSBC (0630)</v>
          </cell>
          <cell r="D176">
            <v>-190000000</v>
          </cell>
          <cell r="E176">
            <v>0</v>
          </cell>
          <cell r="J176">
            <v>-190000000</v>
          </cell>
          <cell r="K176">
            <v>0</v>
          </cell>
        </row>
        <row r="177">
          <cell r="B177">
            <v>14083</v>
          </cell>
          <cell r="C177" t="str">
            <v>PACKING CREDIT - HSBC (0610)</v>
          </cell>
          <cell r="D177">
            <v>-24522617.370000005</v>
          </cell>
          <cell r="E177">
            <v>0</v>
          </cell>
          <cell r="J177">
            <v>-24522617</v>
          </cell>
          <cell r="K177">
            <v>0</v>
          </cell>
        </row>
        <row r="178">
          <cell r="B178">
            <v>14114</v>
          </cell>
          <cell r="C178" t="str">
            <v>TERM LOAN (0810, 0815)</v>
          </cell>
          <cell r="D178">
            <v>-17523812.330000013</v>
          </cell>
          <cell r="E178">
            <v>-29999997.950000003</v>
          </cell>
          <cell r="J178">
            <v>-17523812</v>
          </cell>
          <cell r="K178">
            <v>-29999998</v>
          </cell>
        </row>
        <row r="179">
          <cell r="B179">
            <v>14126</v>
          </cell>
          <cell r="C179" t="str">
            <v>LOAN FROM - BL &amp; CO. (1225)</v>
          </cell>
          <cell r="D179">
            <v>-181791984</v>
          </cell>
          <cell r="E179">
            <v>0</v>
          </cell>
          <cell r="J179">
            <v>-181791984</v>
          </cell>
          <cell r="K179">
            <v>0</v>
          </cell>
        </row>
        <row r="180">
          <cell r="B180">
            <v>14142</v>
          </cell>
          <cell r="C180" t="str">
            <v>VEHICLE LOAN FROM BANK (0813)</v>
          </cell>
          <cell r="D180">
            <v>-1881213</v>
          </cell>
          <cell r="E180">
            <v>117609</v>
          </cell>
          <cell r="J180">
            <v>-1881213</v>
          </cell>
          <cell r="K180">
            <v>117609</v>
          </cell>
        </row>
        <row r="181">
          <cell r="B181">
            <v>14143</v>
          </cell>
          <cell r="C181" t="str">
            <v>INTEREST ACCRUED &amp; DUE ON LOAN</v>
          </cell>
          <cell r="D181">
            <v>0</v>
          </cell>
          <cell r="E181">
            <v>0</v>
          </cell>
          <cell r="J181">
            <v>0</v>
          </cell>
          <cell r="K181">
            <v>0</v>
          </cell>
        </row>
        <row r="182">
          <cell r="B182">
            <v>14233</v>
          </cell>
          <cell r="C182" t="str">
            <v>LOAN FROM -GREIF (1220)</v>
          </cell>
          <cell r="D182">
            <v>0</v>
          </cell>
          <cell r="E182">
            <v>0</v>
          </cell>
          <cell r="J182">
            <v>0</v>
          </cell>
          <cell r="K182">
            <v>0</v>
          </cell>
        </row>
        <row r="183">
          <cell r="B183">
            <v>14235</v>
          </cell>
          <cell r="C183" t="str">
            <v>LOAN FROM BANKS (UNSECURED-RBS) (1226)</v>
          </cell>
          <cell r="D183">
            <v>0</v>
          </cell>
          <cell r="E183">
            <v>0</v>
          </cell>
          <cell r="J183">
            <v>0</v>
          </cell>
          <cell r="K183">
            <v>0</v>
          </cell>
        </row>
        <row r="184">
          <cell r="B184">
            <v>14236</v>
          </cell>
          <cell r="C184" t="str">
            <v>LOAN FROM OTHERS (UNSECURED)</v>
          </cell>
          <cell r="D184">
            <v>0</v>
          </cell>
          <cell r="E184">
            <v>0</v>
          </cell>
          <cell r="J184">
            <v>0</v>
          </cell>
          <cell r="K184">
            <v>0</v>
          </cell>
        </row>
        <row r="185">
          <cell r="B185">
            <v>14274</v>
          </cell>
          <cell r="C185" t="str">
            <v>INTER UNIT A/C - (0200-206,0608,)</v>
          </cell>
          <cell r="D185">
            <v>3736183622.9600005</v>
          </cell>
          <cell r="E185">
            <v>-2822704596.7700005</v>
          </cell>
          <cell r="J185">
            <v>3736183623</v>
          </cell>
          <cell r="K185">
            <v>-2822704597</v>
          </cell>
        </row>
        <row r="186">
          <cell r="B186">
            <v>14275</v>
          </cell>
          <cell r="C186" t="str">
            <v>INTER UNIT A/C - PAyable</v>
          </cell>
          <cell r="D186">
            <v>-12528453.510000058</v>
          </cell>
          <cell r="E186">
            <v>-866042724.87999988</v>
          </cell>
          <cell r="H186">
            <v>0</v>
          </cell>
          <cell r="J186">
            <v>-12528454</v>
          </cell>
          <cell r="K186">
            <v>-866042725</v>
          </cell>
        </row>
        <row r="187">
          <cell r="B187">
            <v>14276</v>
          </cell>
          <cell r="C187" t="str">
            <v>INTER UNIT-CHENNAI DIVISION</v>
          </cell>
          <cell r="D187">
            <v>-867356936.35999966</v>
          </cell>
          <cell r="E187">
            <v>1079325976.0699997</v>
          </cell>
          <cell r="J187">
            <v>-867356936</v>
          </cell>
          <cell r="K187">
            <v>1079325976</v>
          </cell>
        </row>
        <row r="188">
          <cell r="B188">
            <v>14277</v>
          </cell>
          <cell r="C188" t="str">
            <v>INTER UNIT-DEHARADUN DIVISION</v>
          </cell>
          <cell r="D188">
            <v>-87186819.679999992</v>
          </cell>
          <cell r="E188">
            <v>331744485.04999995</v>
          </cell>
          <cell r="J188">
            <v>-87186820</v>
          </cell>
          <cell r="K188">
            <v>331744485</v>
          </cell>
        </row>
        <row r="189">
          <cell r="B189">
            <v>14287</v>
          </cell>
          <cell r="C189" t="str">
            <v>DEFFERED TAX (LIAB) (</v>
          </cell>
          <cell r="D189">
            <v>-41110284</v>
          </cell>
          <cell r="E189">
            <v>0</v>
          </cell>
          <cell r="G189">
            <v>-904252</v>
          </cell>
          <cell r="H189">
            <v>0</v>
          </cell>
          <cell r="J189">
            <v>-42014536</v>
          </cell>
          <cell r="K189">
            <v>0</v>
          </cell>
        </row>
        <row r="190">
          <cell r="B190">
            <v>14288</v>
          </cell>
          <cell r="C190" t="str">
            <v>DEFFERED TAX ASSETS</v>
          </cell>
          <cell r="D190">
            <v>14822407</v>
          </cell>
          <cell r="E190">
            <v>0</v>
          </cell>
          <cell r="J190">
            <v>14822407</v>
          </cell>
          <cell r="K190">
            <v>0</v>
          </cell>
        </row>
        <row r="191">
          <cell r="B191">
            <v>14302</v>
          </cell>
          <cell r="C191" t="str">
            <v>FORWARD CONTRACT RECEIVABLE ACCOUNT</v>
          </cell>
          <cell r="D191">
            <v>0</v>
          </cell>
          <cell r="E191">
            <v>123865421.5999999</v>
          </cell>
          <cell r="J191">
            <v>0</v>
          </cell>
          <cell r="K191">
            <v>123865422</v>
          </cell>
        </row>
        <row r="192">
          <cell r="B192">
            <v>14303</v>
          </cell>
          <cell r="C192" t="str">
            <v>DEFERRED PREMIUM ACCOUNT</v>
          </cell>
          <cell r="D192">
            <v>0</v>
          </cell>
          <cell r="E192">
            <v>1118223.1999999993</v>
          </cell>
          <cell r="J192">
            <v>0</v>
          </cell>
          <cell r="K192">
            <v>1118223</v>
          </cell>
        </row>
        <row r="193">
          <cell r="B193">
            <v>14304</v>
          </cell>
          <cell r="C193" t="str">
            <v>FORWARD CONTRACT PAYABLE</v>
          </cell>
          <cell r="D193">
            <v>0</v>
          </cell>
          <cell r="E193">
            <v>-128164944.20000005</v>
          </cell>
          <cell r="J193">
            <v>0</v>
          </cell>
          <cell r="K193">
            <v>-128164944</v>
          </cell>
        </row>
        <row r="194">
          <cell r="B194">
            <v>14305</v>
          </cell>
          <cell r="C194" t="str">
            <v>PREMIUM ON FORWARD CONTRACT ACCOUNT</v>
          </cell>
          <cell r="D194">
            <v>0</v>
          </cell>
          <cell r="E194">
            <v>5910925.4000000004</v>
          </cell>
          <cell r="J194">
            <v>0</v>
          </cell>
          <cell r="K194">
            <v>5910925</v>
          </cell>
        </row>
        <row r="195">
          <cell r="B195">
            <v>15001</v>
          </cell>
          <cell r="C195" t="str">
            <v>FIXED ASSETS: ()</v>
          </cell>
          <cell r="D195">
            <v>304886</v>
          </cell>
          <cell r="E195">
            <v>18500</v>
          </cell>
          <cell r="J195">
            <v>304886</v>
          </cell>
          <cell r="K195">
            <v>18500</v>
          </cell>
        </row>
        <row r="196">
          <cell r="B196">
            <v>15008</v>
          </cell>
          <cell r="C196" t="str">
            <v>COMPUTERS (GB)</v>
          </cell>
          <cell r="D196">
            <v>30000</v>
          </cell>
          <cell r="E196">
            <v>0</v>
          </cell>
          <cell r="J196">
            <v>30000</v>
          </cell>
          <cell r="K196">
            <v>0</v>
          </cell>
        </row>
        <row r="197">
          <cell r="B197">
            <v>15012</v>
          </cell>
          <cell r="C197" t="str">
            <v>FIXED ASSETS- GROSS BLOCK</v>
          </cell>
          <cell r="D197">
            <v>601320462.67000008</v>
          </cell>
          <cell r="E197">
            <v>714548065.46000004</v>
          </cell>
          <cell r="J197">
            <v>601320463</v>
          </cell>
          <cell r="K197">
            <v>714548065</v>
          </cell>
        </row>
        <row r="198">
          <cell r="B198">
            <v>15027</v>
          </cell>
          <cell r="C198" t="str">
            <v>ACCUMLATED DEPRECIATION COMPUTERS</v>
          </cell>
          <cell r="D198">
            <v>0</v>
          </cell>
          <cell r="E198">
            <v>0</v>
          </cell>
          <cell r="J198">
            <v>0</v>
          </cell>
          <cell r="K198">
            <v>0</v>
          </cell>
        </row>
        <row r="199">
          <cell r="B199">
            <v>15028</v>
          </cell>
          <cell r="C199" t="str">
            <v>ACCUMLATED DEPRECIATION FURNITURE &amp; FITTINGS</v>
          </cell>
          <cell r="D199">
            <v>0</v>
          </cell>
          <cell r="E199">
            <v>0</v>
          </cell>
          <cell r="J199">
            <v>0</v>
          </cell>
          <cell r="K199">
            <v>0</v>
          </cell>
        </row>
        <row r="200">
          <cell r="B200">
            <v>15031</v>
          </cell>
          <cell r="C200" t="str">
            <v>ACCUMLATED DEPRECIATION</v>
          </cell>
          <cell r="D200">
            <v>-309771098.05000007</v>
          </cell>
          <cell r="E200">
            <v>-553980077.37000012</v>
          </cell>
          <cell r="G200">
            <v>551</v>
          </cell>
          <cell r="J200">
            <v>-309770547</v>
          </cell>
          <cell r="K200">
            <v>-553980077</v>
          </cell>
        </row>
        <row r="201">
          <cell r="B201">
            <v>15044</v>
          </cell>
          <cell r="C201" t="str">
            <v>CWIP - BUILDLING</v>
          </cell>
          <cell r="D201">
            <v>6582632.0800000019</v>
          </cell>
          <cell r="E201">
            <v>3602607.99</v>
          </cell>
          <cell r="J201">
            <v>6582632</v>
          </cell>
          <cell r="K201">
            <v>3602608</v>
          </cell>
        </row>
        <row r="202">
          <cell r="B202">
            <v>15045</v>
          </cell>
          <cell r="C202" t="str">
            <v>CWIP - PLANT &amp; MACHINERY</v>
          </cell>
          <cell r="D202">
            <v>31247352.559999987</v>
          </cell>
          <cell r="E202">
            <v>16298647.689999998</v>
          </cell>
          <cell r="J202">
            <v>31247353</v>
          </cell>
          <cell r="K202">
            <v>16298648</v>
          </cell>
        </row>
        <row r="203">
          <cell r="B203">
            <v>15046</v>
          </cell>
          <cell r="C203" t="str">
            <v>CWIP - COMPUTERS</v>
          </cell>
          <cell r="D203">
            <v>3105758.7699999996</v>
          </cell>
          <cell r="E203">
            <v>98698.649999999965</v>
          </cell>
          <cell r="J203">
            <v>3105759</v>
          </cell>
          <cell r="K203">
            <v>98699</v>
          </cell>
        </row>
        <row r="204">
          <cell r="B204">
            <v>15047</v>
          </cell>
          <cell r="C204" t="str">
            <v>CWIP - FURNITURE &amp; FITTINGS</v>
          </cell>
          <cell r="D204">
            <v>0.25</v>
          </cell>
          <cell r="E204">
            <v>0</v>
          </cell>
          <cell r="J204">
            <v>0</v>
          </cell>
          <cell r="K204">
            <v>0</v>
          </cell>
        </row>
        <row r="205">
          <cell r="B205">
            <v>15049</v>
          </cell>
          <cell r="C205" t="str">
            <v>CAPITAL ADVANCES</v>
          </cell>
          <cell r="D205">
            <v>0</v>
          </cell>
          <cell r="E205">
            <v>0</v>
          </cell>
          <cell r="J205">
            <v>0</v>
          </cell>
          <cell r="K205">
            <v>0</v>
          </cell>
        </row>
        <row r="206">
          <cell r="B206">
            <v>15050</v>
          </cell>
          <cell r="C206" t="str">
            <v>CWIP</v>
          </cell>
          <cell r="D206">
            <v>-26473599.530000001</v>
          </cell>
          <cell r="E206">
            <v>-2142651.5900000036</v>
          </cell>
          <cell r="J206">
            <v>-26473600</v>
          </cell>
          <cell r="K206">
            <v>-2142652</v>
          </cell>
        </row>
        <row r="207">
          <cell r="B207">
            <v>15062</v>
          </cell>
          <cell r="C207" t="str">
            <v>INVESTMENTS</v>
          </cell>
          <cell r="D207">
            <v>444291837</v>
          </cell>
          <cell r="E207">
            <v>0</v>
          </cell>
          <cell r="J207">
            <v>444291837</v>
          </cell>
          <cell r="K207">
            <v>0</v>
          </cell>
        </row>
        <row r="208">
          <cell r="B208">
            <v>15071</v>
          </cell>
          <cell r="C208" t="str">
            <v>PURCHASE A/C - STORES, SPARES CONSUMABLES STOCK</v>
          </cell>
          <cell r="D208">
            <v>39820693.899999976</v>
          </cell>
          <cell r="E208">
            <v>21269776.309999987</v>
          </cell>
          <cell r="J208">
            <v>39820694</v>
          </cell>
          <cell r="K208">
            <v>21269776</v>
          </cell>
        </row>
        <row r="209">
          <cell r="B209">
            <v>15072</v>
          </cell>
          <cell r="C209" t="str">
            <v>STORES SPARES NOT W/OFF</v>
          </cell>
          <cell r="D209">
            <v>0</v>
          </cell>
          <cell r="E209">
            <v>75505</v>
          </cell>
          <cell r="J209">
            <v>0</v>
          </cell>
          <cell r="K209">
            <v>75505</v>
          </cell>
        </row>
        <row r="210">
          <cell r="B210">
            <v>15075</v>
          </cell>
          <cell r="C210" t="str">
            <v>PURCHASE A/C - RAW MATERIALS</v>
          </cell>
          <cell r="D210">
            <v>7017348.8200000003</v>
          </cell>
          <cell r="E210">
            <v>0</v>
          </cell>
          <cell r="J210">
            <v>7017349</v>
          </cell>
          <cell r="K210">
            <v>0</v>
          </cell>
        </row>
        <row r="211">
          <cell r="B211">
            <v>15076</v>
          </cell>
          <cell r="C211" t="str">
            <v>CLOSING STOCK OF RAW MATERIALS (BS 2012-13)</v>
          </cell>
          <cell r="D211">
            <v>28821503.960000038</v>
          </cell>
          <cell r="E211">
            <v>89564837.140000105</v>
          </cell>
          <cell r="G211">
            <v>0</v>
          </cell>
          <cell r="H211">
            <v>-2500000</v>
          </cell>
          <cell r="J211">
            <v>28821504</v>
          </cell>
          <cell r="K211">
            <v>87064837</v>
          </cell>
        </row>
        <row r="212">
          <cell r="B212">
            <v>15078</v>
          </cell>
          <cell r="C212" t="str">
            <v>PURCHASE, PACKING SLIP (PENDING GRN)(NET OFF WITH 15429)</v>
          </cell>
          <cell r="D212">
            <v>1005299.1499998569</v>
          </cell>
          <cell r="E212">
            <v>76512</v>
          </cell>
          <cell r="J212">
            <v>1005299</v>
          </cell>
          <cell r="K212">
            <v>76512</v>
          </cell>
        </row>
        <row r="213">
          <cell r="B213">
            <v>15089</v>
          </cell>
          <cell r="C213" t="str">
            <v>GOODS-IN-TRANSIT (FG)</v>
          </cell>
          <cell r="D213">
            <v>0</v>
          </cell>
          <cell r="E213">
            <v>868597</v>
          </cell>
          <cell r="J213">
            <v>0</v>
          </cell>
          <cell r="K213">
            <v>868597</v>
          </cell>
        </row>
        <row r="214">
          <cell r="B214">
            <v>15090</v>
          </cell>
          <cell r="C214" t="str">
            <v>GOODS-IN-TRANSIT (RM)</v>
          </cell>
          <cell r="D214">
            <v>0</v>
          </cell>
          <cell r="E214">
            <v>-196174</v>
          </cell>
          <cell r="J214">
            <v>0</v>
          </cell>
          <cell r="K214">
            <v>-196174</v>
          </cell>
        </row>
        <row r="215">
          <cell r="B215">
            <v>15091</v>
          </cell>
          <cell r="C215" t="str">
            <v>TRANSFER ISSUE/RECEIPT A/C (GIT) RM</v>
          </cell>
          <cell r="D215">
            <v>2627569.3100004196</v>
          </cell>
          <cell r="E215">
            <v>-118900656.73999977</v>
          </cell>
          <cell r="J215">
            <v>2627569</v>
          </cell>
          <cell r="K215">
            <v>-118900657</v>
          </cell>
        </row>
        <row r="216">
          <cell r="B216">
            <v>15092</v>
          </cell>
          <cell r="C216" t="str">
            <v>UNREALISED PROFIT/LOSS ON TRANSFER</v>
          </cell>
          <cell r="D216">
            <v>306501.76999998093</v>
          </cell>
          <cell r="E216">
            <v>141168740.06000018</v>
          </cell>
          <cell r="J216">
            <v>306502</v>
          </cell>
          <cell r="K216">
            <v>141168740</v>
          </cell>
        </row>
        <row r="217">
          <cell r="B217">
            <v>15095</v>
          </cell>
          <cell r="C217" t="str">
            <v>TRANSFER ISSUE/RECEIPT A/C (GIT) FG</v>
          </cell>
          <cell r="D217">
            <v>-2945983.7200000286</v>
          </cell>
          <cell r="E217">
            <v>-22886793.960000038</v>
          </cell>
          <cell r="J217">
            <v>-2945984</v>
          </cell>
          <cell r="K217">
            <v>-22886794</v>
          </cell>
        </row>
        <row r="218">
          <cell r="B218">
            <v>15099</v>
          </cell>
          <cell r="C218" t="str">
            <v>PURCHASE A/C - PACKING MATERIALS STOCK (BS)</v>
          </cell>
          <cell r="D218">
            <v>13394821.399999991</v>
          </cell>
          <cell r="E218">
            <v>8372782.3500000015</v>
          </cell>
          <cell r="J218">
            <v>13394821</v>
          </cell>
          <cell r="K218">
            <v>8372782</v>
          </cell>
        </row>
        <row r="219">
          <cell r="B219">
            <v>15116</v>
          </cell>
          <cell r="C219" t="str">
            <v>FINISHED GOODS STOCK (BS)</v>
          </cell>
          <cell r="D219">
            <v>-13124738.049982905</v>
          </cell>
          <cell r="E219">
            <v>-26212074.320068359</v>
          </cell>
          <cell r="J219">
            <v>-13124738</v>
          </cell>
          <cell r="K219">
            <v>-26212074</v>
          </cell>
        </row>
        <row r="220">
          <cell r="B220">
            <v>15117</v>
          </cell>
          <cell r="C220" t="str">
            <v>FG STOCKS - EXCISE DUTY COMPONANT</v>
          </cell>
          <cell r="D220">
            <v>0</v>
          </cell>
          <cell r="E220">
            <v>0</v>
          </cell>
          <cell r="J220">
            <v>0</v>
          </cell>
          <cell r="K220">
            <v>0</v>
          </cell>
        </row>
        <row r="221">
          <cell r="B221">
            <v>15118</v>
          </cell>
          <cell r="C221" t="str">
            <v>CLOSING STOCK OF FG (BS-JV)</v>
          </cell>
          <cell r="D221">
            <v>33857101</v>
          </cell>
          <cell r="E221">
            <v>16961544</v>
          </cell>
          <cell r="J221">
            <v>33857101</v>
          </cell>
          <cell r="K221">
            <v>16961544</v>
          </cell>
        </row>
        <row r="222">
          <cell r="B222">
            <v>15119</v>
          </cell>
          <cell r="C222" t="str">
            <v>PACKING SLIP A/C (MATL ASSIGN YET TO DESPATCH [NET 15615])</v>
          </cell>
          <cell r="D222">
            <v>0</v>
          </cell>
          <cell r="E222">
            <v>-6</v>
          </cell>
          <cell r="J222">
            <v>0</v>
          </cell>
          <cell r="K222">
            <v>-6</v>
          </cell>
        </row>
        <row r="223">
          <cell r="B223">
            <v>15123</v>
          </cell>
          <cell r="C223" t="str">
            <v>SCRAP RECEIPT</v>
          </cell>
          <cell r="D223">
            <v>-5245931.17</v>
          </cell>
          <cell r="E223">
            <v>0</v>
          </cell>
          <cell r="J223">
            <v>-5245931</v>
          </cell>
          <cell r="K223">
            <v>0</v>
          </cell>
        </row>
        <row r="224">
          <cell r="B224">
            <v>15124</v>
          </cell>
          <cell r="C224" t="str">
            <v>PURCHASE, PACKING SLIP PROV FOR PENDING GRN WIP)</v>
          </cell>
          <cell r="D224">
            <v>0</v>
          </cell>
          <cell r="E224">
            <v>0</v>
          </cell>
          <cell r="J224">
            <v>0</v>
          </cell>
          <cell r="K224">
            <v>0</v>
          </cell>
        </row>
        <row r="225">
          <cell r="B225">
            <v>15130</v>
          </cell>
          <cell r="C225" t="str">
            <v>WORK IN PROCESS STOCK (BS)</v>
          </cell>
          <cell r="D225">
            <v>74086975.380004883</v>
          </cell>
          <cell r="E225">
            <v>169629604.90002441</v>
          </cell>
          <cell r="J225">
            <v>74086975</v>
          </cell>
          <cell r="K225">
            <v>169629605</v>
          </cell>
        </row>
        <row r="226">
          <cell r="B226">
            <v>15131</v>
          </cell>
          <cell r="C226" t="str">
            <v>CLOSING STOCK WIP (BS-JV)</v>
          </cell>
          <cell r="D226">
            <v>15053266</v>
          </cell>
          <cell r="E226">
            <v>16390687</v>
          </cell>
          <cell r="J226">
            <v>15053266</v>
          </cell>
          <cell r="K226">
            <v>16390687</v>
          </cell>
        </row>
        <row r="227">
          <cell r="B227">
            <v>15136</v>
          </cell>
          <cell r="C227" t="str">
            <v>SUNDRY DEBTORS - DOMESTIC</v>
          </cell>
          <cell r="D227">
            <v>67411470.119999811</v>
          </cell>
          <cell r="E227">
            <v>99107326.610000625</v>
          </cell>
          <cell r="J227">
            <v>67411470</v>
          </cell>
          <cell r="K227">
            <v>99107327</v>
          </cell>
        </row>
        <row r="228">
          <cell r="B228">
            <v>15137</v>
          </cell>
          <cell r="C228" t="str">
            <v>SUNDRY DEBTORS - FOREIGN</v>
          </cell>
          <cell r="D228">
            <v>61354361</v>
          </cell>
          <cell r="E228">
            <v>91056980.959999919</v>
          </cell>
          <cell r="J228">
            <v>61354361</v>
          </cell>
          <cell r="K228">
            <v>91056981</v>
          </cell>
        </row>
        <row r="229">
          <cell r="B229">
            <v>15138</v>
          </cell>
          <cell r="C229" t="str">
            <v>PROVISION FOR DOUBTFUL DEBTS</v>
          </cell>
          <cell r="D229">
            <v>-2641603.0200000005</v>
          </cell>
          <cell r="E229">
            <v>-1609180.0199999996</v>
          </cell>
          <cell r="J229">
            <v>-2641603</v>
          </cell>
          <cell r="K229">
            <v>-1609180</v>
          </cell>
        </row>
        <row r="230">
          <cell r="B230">
            <v>15139</v>
          </cell>
          <cell r="C230" t="str">
            <v>BRANCH SALES</v>
          </cell>
          <cell r="D230">
            <v>32625</v>
          </cell>
          <cell r="E230">
            <v>648968</v>
          </cell>
          <cell r="J230">
            <v>32625</v>
          </cell>
          <cell r="K230">
            <v>648968</v>
          </cell>
        </row>
        <row r="231">
          <cell r="B231">
            <v>15151</v>
          </cell>
          <cell r="C231" t="str">
            <v>CASH IN HAND</v>
          </cell>
          <cell r="D231">
            <v>-6267074.5800000019</v>
          </cell>
          <cell r="E231">
            <v>6328712.5799999982</v>
          </cell>
          <cell r="J231">
            <v>-6267075</v>
          </cell>
          <cell r="K231">
            <v>6328713</v>
          </cell>
        </row>
        <row r="232">
          <cell r="B232">
            <v>15152</v>
          </cell>
          <cell r="C232" t="str">
            <v>CHEQUES IN HAND</v>
          </cell>
          <cell r="D232">
            <v>1466075</v>
          </cell>
          <cell r="E232">
            <v>2276164</v>
          </cell>
          <cell r="J232">
            <v>1466075</v>
          </cell>
          <cell r="K232">
            <v>2276164</v>
          </cell>
        </row>
        <row r="233">
          <cell r="B233">
            <v>15155</v>
          </cell>
          <cell r="C233" t="str">
            <v>BOI TURHE (CURRENT A/C)</v>
          </cell>
          <cell r="D233">
            <v>-12753608.790000007</v>
          </cell>
          <cell r="E233">
            <v>12825392.729999959</v>
          </cell>
          <cell r="J233">
            <v>-12753609</v>
          </cell>
          <cell r="K233">
            <v>12825393</v>
          </cell>
        </row>
        <row r="234">
          <cell r="B234">
            <v>15156</v>
          </cell>
          <cell r="C234" t="str">
            <v>HSBC MG ROAD</v>
          </cell>
          <cell r="D234">
            <v>78255.539999999979</v>
          </cell>
          <cell r="E234">
            <v>0</v>
          </cell>
          <cell r="J234">
            <v>78256</v>
          </cell>
          <cell r="K234">
            <v>0</v>
          </cell>
        </row>
        <row r="235">
          <cell r="B235">
            <v>15157</v>
          </cell>
          <cell r="C235" t="str">
            <v>CORPORATION BANK</v>
          </cell>
          <cell r="D235">
            <v>1599981.7400000002</v>
          </cell>
          <cell r="E235">
            <v>-1599981.7399999946</v>
          </cell>
          <cell r="J235">
            <v>1599982</v>
          </cell>
          <cell r="K235">
            <v>-1599982</v>
          </cell>
        </row>
        <row r="236">
          <cell r="B236">
            <v>15158</v>
          </cell>
          <cell r="C236" t="str">
            <v>ICICI BANK (CURRENT A/C)</v>
          </cell>
          <cell r="D236">
            <v>9213786.3699999936</v>
          </cell>
          <cell r="E236">
            <v>-9068871</v>
          </cell>
          <cell r="J236">
            <v>9213786</v>
          </cell>
          <cell r="K236">
            <v>-9068871</v>
          </cell>
        </row>
        <row r="237">
          <cell r="B237">
            <v>15159</v>
          </cell>
          <cell r="C237" t="str">
            <v>SBT- BANK</v>
          </cell>
          <cell r="D237">
            <v>-6018214</v>
          </cell>
          <cell r="E237">
            <v>6148228.0200000033</v>
          </cell>
          <cell r="J237">
            <v>-6018214</v>
          </cell>
          <cell r="K237">
            <v>6148228</v>
          </cell>
        </row>
        <row r="238">
          <cell r="B238">
            <v>15160</v>
          </cell>
          <cell r="C238" t="str">
            <v>HDFC (CURRENT A/C)</v>
          </cell>
          <cell r="D238">
            <v>-154237.39999999944</v>
          </cell>
          <cell r="E238">
            <v>238568.71999999881</v>
          </cell>
          <cell r="J238">
            <v>-154237</v>
          </cell>
          <cell r="K238">
            <v>238569</v>
          </cell>
        </row>
        <row r="239">
          <cell r="B239">
            <v>15162</v>
          </cell>
          <cell r="C239" t="str">
            <v>SCB (CURRENT A/C)</v>
          </cell>
          <cell r="D239">
            <v>50527.269999995828</v>
          </cell>
          <cell r="E239">
            <v>0</v>
          </cell>
          <cell r="J239">
            <v>50527</v>
          </cell>
          <cell r="K239">
            <v>0</v>
          </cell>
        </row>
        <row r="240">
          <cell r="B240">
            <v>15163</v>
          </cell>
          <cell r="C240" t="str">
            <v>RBS BANK</v>
          </cell>
          <cell r="D240">
            <v>-48977105.74000001</v>
          </cell>
          <cell r="E240">
            <v>0</v>
          </cell>
          <cell r="J240">
            <v>-48977106</v>
          </cell>
          <cell r="K240">
            <v>0</v>
          </cell>
        </row>
        <row r="241">
          <cell r="B241">
            <v>15164</v>
          </cell>
          <cell r="C241" t="str">
            <v>EEFC</v>
          </cell>
          <cell r="D241">
            <v>4534672.6200000085</v>
          </cell>
          <cell r="E241">
            <v>-4517658.66</v>
          </cell>
          <cell r="J241">
            <v>4534673</v>
          </cell>
          <cell r="K241">
            <v>-4517659</v>
          </cell>
        </row>
        <row r="242">
          <cell r="B242">
            <v>15165</v>
          </cell>
          <cell r="C242" t="str">
            <v>EEFC-HSBC</v>
          </cell>
          <cell r="D242">
            <v>96715014.030000031</v>
          </cell>
          <cell r="E242">
            <v>-96715014.030000001</v>
          </cell>
          <cell r="J242">
            <v>96715014</v>
          </cell>
          <cell r="K242">
            <v>-96715014</v>
          </cell>
        </row>
        <row r="243">
          <cell r="B243">
            <v>15166</v>
          </cell>
          <cell r="C243" t="str">
            <v>HDFC BANK A/C (CURRENT ACCOUNT -50200003859316)</v>
          </cell>
          <cell r="D243">
            <v>-64862057.519999966</v>
          </cell>
          <cell r="E243">
            <v>65035281.910000011</v>
          </cell>
          <cell r="J243">
            <v>-64862058</v>
          </cell>
          <cell r="K243">
            <v>65035282</v>
          </cell>
        </row>
        <row r="244">
          <cell r="B244">
            <v>15167</v>
          </cell>
          <cell r="C244" t="str">
            <v>KOTAK MAHINDRA BANK (CURRENT ACCOUNT)</v>
          </cell>
          <cell r="D244">
            <v>-234171416.2700001</v>
          </cell>
          <cell r="E244">
            <v>234930512.89000005</v>
          </cell>
          <cell r="J244">
            <v>-234171416</v>
          </cell>
          <cell r="K244">
            <v>234930513</v>
          </cell>
        </row>
        <row r="245">
          <cell r="B245">
            <v>15168</v>
          </cell>
          <cell r="C245" t="str">
            <v>AXIS BANK CURRENT ACCOUNT</v>
          </cell>
          <cell r="D245">
            <v>-30449311.620000005</v>
          </cell>
          <cell r="E245">
            <v>30540678</v>
          </cell>
          <cell r="J245">
            <v>-30449312</v>
          </cell>
          <cell r="K245">
            <v>30540678</v>
          </cell>
        </row>
        <row r="246">
          <cell r="B246">
            <v>15169</v>
          </cell>
          <cell r="C246" t="str">
            <v>FEDRAL REFUND PCD</v>
          </cell>
          <cell r="D246">
            <v>-0.5</v>
          </cell>
          <cell r="E246">
            <v>0</v>
          </cell>
          <cell r="J246">
            <v>-1</v>
          </cell>
          <cell r="K246">
            <v>0</v>
          </cell>
        </row>
        <row r="247">
          <cell r="B247">
            <v>15170</v>
          </cell>
          <cell r="C247" t="str">
            <v>TRUSTEE GROUP GRATUITY (BOI)</v>
          </cell>
          <cell r="D247">
            <v>-794138.96</v>
          </cell>
          <cell r="E247">
            <v>818766</v>
          </cell>
          <cell r="J247">
            <v>-794139</v>
          </cell>
          <cell r="K247">
            <v>818766</v>
          </cell>
        </row>
        <row r="248">
          <cell r="B248">
            <v>15171</v>
          </cell>
          <cell r="C248" t="str">
            <v>SUPERANNUATION (BOI)</v>
          </cell>
          <cell r="D248">
            <v>6700</v>
          </cell>
          <cell r="E248">
            <v>0</v>
          </cell>
          <cell r="J248">
            <v>6700</v>
          </cell>
          <cell r="K248">
            <v>0</v>
          </cell>
        </row>
        <row r="249">
          <cell r="B249">
            <v>15174</v>
          </cell>
          <cell r="C249" t="str">
            <v>DEBENTURE REDEMPTION 98-99 (BOI)</v>
          </cell>
          <cell r="D249">
            <v>0</v>
          </cell>
          <cell r="E249">
            <v>0</v>
          </cell>
          <cell r="J249">
            <v>0</v>
          </cell>
          <cell r="K249">
            <v>0</v>
          </cell>
        </row>
        <row r="250">
          <cell r="B250">
            <v>15175</v>
          </cell>
          <cell r="C250" t="str">
            <v>DIVIDEND (BANK/ ASSET A/C)</v>
          </cell>
          <cell r="D250">
            <v>1671384.6</v>
          </cell>
          <cell r="E250">
            <v>0</v>
          </cell>
          <cell r="J250">
            <v>1671385</v>
          </cell>
          <cell r="K250">
            <v>0</v>
          </cell>
        </row>
        <row r="251">
          <cell r="B251">
            <v>15180</v>
          </cell>
          <cell r="C251" t="str">
            <v>FIXED DEPOSITS</v>
          </cell>
          <cell r="D251">
            <v>4639073.3499999978</v>
          </cell>
          <cell r="E251">
            <v>-87000</v>
          </cell>
          <cell r="J251">
            <v>4639073</v>
          </cell>
          <cell r="K251">
            <v>-87000</v>
          </cell>
        </row>
        <row r="252">
          <cell r="B252">
            <v>15181</v>
          </cell>
          <cell r="C252" t="str">
            <v>WITH OTHERS</v>
          </cell>
          <cell r="D252">
            <v>0</v>
          </cell>
          <cell r="E252">
            <v>0</v>
          </cell>
          <cell r="J252">
            <v>0</v>
          </cell>
          <cell r="K252">
            <v>0</v>
          </cell>
        </row>
        <row r="253">
          <cell r="B253">
            <v>15182</v>
          </cell>
          <cell r="C253" t="str">
            <v>MUNICIPAL CO-OP BANK</v>
          </cell>
          <cell r="D253">
            <v>100000</v>
          </cell>
          <cell r="E253">
            <v>-17158</v>
          </cell>
          <cell r="J253">
            <v>100000</v>
          </cell>
          <cell r="K253">
            <v>-17158</v>
          </cell>
        </row>
        <row r="254">
          <cell r="B254">
            <v>15183</v>
          </cell>
          <cell r="C254" t="str">
            <v>FIXED DEPOSITS (CO-OP BANK)</v>
          </cell>
          <cell r="D254">
            <v>0</v>
          </cell>
          <cell r="E254">
            <v>10000</v>
          </cell>
          <cell r="J254">
            <v>0</v>
          </cell>
          <cell r="K254">
            <v>10000</v>
          </cell>
        </row>
        <row r="255">
          <cell r="B255">
            <v>15184</v>
          </cell>
          <cell r="C255" t="str">
            <v>MARGIN MONEY ACCOUNT</v>
          </cell>
          <cell r="D255">
            <v>0</v>
          </cell>
          <cell r="E255">
            <v>0</v>
          </cell>
          <cell r="J255">
            <v>0</v>
          </cell>
          <cell r="K255">
            <v>0</v>
          </cell>
        </row>
        <row r="256">
          <cell r="B256">
            <v>15185</v>
          </cell>
          <cell r="C256" t="str">
            <v>UCO BANK (A/C NO 19790210005347)</v>
          </cell>
          <cell r="D256">
            <v>-18282286.709999979</v>
          </cell>
          <cell r="E256">
            <v>23757662.920000002</v>
          </cell>
          <cell r="J256">
            <v>-18282287</v>
          </cell>
          <cell r="K256">
            <v>23757663</v>
          </cell>
        </row>
        <row r="257">
          <cell r="B257">
            <v>15186</v>
          </cell>
          <cell r="C257" t="str">
            <v>ICICI BANK-VASHI</v>
          </cell>
          <cell r="D257">
            <v>28985525.370000005</v>
          </cell>
          <cell r="E257">
            <v>-28745195.669999998</v>
          </cell>
          <cell r="J257">
            <v>28985525</v>
          </cell>
          <cell r="K257">
            <v>-28745196</v>
          </cell>
        </row>
        <row r="258">
          <cell r="B258">
            <v>15197</v>
          </cell>
          <cell r="C258" t="str">
            <v>DEPOSITS PAID</v>
          </cell>
          <cell r="D258">
            <v>1502382.4500000002</v>
          </cell>
          <cell r="E258">
            <v>16623055.560000002</v>
          </cell>
          <cell r="J258">
            <v>1502382</v>
          </cell>
          <cell r="K258">
            <v>16623056</v>
          </cell>
        </row>
        <row r="259">
          <cell r="B259">
            <v>15198</v>
          </cell>
          <cell r="C259" t="str">
            <v>RENT DEPOSITS</v>
          </cell>
          <cell r="D259">
            <v>1800</v>
          </cell>
          <cell r="E259">
            <v>0</v>
          </cell>
          <cell r="J259">
            <v>1800</v>
          </cell>
          <cell r="K259">
            <v>0</v>
          </cell>
        </row>
        <row r="260">
          <cell r="B260">
            <v>15216</v>
          </cell>
          <cell r="C260" t="str">
            <v>INTEREST RECEIVABLE</v>
          </cell>
          <cell r="D260">
            <v>41821</v>
          </cell>
          <cell r="E260">
            <v>646144</v>
          </cell>
          <cell r="J260">
            <v>41821</v>
          </cell>
          <cell r="K260">
            <v>646144</v>
          </cell>
        </row>
        <row r="261">
          <cell r="B261">
            <v>15218</v>
          </cell>
          <cell r="C261" t="str">
            <v>DEPB RECEIVABLE A/C</v>
          </cell>
          <cell r="D261">
            <v>8587441.6999999881</v>
          </cell>
          <cell r="E261">
            <v>373532</v>
          </cell>
          <cell r="J261">
            <v>8587442</v>
          </cell>
          <cell r="K261">
            <v>373532</v>
          </cell>
        </row>
        <row r="262">
          <cell r="B262">
            <v>15219</v>
          </cell>
          <cell r="C262" t="str">
            <v>AA RECEIVABLE A/C</v>
          </cell>
          <cell r="D262">
            <v>0</v>
          </cell>
          <cell r="E262">
            <v>0</v>
          </cell>
          <cell r="J262">
            <v>0</v>
          </cell>
          <cell r="K262">
            <v>0</v>
          </cell>
        </row>
        <row r="263">
          <cell r="B263">
            <v>15221</v>
          </cell>
          <cell r="C263" t="str">
            <v>PREPAID EXPENSES</v>
          </cell>
          <cell r="D263">
            <v>917609.52999999933</v>
          </cell>
          <cell r="E263">
            <v>468712</v>
          </cell>
          <cell r="J263">
            <v>917610</v>
          </cell>
          <cell r="K263">
            <v>468712</v>
          </cell>
        </row>
        <row r="264">
          <cell r="B264">
            <v>15222</v>
          </cell>
          <cell r="C264" t="str">
            <v>PREPAID INSURANCE</v>
          </cell>
          <cell r="D264">
            <v>2558678</v>
          </cell>
          <cell r="E264">
            <v>8517</v>
          </cell>
          <cell r="J264">
            <v>2558678</v>
          </cell>
          <cell r="K264">
            <v>8517</v>
          </cell>
        </row>
        <row r="265">
          <cell r="B265">
            <v>15224</v>
          </cell>
          <cell r="C265" t="str">
            <v>RECOVERABLE FROM PROSEAL</v>
          </cell>
          <cell r="D265">
            <v>0</v>
          </cell>
          <cell r="E265">
            <v>0</v>
          </cell>
          <cell r="G265">
            <v>1091810</v>
          </cell>
          <cell r="J265">
            <v>1091810</v>
          </cell>
          <cell r="K265">
            <v>0</v>
          </cell>
        </row>
        <row r="266">
          <cell r="B266">
            <v>15225</v>
          </cell>
          <cell r="C266" t="str">
            <v>RECOVERABLE FROM BALMER LAWRIE</v>
          </cell>
          <cell r="D266">
            <v>100981.96999999997</v>
          </cell>
          <cell r="E266">
            <v>4000</v>
          </cell>
          <cell r="J266">
            <v>100982</v>
          </cell>
          <cell r="K266">
            <v>4000</v>
          </cell>
        </row>
        <row r="267">
          <cell r="B267">
            <v>15226</v>
          </cell>
          <cell r="C267" t="str">
            <v>RECOVERABLE FROM TRANSAFE</v>
          </cell>
          <cell r="D267">
            <v>0</v>
          </cell>
          <cell r="E267">
            <v>0</v>
          </cell>
          <cell r="J267">
            <v>0</v>
          </cell>
          <cell r="K267">
            <v>0</v>
          </cell>
        </row>
        <row r="268">
          <cell r="B268">
            <v>15227</v>
          </cell>
          <cell r="C268" t="str">
            <v>RECOVERABLE FROM EMPLOYEES</v>
          </cell>
          <cell r="D268">
            <v>5000</v>
          </cell>
          <cell r="E268">
            <v>70000</v>
          </cell>
          <cell r="J268">
            <v>5000</v>
          </cell>
          <cell r="K268">
            <v>70000</v>
          </cell>
        </row>
        <row r="269">
          <cell r="B269">
            <v>15228</v>
          </cell>
          <cell r="C269" t="str">
            <v>RECOVERABLE FROM OTHERS</v>
          </cell>
          <cell r="D269">
            <v>4141</v>
          </cell>
          <cell r="E269">
            <v>75834.799999999814</v>
          </cell>
          <cell r="J269">
            <v>4141</v>
          </cell>
          <cell r="K269">
            <v>75835</v>
          </cell>
        </row>
        <row r="270">
          <cell r="B270">
            <v>15229</v>
          </cell>
          <cell r="C270" t="str">
            <v>RECOVERABLE FROM INSURANCE CO.</v>
          </cell>
          <cell r="D270">
            <v>-13143</v>
          </cell>
          <cell r="E270">
            <v>353678.35000000009</v>
          </cell>
          <cell r="J270">
            <v>-13143</v>
          </cell>
          <cell r="K270">
            <v>353678</v>
          </cell>
        </row>
        <row r="271">
          <cell r="B271">
            <v>15230</v>
          </cell>
          <cell r="C271" t="str">
            <v>RECOVERABLE FROM VAN LEER</v>
          </cell>
          <cell r="D271">
            <v>0</v>
          </cell>
          <cell r="E271">
            <v>0</v>
          </cell>
          <cell r="J271">
            <v>0</v>
          </cell>
          <cell r="K271">
            <v>0</v>
          </cell>
        </row>
        <row r="272">
          <cell r="B272">
            <v>15231</v>
          </cell>
          <cell r="C272" t="str">
            <v>RECOVERABLE FROM L.I.C.- GRATUIRTY</v>
          </cell>
          <cell r="D272">
            <v>0</v>
          </cell>
          <cell r="E272">
            <v>0</v>
          </cell>
          <cell r="J272">
            <v>0</v>
          </cell>
          <cell r="K272">
            <v>0</v>
          </cell>
        </row>
        <row r="273">
          <cell r="B273">
            <v>15232</v>
          </cell>
          <cell r="C273" t="str">
            <v>RECOVERABLE FROM ESIC</v>
          </cell>
          <cell r="D273">
            <v>19589</v>
          </cell>
          <cell r="E273">
            <v>222894</v>
          </cell>
          <cell r="J273">
            <v>19589</v>
          </cell>
          <cell r="K273">
            <v>222894</v>
          </cell>
        </row>
        <row r="274">
          <cell r="B274">
            <v>15233</v>
          </cell>
          <cell r="C274" t="str">
            <v>RECOVERABLE FROM GREIF AUSTRALIA</v>
          </cell>
          <cell r="D274">
            <v>0</v>
          </cell>
          <cell r="E274">
            <v>0</v>
          </cell>
          <cell r="J274">
            <v>0</v>
          </cell>
          <cell r="K274">
            <v>0</v>
          </cell>
        </row>
        <row r="275">
          <cell r="B275">
            <v>15239</v>
          </cell>
          <cell r="C275" t="str">
            <v>ADVANCE AGAINST EXPENSES</v>
          </cell>
          <cell r="D275">
            <v>0</v>
          </cell>
          <cell r="E275">
            <v>7000</v>
          </cell>
          <cell r="J275">
            <v>0</v>
          </cell>
          <cell r="K275">
            <v>7000</v>
          </cell>
        </row>
        <row r="276">
          <cell r="B276">
            <v>15241</v>
          </cell>
          <cell r="C276" t="str">
            <v>ADVANCE AGAINST SALARY/WAGES</v>
          </cell>
          <cell r="D276">
            <v>255500</v>
          </cell>
          <cell r="E276">
            <v>45000</v>
          </cell>
          <cell r="J276">
            <v>255500</v>
          </cell>
          <cell r="K276">
            <v>45000</v>
          </cell>
        </row>
        <row r="277">
          <cell r="B277">
            <v>15242</v>
          </cell>
          <cell r="C277" t="str">
            <v>ADVANCE AGAINST LTA</v>
          </cell>
          <cell r="D277">
            <v>0</v>
          </cell>
          <cell r="E277">
            <v>0</v>
          </cell>
          <cell r="J277">
            <v>0</v>
          </cell>
          <cell r="K277">
            <v>0</v>
          </cell>
        </row>
        <row r="278">
          <cell r="B278">
            <v>15243</v>
          </cell>
          <cell r="C278" t="str">
            <v>ADVANCE SUPPLIERS/ OTHERS (3410)</v>
          </cell>
          <cell r="D278">
            <v>7000</v>
          </cell>
          <cell r="E278">
            <v>0</v>
          </cell>
          <cell r="J278">
            <v>7000</v>
          </cell>
          <cell r="K278">
            <v>0</v>
          </cell>
        </row>
        <row r="279">
          <cell r="B279">
            <v>15244</v>
          </cell>
          <cell r="C279" t="str">
            <v>ADVANCE AGAINST CHEQUE</v>
          </cell>
          <cell r="D279">
            <v>0</v>
          </cell>
          <cell r="E279">
            <v>0</v>
          </cell>
          <cell r="J279">
            <v>0</v>
          </cell>
          <cell r="K279">
            <v>0</v>
          </cell>
        </row>
        <row r="280">
          <cell r="B280">
            <v>15249</v>
          </cell>
          <cell r="C280" t="str">
            <v>FESTIVALS LOAN</v>
          </cell>
          <cell r="D280">
            <v>469200</v>
          </cell>
          <cell r="E280">
            <v>162400</v>
          </cell>
          <cell r="J280">
            <v>469200</v>
          </cell>
          <cell r="K280">
            <v>162400</v>
          </cell>
        </row>
        <row r="281">
          <cell r="B281">
            <v>15250</v>
          </cell>
          <cell r="C281" t="str">
            <v>CAR LOAN</v>
          </cell>
          <cell r="D281">
            <v>625943.5</v>
          </cell>
          <cell r="E281">
            <v>5025</v>
          </cell>
          <cell r="J281">
            <v>625944</v>
          </cell>
          <cell r="K281">
            <v>5025</v>
          </cell>
        </row>
        <row r="282">
          <cell r="B282">
            <v>15251</v>
          </cell>
          <cell r="C282" t="str">
            <v>SUNDRY LOAN</v>
          </cell>
          <cell r="D282">
            <v>532112.36000000034</v>
          </cell>
          <cell r="E282">
            <v>708795.87999999989</v>
          </cell>
          <cell r="J282">
            <v>532112</v>
          </cell>
          <cell r="K282">
            <v>708796</v>
          </cell>
        </row>
        <row r="283">
          <cell r="B283">
            <v>15252</v>
          </cell>
          <cell r="C283" t="str">
            <v>LOAN TO SUBSIDIARY</v>
          </cell>
          <cell r="D283">
            <v>35000000</v>
          </cell>
          <cell r="E283">
            <v>0</v>
          </cell>
          <cell r="J283">
            <v>35000000</v>
          </cell>
          <cell r="K283">
            <v>0</v>
          </cell>
        </row>
        <row r="284">
          <cell r="B284">
            <v>15256</v>
          </cell>
          <cell r="C284" t="str">
            <v>CREDITORS DEBIT BALANCES</v>
          </cell>
          <cell r="D284">
            <v>0</v>
          </cell>
          <cell r="E284">
            <v>0</v>
          </cell>
          <cell r="J284">
            <v>0</v>
          </cell>
          <cell r="K284">
            <v>0</v>
          </cell>
        </row>
        <row r="285">
          <cell r="B285">
            <v>15269</v>
          </cell>
          <cell r="C285" t="str">
            <v>PROVISION FOR LOANS &amp; ADVANCES</v>
          </cell>
          <cell r="D285">
            <v>-686451.41999999993</v>
          </cell>
          <cell r="E285">
            <v>-627408.02</v>
          </cell>
          <cell r="J285">
            <v>-686451</v>
          </cell>
          <cell r="K285">
            <v>-627408</v>
          </cell>
        </row>
        <row r="286">
          <cell r="B286">
            <v>15297</v>
          </cell>
          <cell r="C286" t="str">
            <v>PROVISION FOR PENDING GRN (PURCHASE PACKING SLIP OFFSET AC)</v>
          </cell>
          <cell r="D286">
            <v>0</v>
          </cell>
          <cell r="E286">
            <v>0</v>
          </cell>
          <cell r="J286">
            <v>0</v>
          </cell>
          <cell r="K286">
            <v>0</v>
          </cell>
        </row>
        <row r="287">
          <cell r="B287">
            <v>15310</v>
          </cell>
          <cell r="C287" t="str">
            <v>INTERIM HEDU CESS - PLA A/C</v>
          </cell>
          <cell r="D287">
            <v>-1411040.4699999997</v>
          </cell>
          <cell r="E287">
            <v>0</v>
          </cell>
          <cell r="J287">
            <v>-1411040</v>
          </cell>
          <cell r="K287">
            <v>0</v>
          </cell>
        </row>
        <row r="288">
          <cell r="B288">
            <v>15311</v>
          </cell>
          <cell r="C288" t="str">
            <v>INTERIM PLA ACCOUNT</v>
          </cell>
          <cell r="D288">
            <v>0</v>
          </cell>
          <cell r="E288">
            <v>0</v>
          </cell>
          <cell r="J288">
            <v>0</v>
          </cell>
          <cell r="K288">
            <v>0</v>
          </cell>
        </row>
        <row r="289">
          <cell r="B289">
            <v>15312</v>
          </cell>
          <cell r="C289" t="str">
            <v>INTERIM EDUCESS - PLA A/C</v>
          </cell>
          <cell r="D289">
            <v>-2751947.6400000006</v>
          </cell>
          <cell r="E289">
            <v>0</v>
          </cell>
          <cell r="J289">
            <v>-2751948</v>
          </cell>
          <cell r="K289">
            <v>0</v>
          </cell>
        </row>
        <row r="290">
          <cell r="B290">
            <v>15313</v>
          </cell>
          <cell r="C290" t="str">
            <v>BASIC EXCISE DUTY - PLA A/C</v>
          </cell>
          <cell r="D290">
            <v>4954748</v>
          </cell>
          <cell r="E290">
            <v>0</v>
          </cell>
          <cell r="J290">
            <v>4954748</v>
          </cell>
          <cell r="K290">
            <v>0</v>
          </cell>
        </row>
        <row r="291">
          <cell r="B291">
            <v>15314</v>
          </cell>
          <cell r="C291" t="str">
            <v>EDUCATION CESS - PLA A/C</v>
          </cell>
          <cell r="D291">
            <v>5996623</v>
          </cell>
          <cell r="E291">
            <v>0</v>
          </cell>
          <cell r="J291">
            <v>5996623</v>
          </cell>
          <cell r="K291">
            <v>0</v>
          </cell>
        </row>
        <row r="292">
          <cell r="B292">
            <v>15315</v>
          </cell>
          <cell r="C292" t="str">
            <v>HIGHER EDUCATION CESS - PLA A/C</v>
          </cell>
          <cell r="D292">
            <v>2568676</v>
          </cell>
          <cell r="E292">
            <v>0</v>
          </cell>
          <cell r="J292">
            <v>2568676</v>
          </cell>
          <cell r="K292">
            <v>0</v>
          </cell>
        </row>
        <row r="293">
          <cell r="B293">
            <v>15323</v>
          </cell>
          <cell r="C293" t="str">
            <v>BASIC EXCISE DUTY RECOVERABLE - RG 23 A</v>
          </cell>
          <cell r="D293">
            <v>136814237.96000001</v>
          </cell>
          <cell r="E293">
            <v>297969875.63000029</v>
          </cell>
          <cell r="J293">
            <v>136814238</v>
          </cell>
          <cell r="K293">
            <v>297969876</v>
          </cell>
        </row>
        <row r="294">
          <cell r="B294">
            <v>15324</v>
          </cell>
          <cell r="C294" t="str">
            <v>EDUCATION CESS - RG 23 A</v>
          </cell>
          <cell r="D294">
            <v>2519411.8000000007</v>
          </cell>
          <cell r="E294">
            <v>-1098950.42</v>
          </cell>
          <cell r="J294">
            <v>2519412</v>
          </cell>
          <cell r="K294">
            <v>-1098950</v>
          </cell>
        </row>
        <row r="295">
          <cell r="B295">
            <v>15325</v>
          </cell>
          <cell r="C295" t="str">
            <v>HIGHER EDUCATION CESS - RG 23 A</v>
          </cell>
          <cell r="D295">
            <v>883553.94000000018</v>
          </cell>
          <cell r="E295">
            <v>188879.13999999996</v>
          </cell>
          <cell r="J295">
            <v>883554</v>
          </cell>
          <cell r="K295">
            <v>188879</v>
          </cell>
        </row>
        <row r="296">
          <cell r="B296">
            <v>15332</v>
          </cell>
          <cell r="C296" t="str">
            <v>BASIC EXCISE DUTY RECOVERABLE - RG 23 C</v>
          </cell>
          <cell r="D296">
            <v>16962294.090000033</v>
          </cell>
          <cell r="E296">
            <v>18333918.690000005</v>
          </cell>
          <cell r="J296">
            <v>16962294</v>
          </cell>
          <cell r="K296">
            <v>18333919</v>
          </cell>
        </row>
        <row r="297">
          <cell r="B297">
            <v>15333</v>
          </cell>
          <cell r="C297" t="str">
            <v>EDUCATION CESS - RG 23 C</v>
          </cell>
          <cell r="D297">
            <v>111317.06999999983</v>
          </cell>
          <cell r="E297">
            <v>1933.9400000000023</v>
          </cell>
          <cell r="J297">
            <v>111317</v>
          </cell>
          <cell r="K297">
            <v>1934</v>
          </cell>
        </row>
        <row r="298">
          <cell r="B298">
            <v>15334</v>
          </cell>
          <cell r="C298" t="str">
            <v>HIGHER EDUCATION CESS - RG 23 C</v>
          </cell>
          <cell r="D298">
            <v>57706.109999999986</v>
          </cell>
          <cell r="E298">
            <v>945.25</v>
          </cell>
          <cell r="J298">
            <v>57706</v>
          </cell>
          <cell r="K298">
            <v>945</v>
          </cell>
        </row>
        <row r="299">
          <cell r="B299">
            <v>15339</v>
          </cell>
          <cell r="C299" t="str">
            <v>RG 23 D CENVAT CREDIT TRANSFER ACCOUNT</v>
          </cell>
          <cell r="D299">
            <v>-31276</v>
          </cell>
          <cell r="E299">
            <v>-20898067.52</v>
          </cell>
          <cell r="J299">
            <v>-31276</v>
          </cell>
          <cell r="K299">
            <v>-20898068</v>
          </cell>
        </row>
        <row r="300">
          <cell r="B300">
            <v>15340</v>
          </cell>
          <cell r="C300" t="str">
            <v>RG23D CENVAT CREDIT ACCOUNT</v>
          </cell>
          <cell r="D300">
            <v>0</v>
          </cell>
          <cell r="E300">
            <v>21492619.939999998</v>
          </cell>
          <cell r="J300">
            <v>0</v>
          </cell>
          <cell r="K300">
            <v>21492620</v>
          </cell>
        </row>
        <row r="301">
          <cell r="B301">
            <v>15344</v>
          </cell>
          <cell r="C301" t="str">
            <v>SERVICE TAX (RECEIVABLE)</v>
          </cell>
          <cell r="D301">
            <v>-9747061.5600000024</v>
          </cell>
          <cell r="E301">
            <v>48944870.269999936</v>
          </cell>
          <cell r="J301">
            <v>-9747062</v>
          </cell>
          <cell r="K301">
            <v>48944870</v>
          </cell>
        </row>
        <row r="302">
          <cell r="B302">
            <v>15345</v>
          </cell>
          <cell r="C302" t="str">
            <v>EDUCATION CESS ON SERVICE TAX (RECEIVABLE)</v>
          </cell>
          <cell r="D302">
            <v>342800.28999999911</v>
          </cell>
          <cell r="E302">
            <v>1260900.059999998</v>
          </cell>
          <cell r="J302">
            <v>342800</v>
          </cell>
          <cell r="K302">
            <v>1260900</v>
          </cell>
        </row>
        <row r="303">
          <cell r="B303">
            <v>15346</v>
          </cell>
          <cell r="C303" t="str">
            <v>HIGHER EDUCATION CESS ON SERVICE TAX (RECEIVABLE)</v>
          </cell>
          <cell r="D303">
            <v>209989.68999999994</v>
          </cell>
          <cell r="E303">
            <v>507071.82000000135</v>
          </cell>
          <cell r="J303">
            <v>209990</v>
          </cell>
          <cell r="K303">
            <v>507072</v>
          </cell>
        </row>
        <row r="304">
          <cell r="B304">
            <v>15347</v>
          </cell>
          <cell r="C304" t="str">
            <v>SERVICE TAX (PAYABLE)</v>
          </cell>
          <cell r="D304">
            <v>-4989289.1999999993</v>
          </cell>
          <cell r="E304">
            <v>-1515828.8699999992</v>
          </cell>
          <cell r="J304">
            <v>-4989289</v>
          </cell>
          <cell r="K304">
            <v>-1515829</v>
          </cell>
        </row>
        <row r="305">
          <cell r="B305">
            <v>15348</v>
          </cell>
          <cell r="C305" t="str">
            <v>EDUCATION CESS ON SERVICE TAX (PAYABLE)</v>
          </cell>
          <cell r="D305">
            <v>-90236.81</v>
          </cell>
          <cell r="E305">
            <v>-26258.239999999991</v>
          </cell>
          <cell r="J305">
            <v>-90237</v>
          </cell>
          <cell r="K305">
            <v>-26258</v>
          </cell>
        </row>
        <row r="306">
          <cell r="B306">
            <v>15349</v>
          </cell>
          <cell r="C306" t="str">
            <v>HIGHER EDUCATION CESS ON SERVICE TAX (PAYABLE)</v>
          </cell>
          <cell r="D306">
            <v>-45208.86</v>
          </cell>
          <cell r="E306">
            <v>-13668.699999999997</v>
          </cell>
          <cell r="J306">
            <v>-45209</v>
          </cell>
          <cell r="K306">
            <v>-13669</v>
          </cell>
        </row>
        <row r="307">
          <cell r="B307">
            <v>15350</v>
          </cell>
          <cell r="C307" t="str">
            <v>SERVICE TAX INTERIM PAYABLE</v>
          </cell>
          <cell r="D307">
            <v>1875674.83</v>
          </cell>
          <cell r="E307">
            <v>52680.750000000036</v>
          </cell>
          <cell r="J307">
            <v>1875675</v>
          </cell>
          <cell r="K307">
            <v>52681</v>
          </cell>
        </row>
        <row r="308">
          <cell r="B308">
            <v>15351</v>
          </cell>
          <cell r="C308" t="str">
            <v>SERVICE TAX INTERIM RECOVERABLE</v>
          </cell>
          <cell r="D308">
            <v>-3506836.0000000009</v>
          </cell>
          <cell r="E308">
            <v>-4437782.1400000006</v>
          </cell>
          <cell r="J308">
            <v>-3506836</v>
          </cell>
          <cell r="K308">
            <v>-4437782</v>
          </cell>
        </row>
        <row r="309">
          <cell r="B309">
            <v>15352</v>
          </cell>
          <cell r="C309" t="str">
            <v>EDU CESS SERVICE TAX INTERIM RECOVERABLE</v>
          </cell>
          <cell r="D309">
            <v>-3096.1899999999951</v>
          </cell>
          <cell r="E309">
            <v>-21645.640000000014</v>
          </cell>
          <cell r="J309">
            <v>-3096</v>
          </cell>
          <cell r="K309">
            <v>-21646</v>
          </cell>
        </row>
        <row r="310">
          <cell r="B310">
            <v>15353</v>
          </cell>
          <cell r="C310" t="str">
            <v>H EDU CESS SERVICE TAX INTERIM RECOVERABLE</v>
          </cell>
          <cell r="D310">
            <v>-1632.5400000000081</v>
          </cell>
          <cell r="E310">
            <v>-10278.429999999993</v>
          </cell>
          <cell r="J310">
            <v>-1633</v>
          </cell>
          <cell r="K310">
            <v>-10278</v>
          </cell>
        </row>
        <row r="311">
          <cell r="B311">
            <v>15356</v>
          </cell>
          <cell r="C311" t="str">
            <v>RECOVERABLE FROM EXCISE</v>
          </cell>
          <cell r="D311">
            <v>498108</v>
          </cell>
          <cell r="E311">
            <v>-3007441.8300000019</v>
          </cell>
          <cell r="J311">
            <v>498108</v>
          </cell>
          <cell r="K311">
            <v>-3007442</v>
          </cell>
        </row>
        <row r="312">
          <cell r="B312">
            <v>15357</v>
          </cell>
          <cell r="C312" t="str">
            <v>DEFERRED EXCISE DUTY (CAPITAL GOODS)</v>
          </cell>
          <cell r="D312">
            <v>5563099.8000000017</v>
          </cell>
          <cell r="E312">
            <v>7332119.3600000003</v>
          </cell>
          <cell r="J312">
            <v>5563100</v>
          </cell>
          <cell r="K312">
            <v>7332119</v>
          </cell>
        </row>
        <row r="313">
          <cell r="B313">
            <v>15358</v>
          </cell>
          <cell r="C313" t="str">
            <v>DEFERRED EDU. CESS (CAPITAL GOODS)</v>
          </cell>
          <cell r="D313">
            <v>48878.51</v>
          </cell>
          <cell r="E313">
            <v>23298.220000000008</v>
          </cell>
          <cell r="J313">
            <v>48879</v>
          </cell>
          <cell r="K313">
            <v>23298</v>
          </cell>
        </row>
        <row r="314">
          <cell r="B314">
            <v>15359</v>
          </cell>
          <cell r="C314" t="str">
            <v>DEFERRED HIGHER EDU CESS (CAPITAL GOODS)</v>
          </cell>
          <cell r="D314">
            <v>25535.69999999999</v>
          </cell>
          <cell r="E314">
            <v>16872.95</v>
          </cell>
          <cell r="J314">
            <v>25536</v>
          </cell>
          <cell r="K314">
            <v>16873</v>
          </cell>
        </row>
        <row r="315">
          <cell r="B315">
            <v>15360</v>
          </cell>
          <cell r="C315" t="str">
            <v>EXCISE COCHIN</v>
          </cell>
          <cell r="D315">
            <v>-23802</v>
          </cell>
          <cell r="E315">
            <v>14041668</v>
          </cell>
          <cell r="J315">
            <v>-23802</v>
          </cell>
          <cell r="K315">
            <v>14041668</v>
          </cell>
        </row>
        <row r="316">
          <cell r="B316">
            <v>15368</v>
          </cell>
          <cell r="C316" t="str">
            <v>BASIC EXCISE DUTY PAYABLE</v>
          </cell>
          <cell r="D316">
            <v>-155249317.67000008</v>
          </cell>
          <cell r="E316">
            <v>-293951556.31999999</v>
          </cell>
          <cell r="J316">
            <v>-155249318</v>
          </cell>
          <cell r="K316">
            <v>-293951556</v>
          </cell>
        </row>
        <row r="317">
          <cell r="B317">
            <v>15369</v>
          </cell>
          <cell r="C317" t="str">
            <v>EDUCATION CESS PAYABLE</v>
          </cell>
          <cell r="D317">
            <v>-2121053.6799999997</v>
          </cell>
          <cell r="E317">
            <v>-1058338.7399999995</v>
          </cell>
          <cell r="J317">
            <v>-2121054</v>
          </cell>
          <cell r="K317">
            <v>-1058339</v>
          </cell>
        </row>
        <row r="318">
          <cell r="B318">
            <v>15370</v>
          </cell>
          <cell r="C318" t="str">
            <v>HIGHER EDUCATION CESS PAYABLE</v>
          </cell>
          <cell r="D318">
            <v>-1060450.6200000001</v>
          </cell>
          <cell r="E318">
            <v>-596769.88999999932</v>
          </cell>
          <cell r="J318">
            <v>-1060451</v>
          </cell>
          <cell r="K318">
            <v>-596770</v>
          </cell>
        </row>
        <row r="319">
          <cell r="B319">
            <v>15371</v>
          </cell>
          <cell r="C319" t="str">
            <v>RECOVERABLE FROM EXCISE (TILL THE TIME MATL IS WITH PROCESSO</v>
          </cell>
          <cell r="D319">
            <v>-10457098.439999998</v>
          </cell>
          <cell r="E319">
            <v>4530980.1900000004</v>
          </cell>
          <cell r="J319">
            <v>-10457098</v>
          </cell>
          <cell r="K319">
            <v>4530980</v>
          </cell>
        </row>
        <row r="320">
          <cell r="B320">
            <v>15381</v>
          </cell>
          <cell r="C320" t="str">
            <v>RECOVERABLE FROM SALES TAX A/C</v>
          </cell>
          <cell r="D320">
            <v>8176818</v>
          </cell>
          <cell r="E320">
            <v>118950</v>
          </cell>
          <cell r="J320">
            <v>8176818</v>
          </cell>
          <cell r="K320">
            <v>118950</v>
          </cell>
        </row>
        <row r="321">
          <cell r="B321">
            <v>15398</v>
          </cell>
          <cell r="C321" t="str">
            <v>ADVANCE INCOME TAX</v>
          </cell>
          <cell r="D321">
            <v>102155936.49000001</v>
          </cell>
          <cell r="E321">
            <v>434543.06999999995</v>
          </cell>
          <cell r="J321">
            <v>102155936</v>
          </cell>
          <cell r="K321">
            <v>434543</v>
          </cell>
        </row>
        <row r="322">
          <cell r="B322">
            <v>15427</v>
          </cell>
          <cell r="C322" t="str">
            <v>SUNDRY CREDITORS DOMESTIC</v>
          </cell>
          <cell r="D322">
            <v>-19552251.019999716</v>
          </cell>
          <cell r="E322">
            <v>-21676966.780000016</v>
          </cell>
          <cell r="J322">
            <v>-19552251</v>
          </cell>
          <cell r="K322">
            <v>-21676967</v>
          </cell>
        </row>
        <row r="323">
          <cell r="B323">
            <v>15428</v>
          </cell>
          <cell r="C323" t="str">
            <v>SUNDRY CREDITORS FOREIGN</v>
          </cell>
          <cell r="D323">
            <v>-13331099.050000012</v>
          </cell>
          <cell r="E323">
            <v>-196342789.15999961</v>
          </cell>
          <cell r="J323">
            <v>-13331099</v>
          </cell>
          <cell r="K323">
            <v>-196342789</v>
          </cell>
        </row>
        <row r="324">
          <cell r="B324">
            <v>15429</v>
          </cell>
          <cell r="C324" t="str">
            <v>PROVISION FOR PENDING GRN (PURC PACK SLIP OFFSET NET W15078)</v>
          </cell>
          <cell r="D324">
            <v>-1006079.1900000572</v>
          </cell>
          <cell r="E324">
            <v>-76512</v>
          </cell>
          <cell r="J324">
            <v>-1006079</v>
          </cell>
          <cell r="K324">
            <v>-76512</v>
          </cell>
        </row>
        <row r="325">
          <cell r="B325">
            <v>15433</v>
          </cell>
          <cell r="C325" t="str">
            <v>STALE CHEQUE A/C</v>
          </cell>
          <cell r="D325">
            <v>-696204.27</v>
          </cell>
          <cell r="E325">
            <v>-597448.48999999976</v>
          </cell>
          <cell r="J325">
            <v>-696204</v>
          </cell>
          <cell r="K325">
            <v>-597448</v>
          </cell>
        </row>
        <row r="326">
          <cell r="B326">
            <v>15434</v>
          </cell>
          <cell r="C326" t="str">
            <v>CREDITORS FOR EXPENSES (SERVICE PROVIDERS)</v>
          </cell>
          <cell r="D326">
            <v>169251.78999999911</v>
          </cell>
          <cell r="E326">
            <v>-8762204.3300000131</v>
          </cell>
          <cell r="J326">
            <v>169252</v>
          </cell>
          <cell r="K326">
            <v>-8762204</v>
          </cell>
        </row>
        <row r="327">
          <cell r="B327">
            <v>15435</v>
          </cell>
          <cell r="C327" t="str">
            <v>BL - LIABILITY TRAVEL</v>
          </cell>
          <cell r="D327">
            <v>97284</v>
          </cell>
          <cell r="E327">
            <v>-97284</v>
          </cell>
          <cell r="J327">
            <v>97284</v>
          </cell>
          <cell r="K327">
            <v>-97284</v>
          </cell>
        </row>
        <row r="328">
          <cell r="B328">
            <v>15436</v>
          </cell>
          <cell r="C328" t="str">
            <v>LIABILITY FOR EXPENSES (2010-11)</v>
          </cell>
          <cell r="D328">
            <v>-104612.25999999978</v>
          </cell>
          <cell r="E328">
            <v>-341057.97000000067</v>
          </cell>
          <cell r="J328">
            <v>-104612</v>
          </cell>
          <cell r="K328">
            <v>-341058</v>
          </cell>
        </row>
        <row r="329">
          <cell r="B329">
            <v>15439</v>
          </cell>
          <cell r="C329" t="str">
            <v>SHARE APPLN MONEY BOI</v>
          </cell>
          <cell r="D329">
            <v>-1550</v>
          </cell>
          <cell r="E329">
            <v>0</v>
          </cell>
          <cell r="J329">
            <v>-1550</v>
          </cell>
          <cell r="K329">
            <v>0</v>
          </cell>
        </row>
        <row r="330">
          <cell r="B330">
            <v>15440</v>
          </cell>
          <cell r="C330" t="str">
            <v>NET SALARY ADJUSTABLE</v>
          </cell>
          <cell r="D330">
            <v>-5876510.0699999928</v>
          </cell>
          <cell r="E330">
            <v>-3333293</v>
          </cell>
          <cell r="J330">
            <v>-5876510</v>
          </cell>
          <cell r="K330">
            <v>-3333293</v>
          </cell>
        </row>
        <row r="331">
          <cell r="B331">
            <v>15441</v>
          </cell>
          <cell r="C331" t="str">
            <v>SUPERANNUATION ADJUSTABLE</v>
          </cell>
          <cell r="D331">
            <v>-214821</v>
          </cell>
          <cell r="E331">
            <v>-123779</v>
          </cell>
          <cell r="J331">
            <v>-214821</v>
          </cell>
          <cell r="K331">
            <v>-123779</v>
          </cell>
        </row>
        <row r="332">
          <cell r="B332">
            <v>15442</v>
          </cell>
          <cell r="C332" t="str">
            <v>WELFARE FUND ADJUSTABLE</v>
          </cell>
          <cell r="D332">
            <v>2814</v>
          </cell>
          <cell r="E332">
            <v>-2814</v>
          </cell>
          <cell r="J332">
            <v>2814</v>
          </cell>
          <cell r="K332">
            <v>-2814</v>
          </cell>
        </row>
        <row r="333">
          <cell r="B333">
            <v>15443</v>
          </cell>
          <cell r="C333" t="str">
            <v>BANK LOAN ADJUSTABLE A/C</v>
          </cell>
          <cell r="D333">
            <v>-649163</v>
          </cell>
          <cell r="E333">
            <v>16352</v>
          </cell>
          <cell r="J333">
            <v>-649163</v>
          </cell>
          <cell r="K333">
            <v>16352</v>
          </cell>
        </row>
        <row r="334">
          <cell r="B334">
            <v>15444</v>
          </cell>
          <cell r="C334" t="str">
            <v>L I C ADJUSTABLE</v>
          </cell>
          <cell r="D334">
            <v>-132446.12000000104</v>
          </cell>
          <cell r="E334">
            <v>-24370.879999999888</v>
          </cell>
          <cell r="J334">
            <v>-132446</v>
          </cell>
          <cell r="K334">
            <v>-24371</v>
          </cell>
        </row>
        <row r="335">
          <cell r="B335">
            <v>15445</v>
          </cell>
          <cell r="C335" t="str">
            <v>MISC DEDUCTION SALARY ADJUSTABLE A/C</v>
          </cell>
          <cell r="D335">
            <v>-188422.06000000052</v>
          </cell>
          <cell r="E335">
            <v>124128.06000000006</v>
          </cell>
          <cell r="J335">
            <v>-188422</v>
          </cell>
          <cell r="K335">
            <v>124128</v>
          </cell>
        </row>
        <row r="336">
          <cell r="B336">
            <v>15446</v>
          </cell>
          <cell r="C336" t="str">
            <v>EMPLOYEES CO-OP CREDIT SOCIETY</v>
          </cell>
          <cell r="D336">
            <v>-311366</v>
          </cell>
          <cell r="E336">
            <v>-311267</v>
          </cell>
          <cell r="J336">
            <v>-311366</v>
          </cell>
          <cell r="K336">
            <v>-311267</v>
          </cell>
        </row>
        <row r="337">
          <cell r="B337">
            <v>15447</v>
          </cell>
          <cell r="C337" t="str">
            <v>HOUSING LOAN ADJUSTABLE A/C</v>
          </cell>
          <cell r="D337">
            <v>0</v>
          </cell>
          <cell r="E337">
            <v>-23274</v>
          </cell>
          <cell r="J337">
            <v>0</v>
          </cell>
          <cell r="K337">
            <v>-23274</v>
          </cell>
        </row>
        <row r="338">
          <cell r="B338">
            <v>15448</v>
          </cell>
          <cell r="C338" t="str">
            <v>UNCLAIMED SALARY/WAGES</v>
          </cell>
          <cell r="D338">
            <v>-22791</v>
          </cell>
          <cell r="E338">
            <v>0</v>
          </cell>
          <cell r="J338">
            <v>-22791</v>
          </cell>
          <cell r="K338">
            <v>0</v>
          </cell>
        </row>
        <row r="339">
          <cell r="B339">
            <v>15449</v>
          </cell>
          <cell r="C339" t="str">
            <v>UNCLAIMED BONUS</v>
          </cell>
          <cell r="D339">
            <v>-11945.590000000004</v>
          </cell>
          <cell r="E339">
            <v>-3026</v>
          </cell>
          <cell r="J339">
            <v>-11946</v>
          </cell>
          <cell r="K339">
            <v>-3026</v>
          </cell>
        </row>
        <row r="340">
          <cell r="B340">
            <v>15450</v>
          </cell>
          <cell r="C340" t="str">
            <v>COIN ADJ</v>
          </cell>
          <cell r="D340">
            <v>2197.7999999999533</v>
          </cell>
          <cell r="E340">
            <v>79185.160000000149</v>
          </cell>
          <cell r="J340">
            <v>2198</v>
          </cell>
          <cell r="K340">
            <v>79185</v>
          </cell>
        </row>
        <row r="341">
          <cell r="B341">
            <v>15452</v>
          </cell>
          <cell r="C341" t="str">
            <v>PROVISION FOR MANAGERIAL EXP.</v>
          </cell>
          <cell r="D341">
            <v>114516</v>
          </cell>
          <cell r="E341">
            <v>0</v>
          </cell>
          <cell r="J341">
            <v>114516</v>
          </cell>
          <cell r="K341">
            <v>0</v>
          </cell>
        </row>
        <row r="342">
          <cell r="B342">
            <v>15454</v>
          </cell>
          <cell r="C342" t="str">
            <v>PAYABLE TO EMPLOYEES</v>
          </cell>
          <cell r="D342">
            <v>-71664.5</v>
          </cell>
          <cell r="E342">
            <v>5158</v>
          </cell>
          <cell r="J342">
            <v>-71665</v>
          </cell>
          <cell r="K342">
            <v>5158</v>
          </cell>
        </row>
        <row r="343">
          <cell r="B343">
            <v>15456</v>
          </cell>
          <cell r="C343" t="str">
            <v>ADVANCE HP (SALE OF PROPERTY)</v>
          </cell>
          <cell r="D343">
            <v>-2225000</v>
          </cell>
          <cell r="E343">
            <v>0</v>
          </cell>
          <cell r="J343">
            <v>-2225000</v>
          </cell>
          <cell r="K343">
            <v>0</v>
          </cell>
        </row>
        <row r="344">
          <cell r="B344">
            <v>15457</v>
          </cell>
          <cell r="C344" t="str">
            <v>*** NOT TO USE *** LIABILITY FOR MISC. CHG (FERA)</v>
          </cell>
          <cell r="D344">
            <v>2810</v>
          </cell>
          <cell r="E344">
            <v>-3090</v>
          </cell>
          <cell r="J344">
            <v>2810</v>
          </cell>
          <cell r="K344">
            <v>-3090</v>
          </cell>
        </row>
        <row r="345">
          <cell r="B345">
            <v>15458</v>
          </cell>
          <cell r="C345" t="str">
            <v>LIABILITY FOR CLG FRD CHG (FERA)</v>
          </cell>
          <cell r="D345">
            <v>-615441.75999999791</v>
          </cell>
          <cell r="E345">
            <v>634301.76000366174</v>
          </cell>
          <cell r="J345">
            <v>-615442</v>
          </cell>
          <cell r="K345">
            <v>634302</v>
          </cell>
        </row>
        <row r="346">
          <cell r="B346">
            <v>15459</v>
          </cell>
          <cell r="C346" t="str">
            <v>LIABILITY FOR EXPENSES (2011-12)</v>
          </cell>
          <cell r="D346">
            <v>-1270182.6999999955</v>
          </cell>
          <cell r="E346">
            <v>-187190.02000000328</v>
          </cell>
          <cell r="J346">
            <v>-1270183</v>
          </cell>
          <cell r="K346">
            <v>-187190</v>
          </cell>
        </row>
        <row r="347">
          <cell r="B347">
            <v>15460</v>
          </cell>
          <cell r="C347" t="str">
            <v>LIABILITY FOR TPT (CASES WHERE AUTO TPT POSTING IS SKIPED)</v>
          </cell>
          <cell r="D347">
            <v>0</v>
          </cell>
          <cell r="E347">
            <v>0</v>
          </cell>
          <cell r="J347">
            <v>0</v>
          </cell>
          <cell r="K347">
            <v>0</v>
          </cell>
        </row>
        <row r="348">
          <cell r="B348">
            <v>15461</v>
          </cell>
          <cell r="C348" t="str">
            <v>LIABILITY OF FREIGHT IN (FOB) EXPORT</v>
          </cell>
          <cell r="D348">
            <v>4.0000006556510925E-2</v>
          </cell>
          <cell r="E348">
            <v>0</v>
          </cell>
          <cell r="J348">
            <v>0</v>
          </cell>
          <cell r="K348">
            <v>0</v>
          </cell>
        </row>
        <row r="349">
          <cell r="B349">
            <v>15462</v>
          </cell>
          <cell r="C349" t="str">
            <v>LIABILITY FOR EXPENSES (2012-13)</v>
          </cell>
          <cell r="D349">
            <v>-1221624.1999999955</v>
          </cell>
          <cell r="E349">
            <v>-829420</v>
          </cell>
          <cell r="J349">
            <v>-1221624</v>
          </cell>
          <cell r="K349">
            <v>-829420</v>
          </cell>
        </row>
        <row r="350">
          <cell r="B350">
            <v>15463</v>
          </cell>
          <cell r="C350" t="str">
            <v>LIABILITY FOR EXPENSES (2013-14)</v>
          </cell>
          <cell r="D350">
            <v>-2662582</v>
          </cell>
          <cell r="E350">
            <v>1573699</v>
          </cell>
          <cell r="J350">
            <v>-2662582</v>
          </cell>
          <cell r="K350">
            <v>1573699</v>
          </cell>
        </row>
        <row r="351">
          <cell r="B351">
            <v>15464</v>
          </cell>
          <cell r="C351" t="str">
            <v>LIABILITY FOR EXPENSES (2014-15)</v>
          </cell>
          <cell r="D351">
            <v>-2010028.7199999876</v>
          </cell>
          <cell r="E351">
            <v>159269</v>
          </cell>
          <cell r="J351">
            <v>-2010029</v>
          </cell>
          <cell r="K351">
            <v>159269</v>
          </cell>
        </row>
        <row r="352">
          <cell r="B352">
            <v>15465</v>
          </cell>
          <cell r="C352" t="str">
            <v>LIABILITY FOR EXPENSES (2015-16)</v>
          </cell>
          <cell r="D352">
            <v>-41070951.399999999</v>
          </cell>
          <cell r="E352">
            <v>-21433811</v>
          </cell>
          <cell r="G352">
            <v>-225000</v>
          </cell>
          <cell r="J352">
            <v>-41295951</v>
          </cell>
          <cell r="K352">
            <v>-21433811</v>
          </cell>
        </row>
        <row r="353">
          <cell r="B353">
            <v>15470</v>
          </cell>
          <cell r="C353" t="str">
            <v>LIABILITY FOR EXPENSES (OLD [UPTO 2010])</v>
          </cell>
          <cell r="D353">
            <v>-90245.260000001639</v>
          </cell>
          <cell r="E353">
            <v>-252588.62999999896</v>
          </cell>
          <cell r="J353">
            <v>-90245</v>
          </cell>
          <cell r="K353">
            <v>-252589</v>
          </cell>
        </row>
        <row r="354">
          <cell r="B354">
            <v>15474</v>
          </cell>
          <cell r="C354" t="str">
            <v>INT ACCRUED BUT NOT DUE ON LOAN</v>
          </cell>
          <cell r="D354">
            <v>-1301943.2299999967</v>
          </cell>
          <cell r="E354">
            <v>0</v>
          </cell>
          <cell r="J354">
            <v>-1301943</v>
          </cell>
          <cell r="K354">
            <v>0</v>
          </cell>
        </row>
        <row r="355">
          <cell r="B355">
            <v>15489</v>
          </cell>
          <cell r="C355" t="str">
            <v>DIVIDEND (LIAB) A/C (1734-1742)</v>
          </cell>
          <cell r="D355">
            <v>-1671384.599999994</v>
          </cell>
          <cell r="E355">
            <v>0</v>
          </cell>
          <cell r="J355">
            <v>-1671385</v>
          </cell>
          <cell r="K355">
            <v>0</v>
          </cell>
        </row>
        <row r="356">
          <cell r="B356">
            <v>15497</v>
          </cell>
          <cell r="C356" t="str">
            <v>DEPOSIT RECEIVED</v>
          </cell>
          <cell r="D356">
            <v>-1827671</v>
          </cell>
          <cell r="E356">
            <v>-8905444.0300000012</v>
          </cell>
          <cell r="J356">
            <v>-1827671</v>
          </cell>
          <cell r="K356">
            <v>-8905444</v>
          </cell>
        </row>
        <row r="357">
          <cell r="B357">
            <v>15498</v>
          </cell>
          <cell r="C357" t="str">
            <v>EMD RECEIVED</v>
          </cell>
          <cell r="D357">
            <v>0</v>
          </cell>
          <cell r="E357">
            <v>0</v>
          </cell>
          <cell r="J357">
            <v>0</v>
          </cell>
          <cell r="K357">
            <v>0</v>
          </cell>
        </row>
        <row r="358">
          <cell r="B358">
            <v>15499</v>
          </cell>
          <cell r="C358" t="str">
            <v>ADVANCE RECEIVED FROM CUST</v>
          </cell>
          <cell r="D358">
            <v>-7050327.6500000004</v>
          </cell>
          <cell r="E358">
            <v>-51463.179999999993</v>
          </cell>
          <cell r="J358">
            <v>-7050328</v>
          </cell>
          <cell r="K358">
            <v>-51463</v>
          </cell>
        </row>
        <row r="359">
          <cell r="B359">
            <v>15500</v>
          </cell>
          <cell r="C359" t="str">
            <v>DEBTORS CREDIT BALANCES (2010-11)</v>
          </cell>
          <cell r="D359">
            <v>0</v>
          </cell>
          <cell r="E359">
            <v>0</v>
          </cell>
          <cell r="J359">
            <v>0</v>
          </cell>
          <cell r="K359">
            <v>0</v>
          </cell>
        </row>
        <row r="360">
          <cell r="B360">
            <v>15506</v>
          </cell>
          <cell r="C360" t="str">
            <v>VAT PAYABLE</v>
          </cell>
          <cell r="D360">
            <v>-63.5</v>
          </cell>
          <cell r="E360">
            <v>-0.36000001430511475</v>
          </cell>
          <cell r="J360">
            <v>-64</v>
          </cell>
          <cell r="K360">
            <v>0</v>
          </cell>
        </row>
        <row r="361">
          <cell r="B361">
            <v>15507</v>
          </cell>
          <cell r="C361" t="str">
            <v>VAT RECEIVABLE</v>
          </cell>
          <cell r="D361">
            <v>63.5</v>
          </cell>
          <cell r="E361">
            <v>0</v>
          </cell>
          <cell r="J361">
            <v>64</v>
          </cell>
          <cell r="K361">
            <v>0</v>
          </cell>
        </row>
        <row r="362">
          <cell r="B362">
            <v>15511</v>
          </cell>
          <cell r="C362" t="str">
            <v>CST PAYABLE</v>
          </cell>
          <cell r="D362">
            <v>0</v>
          </cell>
          <cell r="E362">
            <v>-1.4988472685217857E-9</v>
          </cell>
          <cell r="J362">
            <v>0</v>
          </cell>
          <cell r="K362">
            <v>0</v>
          </cell>
        </row>
        <row r="363">
          <cell r="B363">
            <v>15518</v>
          </cell>
          <cell r="C363" t="str">
            <v>COCHIN VAT PAYABLE</v>
          </cell>
          <cell r="D363">
            <v>0</v>
          </cell>
          <cell r="E363">
            <v>-249621.38000000082</v>
          </cell>
          <cell r="J363">
            <v>0</v>
          </cell>
          <cell r="K363">
            <v>-249621</v>
          </cell>
        </row>
        <row r="364">
          <cell r="B364">
            <v>15522</v>
          </cell>
          <cell r="C364" t="str">
            <v>CST PAYABLE (COCHIN)</v>
          </cell>
          <cell r="D364">
            <v>0</v>
          </cell>
          <cell r="E364">
            <v>-7129</v>
          </cell>
          <cell r="J364">
            <v>0</v>
          </cell>
          <cell r="K364">
            <v>-7129</v>
          </cell>
        </row>
        <row r="365">
          <cell r="B365">
            <v>15526</v>
          </cell>
          <cell r="C365" t="str">
            <v>LIABILITES TOWARDS SALES TAX</v>
          </cell>
          <cell r="D365">
            <v>-6313860</v>
          </cell>
          <cell r="E365">
            <v>-13468112</v>
          </cell>
          <cell r="J365">
            <v>-6313860</v>
          </cell>
          <cell r="K365">
            <v>-13468112</v>
          </cell>
        </row>
        <row r="366">
          <cell r="B366">
            <v>15531</v>
          </cell>
          <cell r="C366" t="str">
            <v>PURCHASE TAX PAYABLE (vat)</v>
          </cell>
          <cell r="D366">
            <v>-2483.9799999999814</v>
          </cell>
          <cell r="E366">
            <v>2483.9800000002142</v>
          </cell>
          <cell r="J366">
            <v>-2484</v>
          </cell>
          <cell r="K366">
            <v>2484</v>
          </cell>
        </row>
        <row r="367">
          <cell r="B367">
            <v>15535</v>
          </cell>
          <cell r="C367" t="str">
            <v>TCS - SCRAP SALES</v>
          </cell>
          <cell r="D367">
            <v>-45053</v>
          </cell>
          <cell r="E367">
            <v>-5848</v>
          </cell>
          <cell r="J367">
            <v>-45053</v>
          </cell>
          <cell r="K367">
            <v>-5848</v>
          </cell>
        </row>
        <row r="368">
          <cell r="B368">
            <v>15537</v>
          </cell>
          <cell r="C368" t="str">
            <v>TDS - EMPLOYEES (192)</v>
          </cell>
          <cell r="D368">
            <v>-979259.50999999978</v>
          </cell>
          <cell r="E368">
            <v>-467862</v>
          </cell>
          <cell r="J368">
            <v>-979260</v>
          </cell>
          <cell r="K368">
            <v>-467862</v>
          </cell>
        </row>
        <row r="369">
          <cell r="B369">
            <v>15538</v>
          </cell>
          <cell r="C369" t="str">
            <v>TDS - INT OTHER THAN SECURITIES (193)</v>
          </cell>
          <cell r="D369">
            <v>82343</v>
          </cell>
          <cell r="E369">
            <v>-90420</v>
          </cell>
          <cell r="J369">
            <v>82343</v>
          </cell>
          <cell r="K369">
            <v>-90420</v>
          </cell>
        </row>
        <row r="370">
          <cell r="B370">
            <v>15539</v>
          </cell>
          <cell r="C370" t="str">
            <v>TDS - CONTRACTORS (194 C)</v>
          </cell>
          <cell r="D370">
            <v>1108461.5</v>
          </cell>
          <cell r="E370">
            <v>-1560120</v>
          </cell>
          <cell r="J370">
            <v>1108462</v>
          </cell>
          <cell r="K370">
            <v>-1560120</v>
          </cell>
        </row>
        <row r="371">
          <cell r="B371">
            <v>15540</v>
          </cell>
          <cell r="C371" t="str">
            <v>TDS - COMMISSION/ BROKERAGE (195 H)</v>
          </cell>
          <cell r="D371">
            <v>702164.99999999977</v>
          </cell>
          <cell r="E371">
            <v>-720794</v>
          </cell>
          <cell r="J371">
            <v>702165</v>
          </cell>
          <cell r="K371">
            <v>-720794</v>
          </cell>
        </row>
        <row r="372">
          <cell r="B372">
            <v>15541</v>
          </cell>
          <cell r="C372" t="str">
            <v>TDS - RENT (194 I)</v>
          </cell>
          <cell r="D372">
            <v>44785</v>
          </cell>
          <cell r="E372">
            <v>-51632</v>
          </cell>
          <cell r="J372">
            <v>44785</v>
          </cell>
          <cell r="K372">
            <v>-51632</v>
          </cell>
        </row>
        <row r="373">
          <cell r="B373">
            <v>15542</v>
          </cell>
          <cell r="C373" t="str">
            <v>TDS - PROFESSIONALS/ TECHNICAL SERVICES</v>
          </cell>
          <cell r="D373">
            <v>-409404</v>
          </cell>
          <cell r="E373">
            <v>-143282</v>
          </cell>
          <cell r="G373">
            <v>-25000</v>
          </cell>
          <cell r="J373">
            <v>-434404</v>
          </cell>
          <cell r="K373">
            <v>-143282</v>
          </cell>
        </row>
        <row r="374">
          <cell r="B374">
            <v>15543</v>
          </cell>
          <cell r="C374" t="str">
            <v>TDS/ TCS - ADJUSTMENT (OPENING BALANCE)</v>
          </cell>
          <cell r="D374">
            <v>1</v>
          </cell>
          <cell r="E374">
            <v>-1</v>
          </cell>
          <cell r="J374">
            <v>1</v>
          </cell>
          <cell r="K374">
            <v>-1</v>
          </cell>
        </row>
        <row r="375">
          <cell r="B375">
            <v>15544</v>
          </cell>
          <cell r="C375" t="str">
            <v>TDS - ON VAT</v>
          </cell>
          <cell r="D375">
            <v>0</v>
          </cell>
          <cell r="E375">
            <v>0</v>
          </cell>
          <cell r="J375">
            <v>0</v>
          </cell>
          <cell r="K375">
            <v>0</v>
          </cell>
        </row>
        <row r="376">
          <cell r="B376">
            <v>15546</v>
          </cell>
          <cell r="C376" t="str">
            <v>TDS-NRI</v>
          </cell>
          <cell r="D376">
            <v>-1211073</v>
          </cell>
          <cell r="E376">
            <v>-235498</v>
          </cell>
          <cell r="J376">
            <v>-1211073</v>
          </cell>
          <cell r="K376">
            <v>-235498</v>
          </cell>
        </row>
        <row r="377">
          <cell r="B377">
            <v>15556</v>
          </cell>
          <cell r="C377" t="str">
            <v>EXCISE DUTY PAYABLE A/C (FG CL ST)</v>
          </cell>
          <cell r="D377">
            <v>-5237388</v>
          </cell>
          <cell r="E377">
            <v>-2144585</v>
          </cell>
          <cell r="J377">
            <v>-5237388</v>
          </cell>
          <cell r="K377">
            <v>-2144585</v>
          </cell>
        </row>
        <row r="378">
          <cell r="B378">
            <v>15557</v>
          </cell>
          <cell r="C378" t="str">
            <v>PROVIDENT FUND ADJUSTABLE - EMPLOYEES</v>
          </cell>
          <cell r="D378">
            <v>-843539</v>
          </cell>
          <cell r="E378">
            <v>-834755</v>
          </cell>
          <cell r="J378">
            <v>-843539</v>
          </cell>
          <cell r="K378">
            <v>-834755</v>
          </cell>
        </row>
        <row r="379">
          <cell r="B379">
            <v>15558</v>
          </cell>
          <cell r="C379" t="str">
            <v>PROVIDENT FUND ADJUSTABLE - CONTRACTORS &amp; OTHERS</v>
          </cell>
          <cell r="D379">
            <v>-2438</v>
          </cell>
          <cell r="E379">
            <v>-22154</v>
          </cell>
          <cell r="J379">
            <v>-2438</v>
          </cell>
          <cell r="K379">
            <v>-22154</v>
          </cell>
        </row>
        <row r="380">
          <cell r="B380">
            <v>15559</v>
          </cell>
          <cell r="C380" t="str">
            <v>PROFESSIONAL TAX ADJUSTABLE - EMPLOYEES</v>
          </cell>
          <cell r="D380">
            <v>-35375</v>
          </cell>
          <cell r="E380">
            <v>-9000</v>
          </cell>
          <cell r="J380">
            <v>-35375</v>
          </cell>
          <cell r="K380">
            <v>-9000</v>
          </cell>
        </row>
        <row r="381">
          <cell r="B381">
            <v>15560</v>
          </cell>
          <cell r="C381" t="str">
            <v>PROFESSIONAL TAX ADJUSTABLE - CONTRACTORS &amp; OTHERS</v>
          </cell>
          <cell r="D381">
            <v>-575</v>
          </cell>
          <cell r="E381">
            <v>-14800</v>
          </cell>
          <cell r="J381">
            <v>-575</v>
          </cell>
          <cell r="K381">
            <v>-14800</v>
          </cell>
        </row>
        <row r="382">
          <cell r="B382">
            <v>15561</v>
          </cell>
          <cell r="C382" t="str">
            <v>ESIC ADJUSTABLE - EMPLOYEES</v>
          </cell>
          <cell r="D382">
            <v>-3995</v>
          </cell>
          <cell r="E382">
            <v>3995</v>
          </cell>
          <cell r="J382">
            <v>-3995</v>
          </cell>
          <cell r="K382">
            <v>3995</v>
          </cell>
        </row>
        <row r="383">
          <cell r="B383">
            <v>15562</v>
          </cell>
          <cell r="C383" t="str">
            <v>ESIC ADJUSTABLE - CONTRACTORS &amp; OTHERS</v>
          </cell>
          <cell r="D383">
            <v>-36745</v>
          </cell>
          <cell r="E383">
            <v>-45350</v>
          </cell>
          <cell r="J383">
            <v>-36745</v>
          </cell>
          <cell r="K383">
            <v>-45350</v>
          </cell>
        </row>
        <row r="384">
          <cell r="B384">
            <v>15564</v>
          </cell>
          <cell r="C384" t="str">
            <v>REIMB. OF EXP TO BE INCURRED ON DELISTING OF SHARES</v>
          </cell>
          <cell r="D384">
            <v>-233633.21999999997</v>
          </cell>
          <cell r="E384">
            <v>0</v>
          </cell>
          <cell r="J384">
            <v>-233633</v>
          </cell>
          <cell r="K384">
            <v>0</v>
          </cell>
        </row>
        <row r="385">
          <cell r="B385">
            <v>15565</v>
          </cell>
          <cell r="C385" t="str">
            <v>NMMC CESS LIABILITY</v>
          </cell>
          <cell r="D385">
            <v>-18141409.629999995</v>
          </cell>
          <cell r="E385">
            <v>18141409.630000006</v>
          </cell>
          <cell r="J385">
            <v>-18141410</v>
          </cell>
          <cell r="K385">
            <v>18141410</v>
          </cell>
        </row>
        <row r="386">
          <cell r="B386">
            <v>15566</v>
          </cell>
          <cell r="C386" t="str">
            <v>LIABILITY FOR CAPEX</v>
          </cell>
          <cell r="D386">
            <v>0</v>
          </cell>
          <cell r="E386">
            <v>0.28999999980442226</v>
          </cell>
          <cell r="J386">
            <v>0</v>
          </cell>
          <cell r="K386">
            <v>0</v>
          </cell>
        </row>
        <row r="387">
          <cell r="B387">
            <v>15567</v>
          </cell>
          <cell r="C387" t="str">
            <v>Swachh Bharat Cess (Liab)</v>
          </cell>
          <cell r="D387">
            <v>-60535.979999999996</v>
          </cell>
          <cell r="E387">
            <v>-1772.6999999999971</v>
          </cell>
          <cell r="J387">
            <v>-60536</v>
          </cell>
          <cell r="K387">
            <v>-1773</v>
          </cell>
        </row>
        <row r="388">
          <cell r="B388">
            <v>15576</v>
          </cell>
          <cell r="C388" t="str">
            <v>PROVISION FOR GRATUITY</v>
          </cell>
          <cell r="D388">
            <v>-3534475</v>
          </cell>
          <cell r="E388">
            <v>-6666635</v>
          </cell>
          <cell r="G388">
            <v>93729</v>
          </cell>
          <cell r="J388">
            <v>-3440746</v>
          </cell>
          <cell r="K388">
            <v>-6666635</v>
          </cell>
        </row>
        <row r="389">
          <cell r="B389">
            <v>15577</v>
          </cell>
          <cell r="C389" t="str">
            <v>PROVISION FOR LEAVE ENCASHMENT</v>
          </cell>
          <cell r="D389">
            <v>-12601493</v>
          </cell>
          <cell r="E389">
            <v>-8289697</v>
          </cell>
          <cell r="J389">
            <v>-12601493</v>
          </cell>
          <cell r="K389">
            <v>-8289697</v>
          </cell>
        </row>
        <row r="390">
          <cell r="B390">
            <v>15585</v>
          </cell>
          <cell r="C390" t="str">
            <v>PROVISION FOR TAXATION</v>
          </cell>
          <cell r="D390">
            <v>-80993889</v>
          </cell>
          <cell r="E390">
            <v>0</v>
          </cell>
          <cell r="G390">
            <v>-36300000</v>
          </cell>
          <cell r="H390">
            <v>0</v>
          </cell>
          <cell r="J390">
            <v>-117293889</v>
          </cell>
          <cell r="K390">
            <v>0</v>
          </cell>
        </row>
        <row r="391">
          <cell r="B391">
            <v>15586</v>
          </cell>
          <cell r="C391" t="str">
            <v>PROVISION FOR FBT</v>
          </cell>
          <cell r="D391">
            <v>-6240000</v>
          </cell>
          <cell r="E391">
            <v>0</v>
          </cell>
          <cell r="J391">
            <v>-6240000</v>
          </cell>
          <cell r="K391">
            <v>0</v>
          </cell>
        </row>
        <row r="392">
          <cell r="B392">
            <v>15587</v>
          </cell>
          <cell r="C392" t="str">
            <v>PROVISION FOR WEALTH TAX</v>
          </cell>
          <cell r="D392">
            <v>-132055</v>
          </cell>
          <cell r="E392">
            <v>0</v>
          </cell>
          <cell r="J392">
            <v>-132055</v>
          </cell>
          <cell r="K392">
            <v>0</v>
          </cell>
        </row>
        <row r="393">
          <cell r="B393">
            <v>15595</v>
          </cell>
          <cell r="C393" t="str">
            <v>PROPOSED DIVIDEND</v>
          </cell>
          <cell r="D393">
            <v>0</v>
          </cell>
          <cell r="E393">
            <v>0</v>
          </cell>
          <cell r="J393">
            <v>0</v>
          </cell>
          <cell r="K393">
            <v>0</v>
          </cell>
        </row>
        <row r="394">
          <cell r="B394">
            <v>15596</v>
          </cell>
          <cell r="C394" t="str">
            <v>DISTRIBUTION TAX</v>
          </cell>
          <cell r="D394">
            <v>-7512918</v>
          </cell>
          <cell r="E394">
            <v>0</v>
          </cell>
          <cell r="G394">
            <v>0</v>
          </cell>
          <cell r="J394">
            <v>-7512918</v>
          </cell>
          <cell r="K394">
            <v>0</v>
          </cell>
        </row>
        <row r="395">
          <cell r="B395">
            <v>15606</v>
          </cell>
          <cell r="C395" t="str">
            <v>IMPORT DUTY EXPENCE A/C</v>
          </cell>
          <cell r="D395">
            <v>0</v>
          </cell>
          <cell r="E395">
            <v>0</v>
          </cell>
          <cell r="J395">
            <v>0</v>
          </cell>
          <cell r="K395">
            <v>0</v>
          </cell>
        </row>
        <row r="396">
          <cell r="B396">
            <v>15607</v>
          </cell>
          <cell r="C396" t="str">
            <v>IMPORT DUTY PAYABLE A/C</v>
          </cell>
          <cell r="D396">
            <v>4886092.4599999934</v>
          </cell>
          <cell r="E396">
            <v>-4886092.459999999</v>
          </cell>
          <cell r="J396">
            <v>4886092</v>
          </cell>
          <cell r="K396">
            <v>-4886092</v>
          </cell>
        </row>
        <row r="397">
          <cell r="B397">
            <v>15609</v>
          </cell>
          <cell r="C397" t="str">
            <v>EXPORT DUTY PAYABLE A/C</v>
          </cell>
          <cell r="D397">
            <v>0</v>
          </cell>
          <cell r="E397">
            <v>0</v>
          </cell>
          <cell r="J397">
            <v>0</v>
          </cell>
          <cell r="K397">
            <v>0</v>
          </cell>
        </row>
        <row r="398">
          <cell r="B398">
            <v>15612</v>
          </cell>
          <cell r="C398" t="str">
            <v>TAX ADJUSTMENT - SETTLEMENT (SYS)</v>
          </cell>
          <cell r="D398">
            <v>0</v>
          </cell>
          <cell r="E398">
            <v>0</v>
          </cell>
          <cell r="J398">
            <v>0</v>
          </cell>
          <cell r="K398">
            <v>0</v>
          </cell>
        </row>
        <row r="399">
          <cell r="B399">
            <v>15613</v>
          </cell>
          <cell r="C399" t="str">
            <v>LIABILITY FOR TAX Group</v>
          </cell>
          <cell r="D399">
            <v>58051859.730000079</v>
          </cell>
          <cell r="E399">
            <v>-61755796.25999999</v>
          </cell>
          <cell r="J399">
            <v>58051860</v>
          </cell>
          <cell r="K399">
            <v>-61755796</v>
          </cell>
        </row>
        <row r="400">
          <cell r="B400">
            <v>15614</v>
          </cell>
          <cell r="C400" t="str">
            <v>ISSUE A/C - PACKING MATERIAL STOCK (BS)</v>
          </cell>
          <cell r="D400">
            <v>-11681475.190000005</v>
          </cell>
          <cell r="E400">
            <v>-3014657.379999999</v>
          </cell>
          <cell r="J400">
            <v>-11681475</v>
          </cell>
          <cell r="K400">
            <v>-3014657</v>
          </cell>
        </row>
        <row r="401">
          <cell r="B401">
            <v>15615</v>
          </cell>
          <cell r="C401" t="str">
            <v>PACKING SLIP A/C OFF SET (MATL ASSIGN YET TO DES NET 15119)</v>
          </cell>
          <cell r="D401">
            <v>0</v>
          </cell>
          <cell r="E401">
            <v>6</v>
          </cell>
          <cell r="J401">
            <v>0</v>
          </cell>
          <cell r="K401">
            <v>6</v>
          </cell>
        </row>
        <row r="402">
          <cell r="B402">
            <v>15616</v>
          </cell>
          <cell r="C402" t="str">
            <v>PRODUCTION ISSUE OFFSET A/C SALES ORDER ISSUE (1)</v>
          </cell>
          <cell r="D402">
            <v>64117648.429999352</v>
          </cell>
          <cell r="E402">
            <v>10939232.520019531</v>
          </cell>
          <cell r="J402">
            <v>64117648</v>
          </cell>
          <cell r="K402">
            <v>10939233</v>
          </cell>
        </row>
        <row r="403">
          <cell r="B403">
            <v>15617</v>
          </cell>
          <cell r="C403" t="str">
            <v>PRODUCTION PICKING SLIP A/C (1)</v>
          </cell>
          <cell r="D403">
            <v>5477.5999999046326</v>
          </cell>
          <cell r="E403">
            <v>-16137373.729999542</v>
          </cell>
          <cell r="J403">
            <v>5478</v>
          </cell>
          <cell r="K403">
            <v>-16137374</v>
          </cell>
        </row>
        <row r="404">
          <cell r="B404">
            <v>15618</v>
          </cell>
          <cell r="C404" t="str">
            <v>PRODUCTION PICKING SLIP OFFSET A/C (1)</v>
          </cell>
          <cell r="D404">
            <v>313142.69000053406</v>
          </cell>
          <cell r="E404">
            <v>28602331.859998703</v>
          </cell>
          <cell r="J404">
            <v>313143</v>
          </cell>
          <cell r="K404">
            <v>28602332</v>
          </cell>
        </row>
        <row r="405">
          <cell r="B405">
            <v>15619</v>
          </cell>
          <cell r="C405" t="str">
            <v>PRODCUTION REPORTS AS FINISHED A/C (NET OFF 15620)</v>
          </cell>
          <cell r="D405">
            <v>-942424.15000152588</v>
          </cell>
          <cell r="E405">
            <v>75036374.080001831</v>
          </cell>
          <cell r="J405">
            <v>-942424</v>
          </cell>
          <cell r="K405">
            <v>75036374</v>
          </cell>
        </row>
        <row r="406">
          <cell r="B406">
            <v>15620</v>
          </cell>
          <cell r="C406" t="str">
            <v>PRODCUTION REPORTS AS FINISHED OFFSET A/C (NET OFF 15619</v>
          </cell>
          <cell r="D406">
            <v>942424.15000152588</v>
          </cell>
          <cell r="E406">
            <v>-75036374.080001831</v>
          </cell>
          <cell r="J406">
            <v>942424</v>
          </cell>
          <cell r="K406">
            <v>-75036374</v>
          </cell>
        </row>
        <row r="407">
          <cell r="B407">
            <v>15622</v>
          </cell>
          <cell r="C407" t="str">
            <v>MULTIPLE ENTRY IN BANK PAYMENT ACCOUNT (SUSPENSE)</v>
          </cell>
          <cell r="D407">
            <v>8472796.5000000149</v>
          </cell>
          <cell r="E407">
            <v>-8472796.5</v>
          </cell>
          <cell r="J407">
            <v>8472797</v>
          </cell>
          <cell r="K407">
            <v>-8472797</v>
          </cell>
        </row>
        <row r="408">
          <cell r="B408">
            <v>15623</v>
          </cell>
          <cell r="C408" t="str">
            <v>WIP Issue a/c - Work Center</v>
          </cell>
          <cell r="D408">
            <v>0</v>
          </cell>
          <cell r="E408">
            <v>0</v>
          </cell>
          <cell r="J408">
            <v>0</v>
          </cell>
          <cell r="K408">
            <v>0</v>
          </cell>
        </row>
        <row r="409">
          <cell r="B409">
            <v>15624</v>
          </cell>
          <cell r="C409" t="str">
            <v>WIP a/c - Work Center (costing offset)</v>
          </cell>
          <cell r="D409">
            <v>0</v>
          </cell>
          <cell r="E409">
            <v>0</v>
          </cell>
          <cell r="J409">
            <v>0</v>
          </cell>
          <cell r="K409">
            <v>0</v>
          </cell>
        </row>
        <row r="410">
          <cell r="B410">
            <v>15627</v>
          </cell>
          <cell r="C410" t="str">
            <v>OPENING BALANCE OFF SET A/C</v>
          </cell>
          <cell r="D410">
            <v>0.20000028610229492</v>
          </cell>
          <cell r="E410">
            <v>-0.19999980926513672</v>
          </cell>
          <cell r="J410">
            <v>0</v>
          </cell>
          <cell r="K410">
            <v>0</v>
          </cell>
        </row>
        <row r="411">
          <cell r="B411">
            <v>15631</v>
          </cell>
          <cell r="C411" t="str">
            <v>INVENTORY ISSUE A/C (INTERNAL) - RM</v>
          </cell>
          <cell r="D411">
            <v>-16000867.080000162</v>
          </cell>
          <cell r="E411">
            <v>-61598664.409999847</v>
          </cell>
          <cell r="J411">
            <v>-16000867</v>
          </cell>
          <cell r="K411">
            <v>-61598664</v>
          </cell>
        </row>
        <row r="412">
          <cell r="B412">
            <v>15632</v>
          </cell>
          <cell r="C412" t="str">
            <v>ISSUE A/C - RM</v>
          </cell>
          <cell r="D412">
            <v>0</v>
          </cell>
          <cell r="E412">
            <v>-3713352.1500000004</v>
          </cell>
          <cell r="J412">
            <v>0</v>
          </cell>
          <cell r="K412">
            <v>-3713352</v>
          </cell>
        </row>
        <row r="413">
          <cell r="B413">
            <v>15633</v>
          </cell>
          <cell r="C413" t="str">
            <v>INVENTORY ISSUE A/C (INTERNAL) - RM (STEEL/HDPE)</v>
          </cell>
          <cell r="D413">
            <v>-334149.28999996185</v>
          </cell>
          <cell r="E413">
            <v>-10850611.869999886</v>
          </cell>
          <cell r="J413">
            <v>-334149</v>
          </cell>
          <cell r="K413">
            <v>-10850612</v>
          </cell>
        </row>
        <row r="414">
          <cell r="B414">
            <v>15634</v>
          </cell>
          <cell r="C414" t="str">
            <v>ISSUE A/C - RM (STEEL / HDPE) - BS</v>
          </cell>
          <cell r="D414">
            <v>-274055599.27999997</v>
          </cell>
          <cell r="E414">
            <v>-2286578364.4799995</v>
          </cell>
          <cell r="J414">
            <v>-274055599</v>
          </cell>
          <cell r="K414">
            <v>-2286578364</v>
          </cell>
        </row>
        <row r="415">
          <cell r="B415">
            <v>15635</v>
          </cell>
          <cell r="C415" t="str">
            <v>INVENTORY ISSUE A/C (INTERNAL) - RM (GASKET TUBE/ M B)</v>
          </cell>
          <cell r="D415">
            <v>0</v>
          </cell>
          <cell r="E415">
            <v>-112955.21000000089</v>
          </cell>
          <cell r="J415">
            <v>0</v>
          </cell>
          <cell r="K415">
            <v>-112955</v>
          </cell>
        </row>
        <row r="416">
          <cell r="B416">
            <v>15636</v>
          </cell>
          <cell r="C416" t="str">
            <v>ISSUE A/C - RM (GASKET TUBE / MASTER BATCH) - BS</v>
          </cell>
          <cell r="D416">
            <v>0</v>
          </cell>
          <cell r="E416">
            <v>-8031843.2400000021</v>
          </cell>
          <cell r="J416">
            <v>0</v>
          </cell>
          <cell r="K416">
            <v>-8031843</v>
          </cell>
        </row>
        <row r="417">
          <cell r="B417">
            <v>15637</v>
          </cell>
          <cell r="C417" t="str">
            <v>INVENTORY ISSUE A/C (INTERNAL) - RM (TINPLATE / CO-PP)</v>
          </cell>
          <cell r="D417">
            <v>0</v>
          </cell>
          <cell r="E417">
            <v>864464.57999992371</v>
          </cell>
          <cell r="J417">
            <v>0</v>
          </cell>
          <cell r="K417">
            <v>864465</v>
          </cell>
        </row>
        <row r="418">
          <cell r="B418">
            <v>15638</v>
          </cell>
          <cell r="C418" t="str">
            <v>ISSUE A/C - RM (TIN PLATE / CO-PP) - BS</v>
          </cell>
          <cell r="D418">
            <v>-17794096.960000008</v>
          </cell>
          <cell r="E418">
            <v>-33632400.870000124</v>
          </cell>
          <cell r="J418">
            <v>-17794097</v>
          </cell>
          <cell r="K418">
            <v>-33632401</v>
          </cell>
        </row>
        <row r="419">
          <cell r="B419">
            <v>15639</v>
          </cell>
          <cell r="C419" t="str">
            <v>INVENTORY ISSUE A/C (INTERNAL) - RM (INKS)</v>
          </cell>
          <cell r="D419">
            <v>0</v>
          </cell>
          <cell r="E419">
            <v>-111094.66000000015</v>
          </cell>
          <cell r="J419">
            <v>0</v>
          </cell>
          <cell r="K419">
            <v>-111095</v>
          </cell>
        </row>
        <row r="420">
          <cell r="B420">
            <v>15640</v>
          </cell>
          <cell r="C420" t="str">
            <v>ISSE A/C - RM (INKS) - BS</v>
          </cell>
          <cell r="D420">
            <v>-1306722.8299999996</v>
          </cell>
          <cell r="E420">
            <v>-4311525.6300000027</v>
          </cell>
          <cell r="J420">
            <v>-1306723</v>
          </cell>
          <cell r="K420">
            <v>-4311526</v>
          </cell>
        </row>
        <row r="421">
          <cell r="B421">
            <v>15641</v>
          </cell>
          <cell r="C421" t="str">
            <v>INVENTORY ISSUE A/C (INTERNAL) - RM (CHEMICALS/ACCESSORIES)</v>
          </cell>
          <cell r="D421">
            <v>-5254.2699999958277</v>
          </cell>
          <cell r="E421">
            <v>-834190.69999998808</v>
          </cell>
          <cell r="J421">
            <v>-5254</v>
          </cell>
          <cell r="K421">
            <v>-834191</v>
          </cell>
        </row>
        <row r="422">
          <cell r="B422">
            <v>15642</v>
          </cell>
          <cell r="C422" t="str">
            <v>ISSUE A/C - RM (CHEMICALS / ACCESSORIES) - BS</v>
          </cell>
          <cell r="D422">
            <v>-20672534.859999999</v>
          </cell>
          <cell r="E422">
            <v>-29126955.029999971</v>
          </cell>
          <cell r="J422">
            <v>-20672535</v>
          </cell>
          <cell r="K422">
            <v>-29126955</v>
          </cell>
        </row>
        <row r="423">
          <cell r="B423">
            <v>15643</v>
          </cell>
          <cell r="C423" t="str">
            <v>INVENTORY ISSUE A/C (INTERNAL) - RM (OTHERS)</v>
          </cell>
          <cell r="D423">
            <v>0</v>
          </cell>
          <cell r="E423">
            <v>0</v>
          </cell>
          <cell r="J423">
            <v>0</v>
          </cell>
          <cell r="K423">
            <v>0</v>
          </cell>
        </row>
        <row r="424">
          <cell r="B424">
            <v>15644</v>
          </cell>
          <cell r="C424" t="str">
            <v>ISSUE A/C - RM (OTHERS) - BS</v>
          </cell>
          <cell r="D424">
            <v>-12189792.300000004</v>
          </cell>
          <cell r="E424">
            <v>0</v>
          </cell>
          <cell r="J424">
            <v>-12189792</v>
          </cell>
          <cell r="K424">
            <v>0</v>
          </cell>
        </row>
        <row r="425">
          <cell r="B425">
            <v>15645</v>
          </cell>
          <cell r="C425" t="str">
            <v>INVENTORY ISSUE A/C (INTERNAL) - RM (PURCHASE+PROCESS)</v>
          </cell>
          <cell r="D425">
            <v>17006.629999995232</v>
          </cell>
          <cell r="E425">
            <v>0</v>
          </cell>
          <cell r="J425">
            <v>17007</v>
          </cell>
          <cell r="K425">
            <v>0</v>
          </cell>
        </row>
        <row r="426">
          <cell r="B426">
            <v>15646</v>
          </cell>
          <cell r="C426" t="str">
            <v>ISSUE A/C - RM (PUCHASE+PROCESS) - BS</v>
          </cell>
          <cell r="D426">
            <v>-51937030.370000005</v>
          </cell>
          <cell r="E426">
            <v>0</v>
          </cell>
          <cell r="J426">
            <v>-51937030</v>
          </cell>
          <cell r="K426">
            <v>0</v>
          </cell>
        </row>
        <row r="427">
          <cell r="B427">
            <v>15647</v>
          </cell>
          <cell r="C427" t="str">
            <v>INVENTORY ISSUE A/C (INTERNAL) - FG/WIP/SCRAP</v>
          </cell>
          <cell r="D427">
            <v>-2510616.599999994</v>
          </cell>
          <cell r="E427">
            <v>-853820.3599999994</v>
          </cell>
          <cell r="J427">
            <v>-2510617</v>
          </cell>
          <cell r="K427">
            <v>-853820</v>
          </cell>
        </row>
        <row r="428">
          <cell r="B428">
            <v>15648</v>
          </cell>
          <cell r="C428" t="str">
            <v>SCRAP CONSUMED</v>
          </cell>
          <cell r="D428">
            <v>67974031.970000029</v>
          </cell>
          <cell r="E428">
            <v>0</v>
          </cell>
          <cell r="J428">
            <v>67974032</v>
          </cell>
          <cell r="K428">
            <v>0</v>
          </cell>
        </row>
        <row r="429">
          <cell r="B429">
            <v>16000</v>
          </cell>
          <cell r="C429" t="str">
            <v>CLOSING STOCK OF PACKING MATERIALS</v>
          </cell>
          <cell r="D429">
            <v>1116747</v>
          </cell>
          <cell r="E429">
            <v>1364131</v>
          </cell>
          <cell r="J429">
            <v>1116747</v>
          </cell>
          <cell r="K429">
            <v>1364131</v>
          </cell>
        </row>
        <row r="430">
          <cell r="B430">
            <v>16001</v>
          </cell>
          <cell r="C430" t="str">
            <v>STOCK TRF A/C FOR CHENNAI TO COCHIN (CHE NOT IN ERP)</v>
          </cell>
          <cell r="D430">
            <v>0</v>
          </cell>
          <cell r="E430">
            <v>-200</v>
          </cell>
          <cell r="J430">
            <v>0</v>
          </cell>
          <cell r="K430">
            <v>-200</v>
          </cell>
        </row>
        <row r="431">
          <cell r="B431">
            <v>153441</v>
          </cell>
          <cell r="C431" t="str">
            <v>SERVICE TAX RECEIVABLE (RCM)</v>
          </cell>
          <cell r="D431">
            <v>3493634.5</v>
          </cell>
          <cell r="E431">
            <v>2789068</v>
          </cell>
          <cell r="J431">
            <v>3493635</v>
          </cell>
          <cell r="K431">
            <v>2789068</v>
          </cell>
        </row>
        <row r="432">
          <cell r="B432">
            <v>153442</v>
          </cell>
          <cell r="C432" t="str">
            <v>SERVICE TAX - ISD (ASSETS)</v>
          </cell>
          <cell r="D432">
            <v>710.81999999999971</v>
          </cell>
          <cell r="E432">
            <v>143045</v>
          </cell>
          <cell r="J432">
            <v>711</v>
          </cell>
          <cell r="K432">
            <v>143045</v>
          </cell>
        </row>
        <row r="433">
          <cell r="B433">
            <v>153471</v>
          </cell>
          <cell r="C433" t="str">
            <v>SERVICE TAX PAYABLE (RCM)</v>
          </cell>
          <cell r="D433">
            <v>-1262255.7999999998</v>
          </cell>
          <cell r="E433">
            <v>-838733.34000000032</v>
          </cell>
          <cell r="J433">
            <v>-1262256</v>
          </cell>
          <cell r="K433">
            <v>-838733</v>
          </cell>
        </row>
        <row r="434">
          <cell r="B434">
            <v>153501</v>
          </cell>
          <cell r="C434" t="str">
            <v>EDU CESS ON SERVICE TAX INTERIM PAYABLE</v>
          </cell>
          <cell r="D434">
            <v>39133.699999999997</v>
          </cell>
          <cell r="E434">
            <v>5008.5499999999956</v>
          </cell>
          <cell r="J434">
            <v>39134</v>
          </cell>
          <cell r="K434">
            <v>5009</v>
          </cell>
        </row>
        <row r="435">
          <cell r="B435">
            <v>153502</v>
          </cell>
          <cell r="C435" t="str">
            <v>H EDU CESS ON SERVICE TAX INTERIM PAYABLE</v>
          </cell>
          <cell r="D435">
            <v>18974.420000000006</v>
          </cell>
          <cell r="E435">
            <v>3689.619999999999</v>
          </cell>
          <cell r="J435">
            <v>18974</v>
          </cell>
          <cell r="K435">
            <v>3690</v>
          </cell>
        </row>
        <row r="436">
          <cell r="B436">
            <v>999999</v>
          </cell>
          <cell r="C436" t="str">
            <v>Dummy Account</v>
          </cell>
          <cell r="D436">
            <v>0</v>
          </cell>
          <cell r="E436">
            <v>0</v>
          </cell>
          <cell r="J436">
            <v>0</v>
          </cell>
          <cell r="K436">
            <v>0</v>
          </cell>
        </row>
        <row r="437">
          <cell r="B437" t="str">
            <v>13388-1</v>
          </cell>
          <cell r="C437" t="str">
            <v>EDU CESS ON SERVICE TAX EXPENSE</v>
          </cell>
          <cell r="D437">
            <v>0</v>
          </cell>
          <cell r="E437">
            <v>0</v>
          </cell>
          <cell r="J437">
            <v>0</v>
          </cell>
          <cell r="K437">
            <v>0</v>
          </cell>
        </row>
        <row r="438">
          <cell r="B438" t="str">
            <v>13388-2</v>
          </cell>
          <cell r="C438" t="str">
            <v>H EDU CESS ON SERVICE TAX EXPENSE</v>
          </cell>
          <cell r="D438">
            <v>0</v>
          </cell>
          <cell r="E438">
            <v>0</v>
          </cell>
          <cell r="J438">
            <v>0</v>
          </cell>
          <cell r="K438">
            <v>0</v>
          </cell>
        </row>
        <row r="439">
          <cell r="B439" t="str">
            <v>15071-1</v>
          </cell>
          <cell r="C439" t="str">
            <v>CLOSING STOCK OF STORES SPARES BS (2012-13)</v>
          </cell>
          <cell r="D439">
            <v>36709707</v>
          </cell>
          <cell r="E439">
            <v>19624498.850000024</v>
          </cell>
          <cell r="J439">
            <v>36709707</v>
          </cell>
          <cell r="K439">
            <v>19624499</v>
          </cell>
        </row>
        <row r="440">
          <cell r="B440" t="str">
            <v>15075-1</v>
          </cell>
          <cell r="C440" t="str">
            <v>PURCHASE A/C - RM (STEEL / HDPE )</v>
          </cell>
          <cell r="D440">
            <v>192982400.08000004</v>
          </cell>
          <cell r="E440">
            <v>863799970.54998779</v>
          </cell>
          <cell r="J440">
            <v>192982400</v>
          </cell>
          <cell r="K440">
            <v>863799971</v>
          </cell>
        </row>
        <row r="441">
          <cell r="B441" t="str">
            <v>15075-2</v>
          </cell>
          <cell r="C441" t="str">
            <v>PURCHASE A/C - RM (GASKET TUBE / MASTER BATCH)</v>
          </cell>
          <cell r="D441">
            <v>0</v>
          </cell>
          <cell r="E441">
            <v>12204779</v>
          </cell>
          <cell r="J441">
            <v>0</v>
          </cell>
          <cell r="K441">
            <v>12204779</v>
          </cell>
        </row>
        <row r="442">
          <cell r="B442" t="str">
            <v>15075-3</v>
          </cell>
          <cell r="C442" t="str">
            <v>PURCHASE A/C - RM (TIN PLATE / CO-PP)</v>
          </cell>
          <cell r="D442">
            <v>6738693.400000006</v>
          </cell>
          <cell r="E442">
            <v>34270092.659999996</v>
          </cell>
          <cell r="J442">
            <v>6738693</v>
          </cell>
          <cell r="K442">
            <v>34270093</v>
          </cell>
        </row>
        <row r="443">
          <cell r="B443" t="str">
            <v>15075-4</v>
          </cell>
          <cell r="C443" t="str">
            <v>PURCHASE A/C - RM (INKS)</v>
          </cell>
          <cell r="D443">
            <v>1470359</v>
          </cell>
          <cell r="E443">
            <v>8743097.629999999</v>
          </cell>
          <cell r="J443">
            <v>1470359</v>
          </cell>
          <cell r="K443">
            <v>8743098</v>
          </cell>
        </row>
        <row r="444">
          <cell r="B444" t="str">
            <v>15075-5</v>
          </cell>
          <cell r="C444" t="str">
            <v>PURCHASE A/C - RM (CHEMICALS / ACCESSORIES)</v>
          </cell>
          <cell r="D444">
            <v>32633523.960000008</v>
          </cell>
          <cell r="E444">
            <v>16718704.089999987</v>
          </cell>
          <cell r="J444">
            <v>32633524</v>
          </cell>
          <cell r="K444">
            <v>16718704</v>
          </cell>
        </row>
        <row r="445">
          <cell r="B445" t="str">
            <v>15075-6</v>
          </cell>
          <cell r="C445" t="str">
            <v>PURCHASE A/C - RM (OTHERS)</v>
          </cell>
          <cell r="D445">
            <v>13748838.610000001</v>
          </cell>
          <cell r="E445">
            <v>0</v>
          </cell>
          <cell r="J445">
            <v>13748839</v>
          </cell>
          <cell r="K445">
            <v>0</v>
          </cell>
        </row>
        <row r="446">
          <cell r="B446" t="str">
            <v>15075-7</v>
          </cell>
          <cell r="C446" t="str">
            <v>PURCHASE A/C - RM (PURCHASE+PROCESS)</v>
          </cell>
          <cell r="D446">
            <v>47882762.409999996</v>
          </cell>
          <cell r="E446">
            <v>3377681</v>
          </cell>
          <cell r="J446">
            <v>47882762</v>
          </cell>
          <cell r="K446">
            <v>3377681</v>
          </cell>
        </row>
        <row r="447">
          <cell r="B447" t="str">
            <v>15135-2</v>
          </cell>
          <cell r="C447" t="str">
            <v>WORK IN PROCESS SCRAP (BS)</v>
          </cell>
          <cell r="D447">
            <v>-62435111.129999995</v>
          </cell>
          <cell r="E447">
            <v>0</v>
          </cell>
          <cell r="J447">
            <v>-62435111</v>
          </cell>
          <cell r="K447">
            <v>0</v>
          </cell>
        </row>
        <row r="448">
          <cell r="B448" t="str">
            <v>LIAB FOR EXP 13-14</v>
          </cell>
          <cell r="C448" t="str">
            <v>LIABILITY FOR EXPENSES ??</v>
          </cell>
          <cell r="D448">
            <v>0</v>
          </cell>
          <cell r="E448">
            <v>0</v>
          </cell>
        </row>
        <row r="449">
          <cell r="J449">
            <v>0</v>
          </cell>
          <cell r="K449">
            <v>0</v>
          </cell>
        </row>
        <row r="450">
          <cell r="J450">
            <v>0</v>
          </cell>
          <cell r="K450">
            <v>0</v>
          </cell>
        </row>
        <row r="451">
          <cell r="J451">
            <v>0</v>
          </cell>
          <cell r="K451">
            <v>0</v>
          </cell>
        </row>
        <row r="452">
          <cell r="J452">
            <v>0</v>
          </cell>
          <cell r="K452">
            <v>0</v>
          </cell>
        </row>
        <row r="453">
          <cell r="J453">
            <v>0</v>
          </cell>
          <cell r="K453">
            <v>0</v>
          </cell>
        </row>
        <row r="454">
          <cell r="J454">
            <v>0</v>
          </cell>
          <cell r="K454">
            <v>0</v>
          </cell>
        </row>
        <row r="455">
          <cell r="J455">
            <v>0</v>
          </cell>
          <cell r="K455">
            <v>0</v>
          </cell>
        </row>
        <row r="456">
          <cell r="J456">
            <v>0</v>
          </cell>
          <cell r="K456">
            <v>0</v>
          </cell>
        </row>
        <row r="457">
          <cell r="J457">
            <v>0</v>
          </cell>
          <cell r="K457">
            <v>0</v>
          </cell>
        </row>
        <row r="458">
          <cell r="J458">
            <v>0</v>
          </cell>
          <cell r="K458">
            <v>0</v>
          </cell>
        </row>
        <row r="459">
          <cell r="J459">
            <v>0</v>
          </cell>
          <cell r="K459">
            <v>0</v>
          </cell>
        </row>
        <row r="460">
          <cell r="J460">
            <v>0</v>
          </cell>
          <cell r="K460">
            <v>0</v>
          </cell>
        </row>
        <row r="461">
          <cell r="J461">
            <v>0</v>
          </cell>
          <cell r="K461">
            <v>0</v>
          </cell>
        </row>
      </sheetData>
      <sheetData sheetId="28">
        <row r="1">
          <cell r="B1">
            <v>1472.98333</v>
          </cell>
          <cell r="C1" t="str">
            <v>PCD-C</v>
          </cell>
          <cell r="D1">
            <v>1625731860.5799994</v>
          </cell>
          <cell r="E1">
            <v>1625731860.5799997</v>
          </cell>
          <cell r="F1">
            <v>0</v>
          </cell>
          <cell r="G1">
            <v>0</v>
          </cell>
          <cell r="H1">
            <v>-5</v>
          </cell>
          <cell r="I1">
            <v>-7</v>
          </cell>
          <cell r="J1">
            <v>0</v>
          </cell>
          <cell r="K1">
            <v>-2</v>
          </cell>
        </row>
        <row r="2">
          <cell r="B2">
            <v>-110.47177000000001</v>
          </cell>
          <cell r="D2">
            <v>1472.98333</v>
          </cell>
          <cell r="E2">
            <v>0</v>
          </cell>
          <cell r="G2">
            <v>0</v>
          </cell>
        </row>
        <row r="3">
          <cell r="E3" t="str">
            <v>Amount in Indian Rupees</v>
          </cell>
        </row>
        <row r="4">
          <cell r="D4" t="str">
            <v>Parameter: As On Date : 31-03-2016, With Transactions</v>
          </cell>
          <cell r="F4" t="str">
            <v>Blank Col</v>
          </cell>
          <cell r="H4" t="str">
            <v>Debit</v>
          </cell>
          <cell r="I4" t="str">
            <v>Credit</v>
          </cell>
          <cell r="J4" t="str">
            <v>Net Bal for P&amp;L</v>
          </cell>
          <cell r="K4" t="str">
            <v>Net Bal For B/S</v>
          </cell>
        </row>
        <row r="5">
          <cell r="B5" t="str">
            <v>Code</v>
          </cell>
          <cell r="C5" t="str">
            <v>Account Description</v>
          </cell>
          <cell r="D5" t="str">
            <v>Debit</v>
          </cell>
          <cell r="E5" t="str">
            <v>Credit</v>
          </cell>
          <cell r="F5" t="str">
            <v>Debit</v>
          </cell>
          <cell r="G5" t="str">
            <v>Credit</v>
          </cell>
        </row>
        <row r="6">
          <cell r="A6" t="str">
            <v>1627</v>
          </cell>
          <cell r="B6">
            <v>1627</v>
          </cell>
          <cell r="C6" t="str">
            <v>LIABILITY FOR EXPENSES [ 2015-16 ]</v>
          </cell>
          <cell r="D6">
            <v>0</v>
          </cell>
          <cell r="E6">
            <v>3542164</v>
          </cell>
          <cell r="J6">
            <v>-3542164</v>
          </cell>
          <cell r="K6">
            <v>-3542164</v>
          </cell>
        </row>
        <row r="7">
          <cell r="A7" t="str">
            <v>6094</v>
          </cell>
          <cell r="B7">
            <v>6094</v>
          </cell>
          <cell r="C7" t="str">
            <v>SERVICE TAX (RCM) LIABILITY</v>
          </cell>
          <cell r="D7">
            <v>0</v>
          </cell>
          <cell r="E7">
            <v>28905.9</v>
          </cell>
          <cell r="J7">
            <v>-28906</v>
          </cell>
          <cell r="K7">
            <v>-28906</v>
          </cell>
        </row>
        <row r="8">
          <cell r="A8" t="str">
            <v>6095</v>
          </cell>
          <cell r="B8">
            <v>6095</v>
          </cell>
          <cell r="C8" t="str">
            <v>SERVICE TAX (RCM) ASSET</v>
          </cell>
          <cell r="D8">
            <v>732.9</v>
          </cell>
          <cell r="E8">
            <v>0</v>
          </cell>
          <cell r="J8">
            <v>733</v>
          </cell>
          <cell r="K8">
            <v>733</v>
          </cell>
        </row>
        <row r="9">
          <cell r="A9" t="str">
            <v>0200</v>
          </cell>
          <cell r="B9">
            <v>200</v>
          </cell>
          <cell r="C9" t="str">
            <v>Current Account- HO</v>
          </cell>
          <cell r="D9">
            <v>14138382.25</v>
          </cell>
          <cell r="E9">
            <v>0</v>
          </cell>
          <cell r="J9">
            <v>14138382</v>
          </cell>
          <cell r="K9">
            <v>14138382</v>
          </cell>
        </row>
        <row r="10">
          <cell r="A10" t="str">
            <v>0201</v>
          </cell>
          <cell r="B10">
            <v>201</v>
          </cell>
          <cell r="C10" t="str">
            <v>Current Account- Valerex</v>
          </cell>
          <cell r="D10">
            <v>0</v>
          </cell>
          <cell r="E10">
            <v>843360078.13</v>
          </cell>
          <cell r="I10">
            <v>0</v>
          </cell>
          <cell r="J10">
            <v>-843360078</v>
          </cell>
          <cell r="K10">
            <v>-843360078</v>
          </cell>
        </row>
        <row r="11">
          <cell r="A11" t="str">
            <v>0203</v>
          </cell>
          <cell r="B11">
            <v>203</v>
          </cell>
          <cell r="C11" t="str">
            <v>HO A/C.PLASTICCONT.-CHENNAI</v>
          </cell>
          <cell r="D11">
            <v>829428990.71000004</v>
          </cell>
          <cell r="E11">
            <v>0</v>
          </cell>
          <cell r="J11">
            <v>829428991</v>
          </cell>
          <cell r="K11">
            <v>829428991</v>
          </cell>
        </row>
        <row r="12">
          <cell r="A12" t="str">
            <v>0206</v>
          </cell>
          <cell r="B12">
            <v>206</v>
          </cell>
          <cell r="C12" t="str">
            <v>Current Account - HO Dehradun</v>
          </cell>
          <cell r="D12">
            <v>2738931</v>
          </cell>
          <cell r="E12">
            <v>0</v>
          </cell>
          <cell r="J12">
            <v>2738931</v>
          </cell>
          <cell r="K12">
            <v>2738931</v>
          </cell>
        </row>
        <row r="13">
          <cell r="A13" t="str">
            <v>0208</v>
          </cell>
          <cell r="B13">
            <v>208</v>
          </cell>
          <cell r="C13" t="str">
            <v>H.O.A/C.-BANK-CHENNAI</v>
          </cell>
          <cell r="D13">
            <v>0</v>
          </cell>
          <cell r="E13">
            <v>272029100.22000003</v>
          </cell>
          <cell r="J13">
            <v>-272029100</v>
          </cell>
          <cell r="K13">
            <v>-272029100</v>
          </cell>
        </row>
        <row r="14">
          <cell r="A14" t="str">
            <v>0400</v>
          </cell>
          <cell r="B14">
            <v>400</v>
          </cell>
          <cell r="C14" t="str">
            <v>Cash in Hand</v>
          </cell>
          <cell r="D14">
            <v>37519</v>
          </cell>
          <cell r="E14">
            <v>0</v>
          </cell>
          <cell r="J14">
            <v>37519</v>
          </cell>
          <cell r="K14">
            <v>37519</v>
          </cell>
        </row>
        <row r="15">
          <cell r="A15" t="str">
            <v>0451</v>
          </cell>
          <cell r="B15">
            <v>451</v>
          </cell>
          <cell r="C15" t="str">
            <v>Cheque in Stale</v>
          </cell>
          <cell r="D15">
            <v>0</v>
          </cell>
          <cell r="E15">
            <v>167317</v>
          </cell>
          <cell r="J15">
            <v>-167317</v>
          </cell>
          <cell r="K15">
            <v>-167317</v>
          </cell>
        </row>
        <row r="16">
          <cell r="A16" t="str">
            <v>0601</v>
          </cell>
          <cell r="B16">
            <v>601</v>
          </cell>
          <cell r="C16" t="str">
            <v>CURRENT ACCOUNT - HSBC (003)</v>
          </cell>
          <cell r="D16">
            <v>1530445.54</v>
          </cell>
          <cell r="E16">
            <v>0</v>
          </cell>
          <cell r="J16">
            <v>1530446</v>
          </cell>
          <cell r="K16">
            <v>1530446</v>
          </cell>
        </row>
        <row r="17">
          <cell r="A17" t="str">
            <v>0605</v>
          </cell>
          <cell r="B17">
            <v>605</v>
          </cell>
          <cell r="C17" t="str">
            <v>CURRENT ACCOUNT - CORPN. BANK (A/C 03110000)</v>
          </cell>
          <cell r="D17">
            <v>1838595.43</v>
          </cell>
          <cell r="E17">
            <v>0</v>
          </cell>
          <cell r="J17">
            <v>1838595</v>
          </cell>
          <cell r="K17">
            <v>1838595</v>
          </cell>
        </row>
        <row r="18">
          <cell r="A18" t="str">
            <v>0740</v>
          </cell>
          <cell r="B18">
            <v>740</v>
          </cell>
          <cell r="C18" t="str">
            <v>Fixed Deposits</v>
          </cell>
          <cell r="D18">
            <v>125000</v>
          </cell>
          <cell r="E18">
            <v>0</v>
          </cell>
          <cell r="J18">
            <v>125000</v>
          </cell>
          <cell r="K18">
            <v>125000</v>
          </cell>
        </row>
        <row r="19">
          <cell r="A19" t="str">
            <v>813</v>
          </cell>
          <cell r="B19">
            <v>813</v>
          </cell>
          <cell r="C19" t="str">
            <v>CAR LOAN</v>
          </cell>
          <cell r="D19">
            <v>0</v>
          </cell>
          <cell r="E19">
            <v>700000</v>
          </cell>
          <cell r="J19">
            <v>-700000</v>
          </cell>
          <cell r="K19">
            <v>-700000</v>
          </cell>
        </row>
        <row r="20">
          <cell r="A20" t="str">
            <v>1050</v>
          </cell>
          <cell r="B20">
            <v>1050</v>
          </cell>
          <cell r="C20" t="str">
            <v>Profit &amp; Loss</v>
          </cell>
          <cell r="D20">
            <v>90765825.340000004</v>
          </cell>
          <cell r="E20">
            <v>0</v>
          </cell>
          <cell r="J20">
            <v>90765825</v>
          </cell>
          <cell r="K20">
            <v>90765825</v>
          </cell>
        </row>
        <row r="21">
          <cell r="A21" t="str">
            <v>1510</v>
          </cell>
          <cell r="B21">
            <v>1510</v>
          </cell>
          <cell r="C21" t="str">
            <v>Sundry Creditors Control</v>
          </cell>
          <cell r="D21">
            <v>0</v>
          </cell>
          <cell r="E21">
            <v>29428004.620000001</v>
          </cell>
          <cell r="J21">
            <v>-29428005</v>
          </cell>
          <cell r="K21">
            <v>-29428005</v>
          </cell>
        </row>
        <row r="22">
          <cell r="A22" t="str">
            <v>1622</v>
          </cell>
          <cell r="B22">
            <v>1622</v>
          </cell>
          <cell r="C22" t="str">
            <v>Liability for Expenses 2010-11</v>
          </cell>
          <cell r="D22">
            <v>0</v>
          </cell>
          <cell r="E22">
            <v>20983</v>
          </cell>
          <cell r="J22">
            <v>-20983</v>
          </cell>
          <cell r="K22">
            <v>-20983</v>
          </cell>
        </row>
        <row r="23">
          <cell r="A23" t="str">
            <v>1624</v>
          </cell>
          <cell r="B23">
            <v>1624</v>
          </cell>
          <cell r="C23" t="str">
            <v>Liability for Expenses 12-13</v>
          </cell>
          <cell r="D23">
            <v>0</v>
          </cell>
          <cell r="E23">
            <v>438985</v>
          </cell>
          <cell r="J23">
            <v>-438985</v>
          </cell>
          <cell r="K23">
            <v>-438985</v>
          </cell>
        </row>
        <row r="24">
          <cell r="A24" t="str">
            <v>1625</v>
          </cell>
          <cell r="B24">
            <v>1625</v>
          </cell>
          <cell r="C24" t="str">
            <v>LIABILITY FOR EXPENSES [ 2013-14 ]</v>
          </cell>
          <cell r="D24">
            <v>0</v>
          </cell>
          <cell r="E24">
            <v>14596</v>
          </cell>
          <cell r="J24">
            <v>-14596</v>
          </cell>
          <cell r="K24">
            <v>-14596</v>
          </cell>
        </row>
        <row r="25">
          <cell r="A25" t="str">
            <v>1626</v>
          </cell>
          <cell r="B25">
            <v>1626</v>
          </cell>
          <cell r="C25" t="str">
            <v>LIABILITY FOR EXPENSES [ 2014-15 ]</v>
          </cell>
          <cell r="D25">
            <v>0</v>
          </cell>
          <cell r="E25">
            <v>45354</v>
          </cell>
          <cell r="J25">
            <v>-45354</v>
          </cell>
          <cell r="K25">
            <v>-45354</v>
          </cell>
        </row>
        <row r="26">
          <cell r="A26" t="str">
            <v>1840</v>
          </cell>
          <cell r="B26">
            <v>1840</v>
          </cell>
          <cell r="C26" t="str">
            <v>Advance Received From Cust</v>
          </cell>
          <cell r="D26">
            <v>0</v>
          </cell>
          <cell r="E26">
            <v>183669.31</v>
          </cell>
          <cell r="J26">
            <v>-183669</v>
          </cell>
          <cell r="K26">
            <v>-183669</v>
          </cell>
        </row>
        <row r="27">
          <cell r="A27" t="str">
            <v>2010</v>
          </cell>
          <cell r="B27">
            <v>2010</v>
          </cell>
          <cell r="C27" t="str">
            <v>Provision for Gratuity</v>
          </cell>
          <cell r="D27">
            <v>0</v>
          </cell>
          <cell r="E27">
            <v>423882</v>
          </cell>
          <cell r="J27">
            <v>-423882</v>
          </cell>
          <cell r="K27">
            <v>-423882</v>
          </cell>
        </row>
        <row r="28">
          <cell r="A28" t="str">
            <v>2015</v>
          </cell>
          <cell r="B28">
            <v>2015</v>
          </cell>
          <cell r="C28" t="str">
            <v>PROVISION- LEAVE ENCSAHMENT</v>
          </cell>
          <cell r="D28">
            <v>0</v>
          </cell>
          <cell r="E28">
            <v>963549</v>
          </cell>
          <cell r="J28">
            <v>-963549</v>
          </cell>
          <cell r="K28">
            <v>-963549</v>
          </cell>
        </row>
        <row r="29">
          <cell r="A29" t="str">
            <v>2100</v>
          </cell>
          <cell r="B29">
            <v>2100</v>
          </cell>
          <cell r="C29" t="str">
            <v>Provision for Depreciation</v>
          </cell>
          <cell r="D29">
            <v>0</v>
          </cell>
          <cell r="E29">
            <v>64238672</v>
          </cell>
          <cell r="J29">
            <v>-64238672</v>
          </cell>
          <cell r="K29">
            <v>-64238672</v>
          </cell>
        </row>
        <row r="30">
          <cell r="A30" t="str">
            <v>2150</v>
          </cell>
          <cell r="B30">
            <v>2150</v>
          </cell>
          <cell r="C30" t="str">
            <v>Provision for doubtful debts</v>
          </cell>
          <cell r="D30">
            <v>0</v>
          </cell>
          <cell r="E30">
            <v>1240051.03</v>
          </cell>
          <cell r="J30">
            <v>-1240051</v>
          </cell>
          <cell r="K30">
            <v>-1240051</v>
          </cell>
        </row>
        <row r="31">
          <cell r="A31" t="str">
            <v>2160</v>
          </cell>
          <cell r="B31">
            <v>2160</v>
          </cell>
          <cell r="C31" t="str">
            <v>Provision for  Loans &amp; Advances</v>
          </cell>
          <cell r="D31">
            <v>0</v>
          </cell>
          <cell r="E31">
            <v>736137</v>
          </cell>
          <cell r="J31">
            <v>-736137</v>
          </cell>
          <cell r="K31">
            <v>-736137</v>
          </cell>
        </row>
        <row r="32">
          <cell r="A32" t="str">
            <v>2512</v>
          </cell>
          <cell r="B32">
            <v>2512</v>
          </cell>
          <cell r="C32" t="str">
            <v>VAT  A/c - Sales</v>
          </cell>
          <cell r="D32">
            <v>0</v>
          </cell>
          <cell r="E32">
            <v>935669.5</v>
          </cell>
          <cell r="J32">
            <v>-935670</v>
          </cell>
          <cell r="K32">
            <v>-935670</v>
          </cell>
        </row>
        <row r="33">
          <cell r="A33" t="str">
            <v>2513</v>
          </cell>
          <cell r="B33">
            <v>2513</v>
          </cell>
          <cell r="C33" t="str">
            <v>VAT A/c - Purchase</v>
          </cell>
          <cell r="D33">
            <v>533684.78</v>
          </cell>
          <cell r="E33">
            <v>0</v>
          </cell>
          <cell r="J33">
            <v>533685</v>
          </cell>
          <cell r="K33">
            <v>533685</v>
          </cell>
        </row>
        <row r="34">
          <cell r="A34" t="str">
            <v>2514</v>
          </cell>
          <cell r="B34">
            <v>2514</v>
          </cell>
          <cell r="C34" t="str">
            <v>VAT A/C - COCHIN</v>
          </cell>
          <cell r="D34">
            <v>0</v>
          </cell>
          <cell r="E34">
            <v>40316.74</v>
          </cell>
          <cell r="J34">
            <v>-40317</v>
          </cell>
          <cell r="K34">
            <v>-40317</v>
          </cell>
        </row>
        <row r="35">
          <cell r="A35" t="str">
            <v>2520</v>
          </cell>
          <cell r="B35">
            <v>2520</v>
          </cell>
          <cell r="C35" t="str">
            <v>CST Adjustable</v>
          </cell>
          <cell r="D35">
            <v>0</v>
          </cell>
          <cell r="E35">
            <v>305161.7</v>
          </cell>
          <cell r="J35">
            <v>-305162</v>
          </cell>
          <cell r="K35">
            <v>-305162</v>
          </cell>
        </row>
        <row r="36">
          <cell r="A36" t="str">
            <v>2527</v>
          </cell>
          <cell r="B36">
            <v>2527</v>
          </cell>
          <cell r="C36" t="str">
            <v>TDS - OTHERS</v>
          </cell>
          <cell r="D36">
            <v>0</v>
          </cell>
          <cell r="E36">
            <v>41757</v>
          </cell>
          <cell r="J36">
            <v>-41757</v>
          </cell>
          <cell r="K36">
            <v>-41757</v>
          </cell>
        </row>
        <row r="37">
          <cell r="A37" t="str">
            <v>2528</v>
          </cell>
          <cell r="B37">
            <v>2528</v>
          </cell>
          <cell r="C37" t="str">
            <v>TDS - Scrap Sale</v>
          </cell>
          <cell r="D37">
            <v>0</v>
          </cell>
          <cell r="E37">
            <v>8274</v>
          </cell>
          <cell r="J37">
            <v>-8274</v>
          </cell>
          <cell r="K37">
            <v>-8274</v>
          </cell>
        </row>
        <row r="38">
          <cell r="A38" t="str">
            <v>2530</v>
          </cell>
          <cell r="B38">
            <v>2530</v>
          </cell>
          <cell r="C38" t="str">
            <v>TDS - Contractors &amp; Others</v>
          </cell>
          <cell r="D38">
            <v>0</v>
          </cell>
          <cell r="E38">
            <v>1906</v>
          </cell>
          <cell r="J38">
            <v>-1906</v>
          </cell>
          <cell r="K38">
            <v>-1906</v>
          </cell>
        </row>
        <row r="39">
          <cell r="A39" t="str">
            <v>2535</v>
          </cell>
          <cell r="B39">
            <v>2535</v>
          </cell>
          <cell r="C39" t="str">
            <v>T.D.S - Professionals</v>
          </cell>
          <cell r="D39">
            <v>1800</v>
          </cell>
          <cell r="E39">
            <v>0</v>
          </cell>
          <cell r="J39">
            <v>1800</v>
          </cell>
          <cell r="K39">
            <v>1800</v>
          </cell>
        </row>
        <row r="40">
          <cell r="A40" t="str">
            <v>2541</v>
          </cell>
          <cell r="B40">
            <v>2541</v>
          </cell>
          <cell r="C40" t="str">
            <v>Excise Duty Payable (FG CL.STOCK)</v>
          </cell>
          <cell r="D40">
            <v>0</v>
          </cell>
          <cell r="E40">
            <v>595528</v>
          </cell>
          <cell r="J40">
            <v>-595528</v>
          </cell>
          <cell r="K40">
            <v>-595528</v>
          </cell>
        </row>
        <row r="41">
          <cell r="A41" t="str">
            <v>2543</v>
          </cell>
          <cell r="B41">
            <v>2543</v>
          </cell>
          <cell r="C41" t="str">
            <v>Service Tax</v>
          </cell>
          <cell r="D41">
            <v>3585846.82</v>
          </cell>
          <cell r="E41">
            <v>0</v>
          </cell>
          <cell r="J41">
            <v>3585847</v>
          </cell>
          <cell r="K41">
            <v>3585847</v>
          </cell>
        </row>
        <row r="42">
          <cell r="A42" t="str">
            <v>2544</v>
          </cell>
          <cell r="B42">
            <v>2544</v>
          </cell>
          <cell r="C42" t="str">
            <v>Education Cess on Sevice Tax</v>
          </cell>
          <cell r="D42">
            <v>31618.84</v>
          </cell>
          <cell r="E42">
            <v>0</v>
          </cell>
          <cell r="J42">
            <v>31619</v>
          </cell>
          <cell r="K42">
            <v>31619</v>
          </cell>
        </row>
        <row r="43">
          <cell r="A43" t="str">
            <v>2546</v>
          </cell>
          <cell r="B43">
            <v>2546</v>
          </cell>
          <cell r="C43" t="str">
            <v>Service Tax on Transportation</v>
          </cell>
          <cell r="D43">
            <v>0</v>
          </cell>
          <cell r="E43">
            <v>22477</v>
          </cell>
          <cell r="J43">
            <v>-22477</v>
          </cell>
          <cell r="K43">
            <v>-22477</v>
          </cell>
        </row>
        <row r="44">
          <cell r="A44" t="str">
            <v>2572</v>
          </cell>
          <cell r="B44">
            <v>2572</v>
          </cell>
          <cell r="C44" t="str">
            <v>FORWARD CONTRACT PAYABLE</v>
          </cell>
          <cell r="D44">
            <v>0</v>
          </cell>
          <cell r="E44">
            <v>14656358.6</v>
          </cell>
          <cell r="J44">
            <v>-14656359</v>
          </cell>
          <cell r="K44">
            <v>-14656359</v>
          </cell>
        </row>
        <row r="45">
          <cell r="A45" t="str">
            <v>2573</v>
          </cell>
          <cell r="B45">
            <v>2573</v>
          </cell>
          <cell r="C45" t="str">
            <v>DEFFERED PREMIUM ACCOUNT</v>
          </cell>
          <cell r="D45">
            <v>104985.8</v>
          </cell>
          <cell r="E45">
            <v>0</v>
          </cell>
          <cell r="J45">
            <v>104986</v>
          </cell>
          <cell r="K45">
            <v>104986</v>
          </cell>
        </row>
        <row r="46">
          <cell r="A46" t="str">
            <v>2600</v>
          </cell>
          <cell r="B46">
            <v>2600</v>
          </cell>
          <cell r="C46" t="str">
            <v>Net Salary Adjustable</v>
          </cell>
          <cell r="D46">
            <v>0</v>
          </cell>
          <cell r="E46">
            <v>610857</v>
          </cell>
          <cell r="J46">
            <v>-610857</v>
          </cell>
          <cell r="K46">
            <v>-610857</v>
          </cell>
        </row>
        <row r="47">
          <cell r="A47" t="str">
            <v>2610</v>
          </cell>
          <cell r="B47">
            <v>2610</v>
          </cell>
          <cell r="C47" t="str">
            <v>Provident Fund Adjustable</v>
          </cell>
          <cell r="D47">
            <v>0</v>
          </cell>
          <cell r="E47">
            <v>109241</v>
          </cell>
          <cell r="J47">
            <v>-109241</v>
          </cell>
          <cell r="K47">
            <v>-109241</v>
          </cell>
        </row>
        <row r="48">
          <cell r="A48" t="str">
            <v>2660</v>
          </cell>
          <cell r="B48">
            <v>2660</v>
          </cell>
          <cell r="C48" t="str">
            <v>TDS - Employees</v>
          </cell>
          <cell r="D48">
            <v>0</v>
          </cell>
          <cell r="E48">
            <v>7973</v>
          </cell>
          <cell r="J48">
            <v>-7973</v>
          </cell>
          <cell r="K48">
            <v>-7973</v>
          </cell>
        </row>
        <row r="49">
          <cell r="A49" t="str">
            <v>2720</v>
          </cell>
          <cell r="B49">
            <v>2720</v>
          </cell>
          <cell r="C49" t="str">
            <v>Unclaimed Salary\Wages</v>
          </cell>
          <cell r="D49">
            <v>0</v>
          </cell>
          <cell r="E49">
            <v>8430</v>
          </cell>
          <cell r="J49">
            <v>-8430</v>
          </cell>
          <cell r="K49">
            <v>-8430</v>
          </cell>
        </row>
        <row r="50">
          <cell r="A50" t="str">
            <v>2760</v>
          </cell>
          <cell r="B50">
            <v>2760</v>
          </cell>
          <cell r="C50" t="str">
            <v>Coin adj</v>
          </cell>
          <cell r="D50">
            <v>0</v>
          </cell>
          <cell r="E50">
            <v>3523.33</v>
          </cell>
          <cell r="J50">
            <v>-3523</v>
          </cell>
          <cell r="K50">
            <v>-3523</v>
          </cell>
        </row>
        <row r="51">
          <cell r="A51" t="str">
            <v>3010</v>
          </cell>
          <cell r="B51">
            <v>3010</v>
          </cell>
          <cell r="C51" t="str">
            <v>Fixed Assets - Gross Block</v>
          </cell>
          <cell r="D51">
            <v>146604534.69999999</v>
          </cell>
          <cell r="E51">
            <v>0</v>
          </cell>
          <cell r="J51">
            <v>146604535</v>
          </cell>
          <cell r="K51">
            <v>146604535</v>
          </cell>
        </row>
        <row r="52">
          <cell r="A52" t="str">
            <v>3050</v>
          </cell>
          <cell r="B52">
            <v>3050</v>
          </cell>
          <cell r="C52" t="str">
            <v>Capital Work in Process</v>
          </cell>
          <cell r="D52">
            <v>2173851.59</v>
          </cell>
          <cell r="E52">
            <v>0</v>
          </cell>
          <cell r="J52">
            <v>2173852</v>
          </cell>
          <cell r="K52">
            <v>2173852</v>
          </cell>
        </row>
        <row r="53">
          <cell r="A53" t="str">
            <v>3055</v>
          </cell>
          <cell r="B53">
            <v>3055</v>
          </cell>
          <cell r="C53" t="str">
            <v>CWIP - Project</v>
          </cell>
          <cell r="D53">
            <v>0</v>
          </cell>
          <cell r="E53">
            <v>28800</v>
          </cell>
          <cell r="J53">
            <v>-28800</v>
          </cell>
          <cell r="K53">
            <v>-28800</v>
          </cell>
        </row>
        <row r="54">
          <cell r="A54" t="str">
            <v>3200</v>
          </cell>
          <cell r="B54">
            <v>3200</v>
          </cell>
          <cell r="C54" t="str">
            <v>CL.STK.STORES/CONS.(BS)</v>
          </cell>
          <cell r="D54">
            <v>239038</v>
          </cell>
          <cell r="E54">
            <v>0</v>
          </cell>
          <cell r="J54">
            <v>239038</v>
          </cell>
          <cell r="K54">
            <v>239038</v>
          </cell>
        </row>
        <row r="55">
          <cell r="A55" t="str">
            <v>3300</v>
          </cell>
          <cell r="B55">
            <v>3300</v>
          </cell>
          <cell r="C55" t="str">
            <v>Sundry Debtors Control</v>
          </cell>
          <cell r="D55">
            <v>60239711.189999998</v>
          </cell>
          <cell r="E55">
            <v>0</v>
          </cell>
          <cell r="J55">
            <v>60239711</v>
          </cell>
          <cell r="K55">
            <v>60239711</v>
          </cell>
        </row>
        <row r="56">
          <cell r="A56" t="str">
            <v>3410</v>
          </cell>
          <cell r="B56">
            <v>3410</v>
          </cell>
          <cell r="C56" t="str">
            <v>Advance   - Others</v>
          </cell>
          <cell r="D56">
            <v>1013</v>
          </cell>
          <cell r="E56">
            <v>0</v>
          </cell>
          <cell r="J56">
            <v>1013</v>
          </cell>
          <cell r="K56">
            <v>1013</v>
          </cell>
        </row>
        <row r="57">
          <cell r="A57" t="str">
            <v>3420</v>
          </cell>
          <cell r="B57">
            <v>3420</v>
          </cell>
          <cell r="C57" t="str">
            <v>Advance A/c. - Capex</v>
          </cell>
          <cell r="D57">
            <v>700000</v>
          </cell>
          <cell r="E57">
            <v>0</v>
          </cell>
          <cell r="J57">
            <v>700000</v>
          </cell>
          <cell r="K57">
            <v>700000</v>
          </cell>
        </row>
        <row r="58">
          <cell r="A58" t="str">
            <v>3600</v>
          </cell>
          <cell r="B58">
            <v>3600</v>
          </cell>
          <cell r="C58" t="str">
            <v>Recoverable from Employees</v>
          </cell>
          <cell r="D58">
            <v>78.3</v>
          </cell>
          <cell r="E58">
            <v>0</v>
          </cell>
          <cell r="J58">
            <v>78</v>
          </cell>
          <cell r="K58">
            <v>78</v>
          </cell>
        </row>
        <row r="59">
          <cell r="A59" t="str">
            <v>3606</v>
          </cell>
          <cell r="B59">
            <v>3606</v>
          </cell>
          <cell r="C59" t="str">
            <v>FORWARD CONTRACT RECEVIABLE</v>
          </cell>
          <cell r="D59">
            <v>14159692.199999999</v>
          </cell>
          <cell r="E59">
            <v>0</v>
          </cell>
          <cell r="J59">
            <v>14159692</v>
          </cell>
          <cell r="K59">
            <v>14159692</v>
          </cell>
        </row>
        <row r="60">
          <cell r="A60" t="str">
            <v>3700</v>
          </cell>
          <cell r="B60">
            <v>3700</v>
          </cell>
          <cell r="C60" t="str">
            <v>Deposits Paid</v>
          </cell>
          <cell r="D60">
            <v>2533300</v>
          </cell>
          <cell r="E60">
            <v>0</v>
          </cell>
          <cell r="J60">
            <v>2533300</v>
          </cell>
          <cell r="K60">
            <v>2533300</v>
          </cell>
        </row>
        <row r="61">
          <cell r="A61" t="str">
            <v>3710</v>
          </cell>
          <cell r="B61">
            <v>3710</v>
          </cell>
          <cell r="C61" t="str">
            <v>Interest Receivable</v>
          </cell>
          <cell r="D61">
            <v>226306</v>
          </cell>
          <cell r="E61">
            <v>0</v>
          </cell>
          <cell r="J61">
            <v>226306</v>
          </cell>
          <cell r="K61">
            <v>226306</v>
          </cell>
        </row>
        <row r="62">
          <cell r="A62" t="str">
            <v>3750</v>
          </cell>
          <cell r="B62">
            <v>3750</v>
          </cell>
          <cell r="C62" t="str">
            <v>Prepaid Expenses</v>
          </cell>
          <cell r="D62">
            <v>151657.5</v>
          </cell>
          <cell r="E62">
            <v>0</v>
          </cell>
          <cell r="J62">
            <v>151658</v>
          </cell>
          <cell r="K62">
            <v>151658</v>
          </cell>
        </row>
        <row r="63">
          <cell r="A63" t="str">
            <v>3755</v>
          </cell>
          <cell r="B63">
            <v>3755</v>
          </cell>
          <cell r="C63" t="str">
            <v>Prepaid Insurance</v>
          </cell>
          <cell r="D63">
            <v>16869</v>
          </cell>
          <cell r="E63">
            <v>0</v>
          </cell>
          <cell r="J63">
            <v>16869</v>
          </cell>
          <cell r="K63">
            <v>16869</v>
          </cell>
        </row>
        <row r="64">
          <cell r="A64" t="str">
            <v>3785</v>
          </cell>
          <cell r="B64">
            <v>3785</v>
          </cell>
          <cell r="C64" t="str">
            <v>Recover from Excise</v>
          </cell>
          <cell r="D64">
            <v>981953.66</v>
          </cell>
          <cell r="E64">
            <v>0</v>
          </cell>
          <cell r="J64">
            <v>981954</v>
          </cell>
          <cell r="K64">
            <v>981954</v>
          </cell>
        </row>
        <row r="65">
          <cell r="A65" t="str">
            <v>3850</v>
          </cell>
          <cell r="B65">
            <v>3850</v>
          </cell>
          <cell r="C65" t="str">
            <v>Advance Income Tax</v>
          </cell>
          <cell r="D65">
            <v>93819</v>
          </cell>
          <cell r="E65">
            <v>0</v>
          </cell>
          <cell r="J65">
            <v>93819</v>
          </cell>
          <cell r="K65">
            <v>93819</v>
          </cell>
        </row>
        <row r="66">
          <cell r="A66" t="str">
            <v>5000</v>
          </cell>
          <cell r="B66">
            <v>5000</v>
          </cell>
          <cell r="C66" t="str">
            <v>Sales Control A/c.</v>
          </cell>
          <cell r="D66">
            <v>0</v>
          </cell>
          <cell r="E66">
            <v>28000</v>
          </cell>
          <cell r="J66">
            <v>-28000</v>
          </cell>
          <cell r="K66">
            <v>-28000</v>
          </cell>
        </row>
        <row r="67">
          <cell r="A67" t="str">
            <v>5010</v>
          </cell>
          <cell r="B67">
            <v>5010</v>
          </cell>
          <cell r="C67" t="str">
            <v>Product Sales</v>
          </cell>
          <cell r="D67">
            <v>0</v>
          </cell>
          <cell r="E67">
            <v>323530570.19999999</v>
          </cell>
          <cell r="J67">
            <v>-323530570</v>
          </cell>
          <cell r="K67">
            <v>-323530570</v>
          </cell>
        </row>
        <row r="68">
          <cell r="A68" t="str">
            <v>5015</v>
          </cell>
          <cell r="B68">
            <v>5015</v>
          </cell>
          <cell r="C68" t="str">
            <v>PRODUCT SALES - COCHIN</v>
          </cell>
          <cell r="D68">
            <v>0</v>
          </cell>
          <cell r="E68">
            <v>7332331</v>
          </cell>
          <cell r="J68">
            <v>-7332331</v>
          </cell>
          <cell r="K68">
            <v>-7332331</v>
          </cell>
        </row>
        <row r="69">
          <cell r="A69" t="str">
            <v>5100</v>
          </cell>
          <cell r="B69">
            <v>5100</v>
          </cell>
          <cell r="C69" t="str">
            <v>Scrap Sales</v>
          </cell>
          <cell r="D69">
            <v>0</v>
          </cell>
          <cell r="E69">
            <v>1397289.8</v>
          </cell>
          <cell r="J69">
            <v>-1397290</v>
          </cell>
          <cell r="K69">
            <v>-1397290</v>
          </cell>
        </row>
        <row r="70">
          <cell r="A70" t="str">
            <v>5150</v>
          </cell>
          <cell r="B70">
            <v>5150</v>
          </cell>
          <cell r="C70" t="str">
            <v>Interest Received</v>
          </cell>
          <cell r="D70">
            <v>0</v>
          </cell>
          <cell r="E70">
            <v>868025</v>
          </cell>
          <cell r="J70">
            <v>-868025</v>
          </cell>
          <cell r="K70">
            <v>-868025</v>
          </cell>
        </row>
        <row r="71">
          <cell r="A71" t="str">
            <v>5170</v>
          </cell>
          <cell r="B71">
            <v>5170</v>
          </cell>
          <cell r="C71" t="str">
            <v>Profit on Sale of Assets</v>
          </cell>
          <cell r="D71">
            <v>0</v>
          </cell>
          <cell r="E71">
            <v>520200</v>
          </cell>
          <cell r="J71">
            <v>-520200</v>
          </cell>
          <cell r="K71">
            <v>-520200</v>
          </cell>
        </row>
        <row r="72">
          <cell r="A72" t="str">
            <v>5180</v>
          </cell>
          <cell r="B72">
            <v>5180</v>
          </cell>
          <cell r="C72" t="str">
            <v>Provision no longer required written back</v>
          </cell>
          <cell r="D72">
            <v>0</v>
          </cell>
          <cell r="E72">
            <v>1508752.72</v>
          </cell>
          <cell r="J72">
            <v>-1508753</v>
          </cell>
          <cell r="K72">
            <v>-1508753</v>
          </cell>
        </row>
        <row r="73">
          <cell r="A73" t="str">
            <v>5195</v>
          </cell>
          <cell r="B73">
            <v>5195</v>
          </cell>
          <cell r="C73" t="str">
            <v>Realised  Gain/Loss  on Exchange</v>
          </cell>
          <cell r="D73">
            <v>1036038.18</v>
          </cell>
          <cell r="E73">
            <v>0</v>
          </cell>
          <cell r="J73">
            <v>1036038</v>
          </cell>
          <cell r="K73">
            <v>1036038</v>
          </cell>
        </row>
        <row r="74">
          <cell r="A74" t="str">
            <v>5200</v>
          </cell>
          <cell r="B74">
            <v>5200</v>
          </cell>
          <cell r="C74" t="str">
            <v>Unrealised  Gain/Loss  on Exchange</v>
          </cell>
          <cell r="D74">
            <v>0</v>
          </cell>
          <cell r="E74">
            <v>45405</v>
          </cell>
          <cell r="J74">
            <v>-45405</v>
          </cell>
          <cell r="K74">
            <v>-45405</v>
          </cell>
        </row>
        <row r="75">
          <cell r="A75" t="str">
            <v>5230</v>
          </cell>
          <cell r="B75">
            <v>5230</v>
          </cell>
          <cell r="C75" t="str">
            <v>Sundry Income</v>
          </cell>
          <cell r="D75">
            <v>0</v>
          </cell>
          <cell r="E75">
            <v>110859</v>
          </cell>
          <cell r="J75">
            <v>-110859</v>
          </cell>
          <cell r="K75">
            <v>-110859</v>
          </cell>
        </row>
        <row r="76">
          <cell r="A76" t="str">
            <v>5231</v>
          </cell>
          <cell r="B76">
            <v>5231</v>
          </cell>
          <cell r="C76" t="str">
            <v>Discount Received</v>
          </cell>
          <cell r="D76">
            <v>0</v>
          </cell>
          <cell r="E76">
            <v>150848.85</v>
          </cell>
          <cell r="J76">
            <v>-150849</v>
          </cell>
          <cell r="K76">
            <v>-150849</v>
          </cell>
        </row>
        <row r="77">
          <cell r="A77" t="str">
            <v>5235</v>
          </cell>
          <cell r="B77">
            <v>5235</v>
          </cell>
          <cell r="C77" t="str">
            <v>Sundry Credit Balances Written Back</v>
          </cell>
          <cell r="D77">
            <v>0</v>
          </cell>
          <cell r="E77">
            <v>317569.95</v>
          </cell>
          <cell r="J77">
            <v>-317570</v>
          </cell>
          <cell r="K77">
            <v>-317570</v>
          </cell>
        </row>
        <row r="78">
          <cell r="A78" t="str">
            <v>5499</v>
          </cell>
          <cell r="B78">
            <v>5499</v>
          </cell>
          <cell r="C78" t="str">
            <v>Discount Allowed</v>
          </cell>
          <cell r="D78">
            <v>199818.99</v>
          </cell>
          <cell r="E78">
            <v>0</v>
          </cell>
          <cell r="J78">
            <v>199819</v>
          </cell>
          <cell r="K78">
            <v>199819</v>
          </cell>
        </row>
        <row r="79">
          <cell r="A79" t="str">
            <v>5500</v>
          </cell>
          <cell r="B79">
            <v>5500</v>
          </cell>
          <cell r="C79" t="str">
            <v>Sales Return</v>
          </cell>
          <cell r="D79">
            <v>351008</v>
          </cell>
          <cell r="E79">
            <v>0</v>
          </cell>
          <cell r="J79">
            <v>351008</v>
          </cell>
          <cell r="K79">
            <v>351008</v>
          </cell>
        </row>
        <row r="80">
          <cell r="A80" t="str">
            <v>5505</v>
          </cell>
          <cell r="B80">
            <v>5505</v>
          </cell>
          <cell r="C80" t="str">
            <v>STOCK /SALES  TRANSFER - COCHIN</v>
          </cell>
          <cell r="D80">
            <v>7541002</v>
          </cell>
          <cell r="E80">
            <v>0</v>
          </cell>
          <cell r="J80">
            <v>7541002</v>
          </cell>
          <cell r="K80">
            <v>7541002</v>
          </cell>
        </row>
        <row r="81">
          <cell r="A81" t="str">
            <v>6010</v>
          </cell>
          <cell r="B81">
            <v>6010</v>
          </cell>
          <cell r="C81" t="str">
            <v>Purchase A/c -  RM - Steel / HMHDPE - Local</v>
          </cell>
          <cell r="D81">
            <v>0</v>
          </cell>
          <cell r="E81">
            <v>2838437.3</v>
          </cell>
          <cell r="J81">
            <v>-2838437</v>
          </cell>
          <cell r="K81">
            <v>-2838437</v>
          </cell>
        </row>
        <row r="82">
          <cell r="A82" t="str">
            <v>6011</v>
          </cell>
          <cell r="B82">
            <v>6011</v>
          </cell>
          <cell r="C82" t="str">
            <v>Purchase A/c - Master Batch</v>
          </cell>
          <cell r="D82">
            <v>2254083.9</v>
          </cell>
          <cell r="E82">
            <v>0</v>
          </cell>
          <cell r="J82">
            <v>2254084</v>
          </cell>
          <cell r="K82">
            <v>2254084</v>
          </cell>
        </row>
        <row r="83">
          <cell r="A83" t="str">
            <v>6015</v>
          </cell>
          <cell r="B83">
            <v>6015</v>
          </cell>
          <cell r="C83" t="str">
            <v>Purchase A/c -  RM - Steel / HMHDPE - Imported</v>
          </cell>
          <cell r="D83">
            <v>184643018</v>
          </cell>
          <cell r="E83">
            <v>0</v>
          </cell>
          <cell r="J83">
            <v>184643018</v>
          </cell>
          <cell r="K83">
            <v>184643018</v>
          </cell>
        </row>
        <row r="84">
          <cell r="A84" t="str">
            <v>6017</v>
          </cell>
          <cell r="B84">
            <v>6017</v>
          </cell>
          <cell r="C84" t="str">
            <v>Purchase A/c RM - Others - Imported</v>
          </cell>
          <cell r="D84">
            <v>9536</v>
          </cell>
          <cell r="E84">
            <v>0</v>
          </cell>
          <cell r="J84">
            <v>9536</v>
          </cell>
          <cell r="K84">
            <v>9536</v>
          </cell>
        </row>
        <row r="85">
          <cell r="A85" t="str">
            <v>6020</v>
          </cell>
          <cell r="B85">
            <v>6020</v>
          </cell>
          <cell r="C85" t="str">
            <v>Purchase A/c -  RM - Others</v>
          </cell>
          <cell r="D85">
            <v>54636023.140000001</v>
          </cell>
          <cell r="E85">
            <v>0</v>
          </cell>
          <cell r="J85">
            <v>54636023</v>
          </cell>
          <cell r="K85">
            <v>54636023</v>
          </cell>
        </row>
        <row r="86">
          <cell r="A86" t="str">
            <v>6031</v>
          </cell>
          <cell r="B86">
            <v>6031</v>
          </cell>
          <cell r="C86" t="str">
            <v>PURCHASE - EXCISE DUTY ON FG(CL.STOCK)</v>
          </cell>
          <cell r="D86">
            <v>0</v>
          </cell>
          <cell r="E86">
            <v>53792</v>
          </cell>
          <cell r="J86">
            <v>-53792</v>
          </cell>
          <cell r="K86">
            <v>-53792</v>
          </cell>
        </row>
        <row r="87">
          <cell r="A87" t="str">
            <v>6040</v>
          </cell>
          <cell r="B87">
            <v>6040</v>
          </cell>
          <cell r="C87" t="str">
            <v>Purchase A/c -  Packing Materials</v>
          </cell>
          <cell r="D87">
            <v>20514.2</v>
          </cell>
          <cell r="E87">
            <v>0</v>
          </cell>
          <cell r="J87">
            <v>20514</v>
          </cell>
          <cell r="K87">
            <v>20514</v>
          </cell>
        </row>
        <row r="88">
          <cell r="A88" t="str">
            <v>6055</v>
          </cell>
          <cell r="B88">
            <v>6055</v>
          </cell>
          <cell r="C88" t="str">
            <v>Op.Stock - Stores &amp; Spares</v>
          </cell>
          <cell r="D88">
            <v>554252</v>
          </cell>
          <cell r="E88">
            <v>0</v>
          </cell>
          <cell r="J88">
            <v>554252</v>
          </cell>
          <cell r="K88">
            <v>554252</v>
          </cell>
        </row>
        <row r="89">
          <cell r="A89" t="str">
            <v>6060</v>
          </cell>
          <cell r="B89">
            <v>6060</v>
          </cell>
          <cell r="C89" t="str">
            <v>Purchase A/c -  Spare Parts { Local }</v>
          </cell>
          <cell r="D89">
            <v>1574260.68</v>
          </cell>
          <cell r="E89">
            <v>0</v>
          </cell>
          <cell r="J89">
            <v>1574261</v>
          </cell>
          <cell r="K89">
            <v>1574261</v>
          </cell>
        </row>
        <row r="90">
          <cell r="A90" t="str">
            <v>6070</v>
          </cell>
          <cell r="B90">
            <v>6070</v>
          </cell>
          <cell r="C90" t="str">
            <v>Purchase A/c -  Spare Parts { Imported }</v>
          </cell>
          <cell r="D90">
            <v>110756.62</v>
          </cell>
          <cell r="E90">
            <v>0</v>
          </cell>
          <cell r="J90">
            <v>110757</v>
          </cell>
          <cell r="K90">
            <v>110757</v>
          </cell>
        </row>
        <row r="91">
          <cell r="A91" t="str">
            <v>6090</v>
          </cell>
          <cell r="B91">
            <v>6090</v>
          </cell>
          <cell r="C91" t="str">
            <v>Purchase A/c -  Consumables  { Local }</v>
          </cell>
          <cell r="D91">
            <v>771092.41</v>
          </cell>
          <cell r="E91">
            <v>0</v>
          </cell>
          <cell r="J91">
            <v>771092</v>
          </cell>
          <cell r="K91">
            <v>771092</v>
          </cell>
        </row>
        <row r="92">
          <cell r="A92" t="str">
            <v>6096</v>
          </cell>
          <cell r="B92">
            <v>6096</v>
          </cell>
          <cell r="C92" t="str">
            <v>EXCISE - COCHIN</v>
          </cell>
          <cell r="D92">
            <v>0</v>
          </cell>
          <cell r="E92">
            <v>3855847.68</v>
          </cell>
          <cell r="J92">
            <v>-3855848</v>
          </cell>
          <cell r="K92">
            <v>-3855848</v>
          </cell>
        </row>
        <row r="93">
          <cell r="A93" t="str">
            <v>6097</v>
          </cell>
          <cell r="B93">
            <v>6097</v>
          </cell>
          <cell r="C93" t="str">
            <v>Education Cess on C.V.D.</v>
          </cell>
          <cell r="D93">
            <v>54807.62</v>
          </cell>
          <cell r="E93">
            <v>0</v>
          </cell>
          <cell r="J93">
            <v>54808</v>
          </cell>
          <cell r="K93">
            <v>54808</v>
          </cell>
        </row>
        <row r="94">
          <cell r="A94" t="str">
            <v>6098</v>
          </cell>
          <cell r="B94">
            <v>6098</v>
          </cell>
          <cell r="C94" t="str">
            <v>Excise Duty - RG23C</v>
          </cell>
          <cell r="D94">
            <v>4603352.8</v>
          </cell>
          <cell r="E94">
            <v>0</v>
          </cell>
          <cell r="J94">
            <v>4603353</v>
          </cell>
          <cell r="K94">
            <v>4603353</v>
          </cell>
        </row>
        <row r="95">
          <cell r="A95" t="str">
            <v>6099</v>
          </cell>
          <cell r="B95">
            <v>6099</v>
          </cell>
          <cell r="C95" t="str">
            <v>Excise Duty - RG23A</v>
          </cell>
          <cell r="D95">
            <v>4685134.5</v>
          </cell>
          <cell r="E95">
            <v>0</v>
          </cell>
          <cell r="J95">
            <v>4685135</v>
          </cell>
          <cell r="K95">
            <v>4685135</v>
          </cell>
        </row>
        <row r="96">
          <cell r="A96" t="str">
            <v>6100</v>
          </cell>
          <cell r="B96">
            <v>6100</v>
          </cell>
          <cell r="C96" t="str">
            <v>Excise A/c. [ PLA ]</v>
          </cell>
          <cell r="D96">
            <v>499</v>
          </cell>
          <cell r="E96">
            <v>0</v>
          </cell>
          <cell r="J96">
            <v>499</v>
          </cell>
          <cell r="K96">
            <v>499</v>
          </cell>
        </row>
        <row r="97">
          <cell r="A97" t="str">
            <v>6102</v>
          </cell>
          <cell r="B97">
            <v>6102</v>
          </cell>
          <cell r="C97" t="str">
            <v>Transport A/c. - Purchase</v>
          </cell>
          <cell r="D97">
            <v>3305781.52</v>
          </cell>
          <cell r="E97">
            <v>0</v>
          </cell>
          <cell r="J97">
            <v>3305782</v>
          </cell>
          <cell r="K97">
            <v>3305782</v>
          </cell>
        </row>
        <row r="98">
          <cell r="A98" t="str">
            <v>6104</v>
          </cell>
          <cell r="B98">
            <v>6104</v>
          </cell>
          <cell r="C98" t="str">
            <v>C.S.T A/c. - Purchase</v>
          </cell>
          <cell r="D98">
            <v>297942.76</v>
          </cell>
          <cell r="E98">
            <v>0</v>
          </cell>
          <cell r="J98">
            <v>297943</v>
          </cell>
          <cell r="K98">
            <v>297943</v>
          </cell>
        </row>
        <row r="99">
          <cell r="A99" t="str">
            <v>6106</v>
          </cell>
          <cell r="B99">
            <v>6106</v>
          </cell>
          <cell r="C99" t="str">
            <v>Clearing Charges</v>
          </cell>
          <cell r="D99">
            <v>316693.5</v>
          </cell>
          <cell r="E99">
            <v>0</v>
          </cell>
          <cell r="J99">
            <v>316694</v>
          </cell>
          <cell r="K99">
            <v>316694</v>
          </cell>
        </row>
        <row r="100">
          <cell r="A100" t="str">
            <v>6108</v>
          </cell>
          <cell r="B100">
            <v>6108</v>
          </cell>
          <cell r="C100" t="str">
            <v>EXCISE - COCHIN</v>
          </cell>
          <cell r="D100">
            <v>3460926</v>
          </cell>
          <cell r="E100">
            <v>0</v>
          </cell>
          <cell r="J100">
            <v>3460926</v>
          </cell>
          <cell r="K100">
            <v>3460926</v>
          </cell>
        </row>
        <row r="101">
          <cell r="A101" t="str">
            <v>6110</v>
          </cell>
          <cell r="B101">
            <v>6110</v>
          </cell>
          <cell r="C101" t="str">
            <v>Swachh Bharat Cess - Purchase</v>
          </cell>
          <cell r="D101">
            <v>22022.36</v>
          </cell>
          <cell r="E101">
            <v>0</v>
          </cell>
          <cell r="J101">
            <v>22022</v>
          </cell>
          <cell r="K101">
            <v>22022</v>
          </cell>
        </row>
        <row r="102">
          <cell r="A102" t="str">
            <v>6210</v>
          </cell>
          <cell r="B102">
            <v>6210</v>
          </cell>
          <cell r="C102" t="str">
            <v>Power &amp; Fuel</v>
          </cell>
          <cell r="D102">
            <v>23210440.059999999</v>
          </cell>
          <cell r="E102">
            <v>0</v>
          </cell>
          <cell r="J102">
            <v>23210440</v>
          </cell>
          <cell r="K102">
            <v>23210440</v>
          </cell>
        </row>
        <row r="103">
          <cell r="A103" t="str">
            <v>6211</v>
          </cell>
          <cell r="B103">
            <v>6211</v>
          </cell>
          <cell r="C103" t="str">
            <v>Power - Office</v>
          </cell>
          <cell r="D103">
            <v>227354</v>
          </cell>
          <cell r="E103">
            <v>0</v>
          </cell>
          <cell r="J103">
            <v>227354</v>
          </cell>
          <cell r="K103">
            <v>227354</v>
          </cell>
        </row>
        <row r="104">
          <cell r="A104" t="str">
            <v>6220</v>
          </cell>
          <cell r="B104">
            <v>6220</v>
          </cell>
          <cell r="C104" t="str">
            <v>Water</v>
          </cell>
          <cell r="D104">
            <v>183575</v>
          </cell>
          <cell r="E104">
            <v>0</v>
          </cell>
          <cell r="J104">
            <v>183575</v>
          </cell>
          <cell r="K104">
            <v>183575</v>
          </cell>
        </row>
        <row r="105">
          <cell r="A105" t="str">
            <v>6230</v>
          </cell>
          <cell r="B105">
            <v>6230</v>
          </cell>
          <cell r="C105" t="str">
            <v>Screen Printing Charges</v>
          </cell>
          <cell r="D105">
            <v>2075028.75</v>
          </cell>
          <cell r="E105">
            <v>0</v>
          </cell>
          <cell r="J105">
            <v>2075029</v>
          </cell>
          <cell r="K105">
            <v>2075029</v>
          </cell>
        </row>
        <row r="106">
          <cell r="A106" t="str">
            <v>6310</v>
          </cell>
          <cell r="B106">
            <v>6310</v>
          </cell>
          <cell r="C106" t="str">
            <v>Repairs &amp; Maint - Plant &amp; Machinery</v>
          </cell>
          <cell r="D106">
            <v>922299.07</v>
          </cell>
          <cell r="E106">
            <v>0</v>
          </cell>
          <cell r="J106">
            <v>922299</v>
          </cell>
          <cell r="K106">
            <v>922299</v>
          </cell>
        </row>
        <row r="107">
          <cell r="A107" t="str">
            <v>6320</v>
          </cell>
          <cell r="B107">
            <v>6320</v>
          </cell>
          <cell r="C107" t="str">
            <v>Repairs &amp; Maint - Building/Flat</v>
          </cell>
          <cell r="D107">
            <v>47398</v>
          </cell>
          <cell r="E107">
            <v>0</v>
          </cell>
          <cell r="J107">
            <v>47398</v>
          </cell>
          <cell r="K107">
            <v>47398</v>
          </cell>
        </row>
        <row r="108">
          <cell r="A108" t="str">
            <v>6330</v>
          </cell>
          <cell r="B108">
            <v>6330</v>
          </cell>
          <cell r="C108" t="str">
            <v>Repairs &amp; Maint - Electricals</v>
          </cell>
          <cell r="D108">
            <v>151528</v>
          </cell>
          <cell r="E108">
            <v>0</v>
          </cell>
          <cell r="J108">
            <v>151528</v>
          </cell>
          <cell r="K108">
            <v>151528</v>
          </cell>
        </row>
        <row r="109">
          <cell r="A109" t="str">
            <v>6340</v>
          </cell>
          <cell r="B109">
            <v>6340</v>
          </cell>
          <cell r="C109" t="str">
            <v>Repairs &amp; Maint - Others</v>
          </cell>
          <cell r="D109">
            <v>1200</v>
          </cell>
          <cell r="E109">
            <v>0</v>
          </cell>
          <cell r="J109">
            <v>1200</v>
          </cell>
          <cell r="K109">
            <v>1200</v>
          </cell>
        </row>
        <row r="110">
          <cell r="A110" t="str">
            <v>6410</v>
          </cell>
          <cell r="B110">
            <v>6410</v>
          </cell>
          <cell r="C110" t="str">
            <v>Est Off-  Basic</v>
          </cell>
          <cell r="D110">
            <v>3065838</v>
          </cell>
          <cell r="E110">
            <v>0</v>
          </cell>
          <cell r="J110">
            <v>3065838</v>
          </cell>
          <cell r="K110">
            <v>3065838</v>
          </cell>
        </row>
        <row r="111">
          <cell r="A111" t="str">
            <v>6440</v>
          </cell>
          <cell r="B111">
            <v>6440</v>
          </cell>
          <cell r="C111" t="str">
            <v>Est Off - Bonus</v>
          </cell>
          <cell r="D111">
            <v>137523</v>
          </cell>
          <cell r="E111">
            <v>0</v>
          </cell>
          <cell r="J111">
            <v>137523</v>
          </cell>
          <cell r="K111">
            <v>137523</v>
          </cell>
        </row>
        <row r="112">
          <cell r="A112" t="str">
            <v>6450</v>
          </cell>
          <cell r="B112">
            <v>6450</v>
          </cell>
          <cell r="C112" t="str">
            <v>Est Off - Gratuity</v>
          </cell>
          <cell r="D112">
            <v>23502</v>
          </cell>
          <cell r="E112">
            <v>0</v>
          </cell>
          <cell r="J112">
            <v>23502</v>
          </cell>
          <cell r="K112">
            <v>23502</v>
          </cell>
        </row>
        <row r="113">
          <cell r="A113" t="str">
            <v>6504</v>
          </cell>
          <cell r="B113">
            <v>6504</v>
          </cell>
          <cell r="C113" t="str">
            <v>Est. Off. Stipend A/c.</v>
          </cell>
          <cell r="D113">
            <v>529588</v>
          </cell>
          <cell r="E113">
            <v>0</v>
          </cell>
          <cell r="J113">
            <v>529588</v>
          </cell>
          <cell r="K113">
            <v>529588</v>
          </cell>
        </row>
        <row r="114">
          <cell r="A114" t="str">
            <v>6510</v>
          </cell>
          <cell r="B114">
            <v>6510</v>
          </cell>
          <cell r="C114" t="str">
            <v>Est Staff - Basic</v>
          </cell>
          <cell r="D114">
            <v>1159770</v>
          </cell>
          <cell r="E114">
            <v>0</v>
          </cell>
          <cell r="J114">
            <v>1159770</v>
          </cell>
          <cell r="K114">
            <v>1159770</v>
          </cell>
        </row>
        <row r="115">
          <cell r="A115" t="str">
            <v>6512</v>
          </cell>
          <cell r="B115">
            <v>6512</v>
          </cell>
          <cell r="C115" t="str">
            <v>Est Staff Dearness Allowance(Cola)</v>
          </cell>
          <cell r="D115">
            <v>455879</v>
          </cell>
          <cell r="E115">
            <v>0</v>
          </cell>
          <cell r="J115">
            <v>455879</v>
          </cell>
          <cell r="K115">
            <v>455879</v>
          </cell>
        </row>
        <row r="116">
          <cell r="A116" t="str">
            <v>6520</v>
          </cell>
          <cell r="B116">
            <v>6520</v>
          </cell>
          <cell r="C116" t="str">
            <v>Est Staff - House rent allowance</v>
          </cell>
          <cell r="D116">
            <v>289943</v>
          </cell>
          <cell r="E116">
            <v>0</v>
          </cell>
          <cell r="J116">
            <v>289943</v>
          </cell>
          <cell r="K116">
            <v>289943</v>
          </cell>
        </row>
        <row r="117">
          <cell r="A117" t="str">
            <v>6530</v>
          </cell>
          <cell r="B117">
            <v>6530</v>
          </cell>
          <cell r="C117" t="str">
            <v>Est Staff - Transport allowance</v>
          </cell>
          <cell r="D117">
            <v>226640</v>
          </cell>
          <cell r="E117">
            <v>0</v>
          </cell>
          <cell r="J117">
            <v>226640</v>
          </cell>
          <cell r="K117">
            <v>226640</v>
          </cell>
        </row>
        <row r="118">
          <cell r="A118" t="str">
            <v>6531</v>
          </cell>
          <cell r="B118">
            <v>6531</v>
          </cell>
          <cell r="C118" t="str">
            <v>Est - Staff Personal Pay (Adhoc Allowance)</v>
          </cell>
          <cell r="D118">
            <v>322520</v>
          </cell>
          <cell r="E118">
            <v>0</v>
          </cell>
          <cell r="I118">
            <v>0</v>
          </cell>
          <cell r="J118">
            <v>322520</v>
          </cell>
          <cell r="K118">
            <v>322520</v>
          </cell>
        </row>
        <row r="119">
          <cell r="A119" t="str">
            <v>6540</v>
          </cell>
          <cell r="B119">
            <v>6540</v>
          </cell>
          <cell r="C119" t="str">
            <v>Est Staff - Encashment of Leave</v>
          </cell>
          <cell r="D119">
            <v>80025</v>
          </cell>
          <cell r="E119">
            <v>0</v>
          </cell>
          <cell r="J119">
            <v>80025</v>
          </cell>
          <cell r="K119">
            <v>80025</v>
          </cell>
        </row>
        <row r="120">
          <cell r="A120" t="str">
            <v>6550</v>
          </cell>
          <cell r="B120">
            <v>6550</v>
          </cell>
          <cell r="C120" t="str">
            <v>Est Staff - LTA</v>
          </cell>
          <cell r="D120">
            <v>98683</v>
          </cell>
          <cell r="E120">
            <v>0</v>
          </cell>
          <cell r="J120">
            <v>98683</v>
          </cell>
          <cell r="K120">
            <v>98683</v>
          </cell>
        </row>
        <row r="121">
          <cell r="A121" t="str">
            <v>6552</v>
          </cell>
          <cell r="B121">
            <v>6552</v>
          </cell>
          <cell r="C121" t="str">
            <v>Est - Staff Production Incentive</v>
          </cell>
          <cell r="D121">
            <v>344718</v>
          </cell>
          <cell r="E121">
            <v>0</v>
          </cell>
          <cell r="J121">
            <v>344718</v>
          </cell>
          <cell r="K121">
            <v>344718</v>
          </cell>
        </row>
        <row r="122">
          <cell r="A122" t="str">
            <v>6555</v>
          </cell>
          <cell r="B122">
            <v>6555</v>
          </cell>
          <cell r="C122" t="str">
            <v>Est Staff - Bonus</v>
          </cell>
          <cell r="D122">
            <v>5000</v>
          </cell>
          <cell r="E122">
            <v>0</v>
          </cell>
          <cell r="J122">
            <v>5000</v>
          </cell>
          <cell r="K122">
            <v>5000</v>
          </cell>
        </row>
        <row r="123">
          <cell r="A123" t="str">
            <v>6570</v>
          </cell>
          <cell r="B123">
            <v>6570</v>
          </cell>
          <cell r="C123" t="str">
            <v>Est Staff - Providend Fund</v>
          </cell>
          <cell r="D123">
            <v>193829</v>
          </cell>
          <cell r="E123">
            <v>0</v>
          </cell>
          <cell r="J123">
            <v>193829</v>
          </cell>
          <cell r="K123">
            <v>193829</v>
          </cell>
        </row>
        <row r="124">
          <cell r="A124" t="str">
            <v>6595</v>
          </cell>
          <cell r="B124">
            <v>6595</v>
          </cell>
          <cell r="C124" t="str">
            <v>Est Staff - Medical Expenses</v>
          </cell>
          <cell r="D124">
            <v>98684</v>
          </cell>
          <cell r="E124">
            <v>0</v>
          </cell>
          <cell r="J124">
            <v>98684</v>
          </cell>
          <cell r="K124">
            <v>98684</v>
          </cell>
        </row>
        <row r="125">
          <cell r="A125" t="str">
            <v>6610</v>
          </cell>
          <cell r="B125">
            <v>6610</v>
          </cell>
          <cell r="C125" t="str">
            <v>Est Lbr - Basic</v>
          </cell>
          <cell r="D125">
            <v>2268651</v>
          </cell>
          <cell r="E125">
            <v>0</v>
          </cell>
          <cell r="J125">
            <v>2268651</v>
          </cell>
          <cell r="K125">
            <v>2268651</v>
          </cell>
        </row>
        <row r="126">
          <cell r="A126" t="str">
            <v>6615</v>
          </cell>
          <cell r="B126">
            <v>6615</v>
          </cell>
          <cell r="C126" t="str">
            <v>Est Lbr - DA</v>
          </cell>
          <cell r="D126">
            <v>1260276</v>
          </cell>
          <cell r="E126">
            <v>0</v>
          </cell>
          <cell r="J126">
            <v>1260276</v>
          </cell>
          <cell r="K126">
            <v>1260276</v>
          </cell>
        </row>
        <row r="127">
          <cell r="A127" t="str">
            <v>6620</v>
          </cell>
          <cell r="B127">
            <v>6620</v>
          </cell>
          <cell r="C127" t="str">
            <v>Est Lbr House Rent Allowance</v>
          </cell>
          <cell r="D127">
            <v>548068</v>
          </cell>
          <cell r="E127">
            <v>0</v>
          </cell>
          <cell r="J127">
            <v>548068</v>
          </cell>
          <cell r="K127">
            <v>548068</v>
          </cell>
        </row>
        <row r="128">
          <cell r="A128" t="str">
            <v>6625</v>
          </cell>
          <cell r="B128">
            <v>6625</v>
          </cell>
          <cell r="C128" t="str">
            <v>Est Lbr - Educational Allowance</v>
          </cell>
          <cell r="D128">
            <v>65072</v>
          </cell>
          <cell r="E128">
            <v>0</v>
          </cell>
          <cell r="J128">
            <v>65072</v>
          </cell>
          <cell r="K128">
            <v>65072</v>
          </cell>
        </row>
        <row r="129">
          <cell r="A129" t="str">
            <v>6640</v>
          </cell>
          <cell r="B129">
            <v>6640</v>
          </cell>
          <cell r="C129" t="str">
            <v>Est Lbr - Encashment of Leave</v>
          </cell>
          <cell r="D129">
            <v>126663</v>
          </cell>
          <cell r="E129">
            <v>0</v>
          </cell>
          <cell r="J129">
            <v>126663</v>
          </cell>
          <cell r="K129">
            <v>126663</v>
          </cell>
        </row>
        <row r="130">
          <cell r="A130" t="str">
            <v>6650</v>
          </cell>
          <cell r="B130">
            <v>6650</v>
          </cell>
          <cell r="C130" t="str">
            <v>Est Lbr - LTA</v>
          </cell>
          <cell r="D130">
            <v>190075</v>
          </cell>
          <cell r="E130">
            <v>0</v>
          </cell>
          <cell r="J130">
            <v>190075</v>
          </cell>
          <cell r="K130">
            <v>190075</v>
          </cell>
        </row>
        <row r="131">
          <cell r="A131" t="str">
            <v>6651</v>
          </cell>
          <cell r="B131">
            <v>6651</v>
          </cell>
          <cell r="C131" t="str">
            <v>EST LBR RELOCATION ALLOW</v>
          </cell>
          <cell r="D131">
            <v>233435</v>
          </cell>
          <cell r="E131">
            <v>0</v>
          </cell>
          <cell r="J131">
            <v>233435</v>
          </cell>
          <cell r="K131">
            <v>233435</v>
          </cell>
        </row>
        <row r="132">
          <cell r="A132" t="str">
            <v>6652</v>
          </cell>
          <cell r="B132">
            <v>6652</v>
          </cell>
          <cell r="C132" t="str">
            <v>EST LBR PRODUCTINO INCENTIVE</v>
          </cell>
          <cell r="D132">
            <v>635594</v>
          </cell>
          <cell r="E132">
            <v>0</v>
          </cell>
          <cell r="J132">
            <v>635594</v>
          </cell>
          <cell r="K132">
            <v>635594</v>
          </cell>
        </row>
        <row r="133">
          <cell r="A133" t="str">
            <v>6653</v>
          </cell>
          <cell r="B133">
            <v>6653</v>
          </cell>
          <cell r="C133" t="str">
            <v>EST LBR ATTENDANCE BONUS</v>
          </cell>
          <cell r="D133">
            <v>73000</v>
          </cell>
          <cell r="E133">
            <v>0</v>
          </cell>
          <cell r="J133">
            <v>73000</v>
          </cell>
          <cell r="K133">
            <v>73000</v>
          </cell>
        </row>
        <row r="134">
          <cell r="A134" t="str">
            <v>6655</v>
          </cell>
          <cell r="B134">
            <v>6655</v>
          </cell>
          <cell r="C134" t="str">
            <v>Est Lbr - Bonus</v>
          </cell>
          <cell r="D134">
            <v>318549</v>
          </cell>
          <cell r="E134">
            <v>0</v>
          </cell>
          <cell r="J134">
            <v>318549</v>
          </cell>
          <cell r="K134">
            <v>318549</v>
          </cell>
        </row>
        <row r="135">
          <cell r="A135" t="str">
            <v>6665</v>
          </cell>
          <cell r="B135">
            <v>6665</v>
          </cell>
          <cell r="C135" t="str">
            <v>Est Lbr - Gratuity</v>
          </cell>
          <cell r="D135">
            <v>207136</v>
          </cell>
          <cell r="E135">
            <v>0</v>
          </cell>
          <cell r="J135">
            <v>207136</v>
          </cell>
          <cell r="K135">
            <v>207136</v>
          </cell>
        </row>
        <row r="136">
          <cell r="A136" t="str">
            <v>6670</v>
          </cell>
          <cell r="B136">
            <v>6670</v>
          </cell>
          <cell r="C136" t="str">
            <v>Est Lbr - Providend Fund</v>
          </cell>
          <cell r="D136">
            <v>423344</v>
          </cell>
          <cell r="E136">
            <v>0</v>
          </cell>
          <cell r="J136">
            <v>423344</v>
          </cell>
          <cell r="K136">
            <v>423344</v>
          </cell>
        </row>
        <row r="137">
          <cell r="A137" t="str">
            <v>6695</v>
          </cell>
          <cell r="B137">
            <v>6695</v>
          </cell>
          <cell r="C137" t="str">
            <v>EST LBR MEDICAL REIMB</v>
          </cell>
          <cell r="D137">
            <v>190075</v>
          </cell>
          <cell r="E137">
            <v>0</v>
          </cell>
          <cell r="J137">
            <v>190075</v>
          </cell>
          <cell r="K137">
            <v>190075</v>
          </cell>
        </row>
        <row r="138">
          <cell r="A138" t="str">
            <v>6700</v>
          </cell>
          <cell r="B138">
            <v>6700</v>
          </cell>
          <cell r="C138" t="str">
            <v>Est Lbr - Uniform/ Shoe A/c</v>
          </cell>
          <cell r="D138">
            <v>63481.71</v>
          </cell>
          <cell r="E138">
            <v>0</v>
          </cell>
          <cell r="J138">
            <v>63482</v>
          </cell>
          <cell r="K138">
            <v>63482</v>
          </cell>
        </row>
        <row r="139">
          <cell r="A139" t="str">
            <v>6780</v>
          </cell>
          <cell r="B139">
            <v>6780</v>
          </cell>
          <cell r="C139" t="str">
            <v>Contract Labour Expenses</v>
          </cell>
          <cell r="D139">
            <v>2705511.05</v>
          </cell>
          <cell r="E139">
            <v>0</v>
          </cell>
          <cell r="J139">
            <v>2705511</v>
          </cell>
          <cell r="K139">
            <v>2705511</v>
          </cell>
        </row>
        <row r="140">
          <cell r="A140" t="str">
            <v>7000</v>
          </cell>
          <cell r="B140">
            <v>7000</v>
          </cell>
          <cell r="C140" t="str">
            <v>WELFARE  LUNCH/DINNER</v>
          </cell>
          <cell r="D140">
            <v>382021</v>
          </cell>
          <cell r="E140">
            <v>0</v>
          </cell>
          <cell r="J140">
            <v>382021</v>
          </cell>
          <cell r="K140">
            <v>382021</v>
          </cell>
        </row>
        <row r="141">
          <cell r="A141" t="str">
            <v>7005</v>
          </cell>
          <cell r="B141">
            <v>7005</v>
          </cell>
          <cell r="C141" t="str">
            <v>WELFARE CANTEEN EXP-TEA</v>
          </cell>
          <cell r="D141">
            <v>381822</v>
          </cell>
          <cell r="E141">
            <v>0</v>
          </cell>
          <cell r="J141">
            <v>381822</v>
          </cell>
          <cell r="K141">
            <v>381822</v>
          </cell>
        </row>
        <row r="142">
          <cell r="A142" t="str">
            <v>7020</v>
          </cell>
          <cell r="B142">
            <v>7020</v>
          </cell>
          <cell r="C142" t="str">
            <v>Welfare - First Aid</v>
          </cell>
          <cell r="D142">
            <v>2257</v>
          </cell>
          <cell r="E142">
            <v>0</v>
          </cell>
          <cell r="J142">
            <v>2257</v>
          </cell>
          <cell r="K142">
            <v>2257</v>
          </cell>
        </row>
        <row r="143">
          <cell r="A143" t="str">
            <v>7045</v>
          </cell>
          <cell r="B143">
            <v>7045</v>
          </cell>
          <cell r="C143" t="str">
            <v>POOJA EXPS</v>
          </cell>
          <cell r="D143">
            <v>51610</v>
          </cell>
          <cell r="E143">
            <v>0</v>
          </cell>
          <cell r="J143">
            <v>51610</v>
          </cell>
          <cell r="K143">
            <v>51610</v>
          </cell>
        </row>
        <row r="144">
          <cell r="A144" t="str">
            <v>7100</v>
          </cell>
          <cell r="B144">
            <v>7100</v>
          </cell>
          <cell r="C144" t="str">
            <v>Rent</v>
          </cell>
          <cell r="D144">
            <v>134283</v>
          </cell>
          <cell r="E144">
            <v>0</v>
          </cell>
          <cell r="J144">
            <v>134283</v>
          </cell>
          <cell r="K144">
            <v>134283</v>
          </cell>
        </row>
        <row r="145">
          <cell r="A145" t="str">
            <v>7110</v>
          </cell>
          <cell r="B145">
            <v>7110</v>
          </cell>
          <cell r="C145" t="str">
            <v>Rates &amp; Taxes</v>
          </cell>
          <cell r="D145">
            <v>430131</v>
          </cell>
          <cell r="E145">
            <v>0</v>
          </cell>
          <cell r="J145">
            <v>430131</v>
          </cell>
          <cell r="K145">
            <v>430131</v>
          </cell>
        </row>
        <row r="146">
          <cell r="A146" t="str">
            <v>7111</v>
          </cell>
          <cell r="B146">
            <v>7111</v>
          </cell>
          <cell r="C146" t="str">
            <v>Service Tax on Transport-GTO</v>
          </cell>
          <cell r="D146">
            <v>689245</v>
          </cell>
          <cell r="E146">
            <v>0</v>
          </cell>
          <cell r="J146">
            <v>689245</v>
          </cell>
          <cell r="K146">
            <v>689245</v>
          </cell>
        </row>
        <row r="147">
          <cell r="A147" t="str">
            <v>7113</v>
          </cell>
          <cell r="B147">
            <v>7113</v>
          </cell>
          <cell r="C147" t="str">
            <v>SURCHARGE ON TNGST</v>
          </cell>
          <cell r="D147">
            <v>0</v>
          </cell>
          <cell r="E147">
            <v>88</v>
          </cell>
          <cell r="J147">
            <v>-88</v>
          </cell>
          <cell r="K147">
            <v>-88</v>
          </cell>
        </row>
        <row r="148">
          <cell r="A148" t="str">
            <v>7160</v>
          </cell>
          <cell r="B148">
            <v>7160</v>
          </cell>
          <cell r="C148" t="str">
            <v>Insurance</v>
          </cell>
          <cell r="D148">
            <v>278897</v>
          </cell>
          <cell r="E148">
            <v>0</v>
          </cell>
          <cell r="J148">
            <v>278897</v>
          </cell>
          <cell r="K148">
            <v>278897</v>
          </cell>
        </row>
        <row r="149">
          <cell r="A149" t="str">
            <v>7170</v>
          </cell>
          <cell r="B149">
            <v>7170</v>
          </cell>
          <cell r="C149" t="str">
            <v>Commission on Sale</v>
          </cell>
          <cell r="D149">
            <v>132063</v>
          </cell>
          <cell r="E149">
            <v>0</v>
          </cell>
          <cell r="J149">
            <v>132063</v>
          </cell>
          <cell r="K149">
            <v>132063</v>
          </cell>
        </row>
        <row r="150">
          <cell r="A150" t="str">
            <v>7180</v>
          </cell>
          <cell r="B150">
            <v>7180</v>
          </cell>
          <cell r="C150" t="str">
            <v>Discount Allowed</v>
          </cell>
          <cell r="D150">
            <v>1710171.83</v>
          </cell>
          <cell r="E150">
            <v>0</v>
          </cell>
          <cell r="J150">
            <v>1710172</v>
          </cell>
          <cell r="K150">
            <v>1710172</v>
          </cell>
        </row>
        <row r="151">
          <cell r="A151" t="str">
            <v>7210</v>
          </cell>
          <cell r="B151">
            <v>7210</v>
          </cell>
          <cell r="C151" t="str">
            <v>Foreigners Travelling Expenses - Ticket</v>
          </cell>
          <cell r="D151">
            <v>18154</v>
          </cell>
          <cell r="E151">
            <v>0</v>
          </cell>
          <cell r="J151">
            <v>18154</v>
          </cell>
          <cell r="K151">
            <v>18154</v>
          </cell>
        </row>
        <row r="152">
          <cell r="A152" t="str">
            <v>7220</v>
          </cell>
          <cell r="B152">
            <v>7220</v>
          </cell>
          <cell r="C152" t="str">
            <v>Travelling Expenses Officers     - Ticket</v>
          </cell>
          <cell r="D152">
            <v>19307</v>
          </cell>
          <cell r="E152">
            <v>0</v>
          </cell>
          <cell r="J152">
            <v>19307</v>
          </cell>
          <cell r="K152">
            <v>19307</v>
          </cell>
        </row>
        <row r="153">
          <cell r="A153" t="str">
            <v>7221</v>
          </cell>
          <cell r="B153">
            <v>7221</v>
          </cell>
          <cell r="C153" t="str">
            <v>Travelling Expenses Officers     - Others</v>
          </cell>
          <cell r="D153">
            <v>227034</v>
          </cell>
          <cell r="E153">
            <v>0</v>
          </cell>
          <cell r="J153">
            <v>227034</v>
          </cell>
          <cell r="K153">
            <v>227034</v>
          </cell>
        </row>
        <row r="154">
          <cell r="A154" t="str">
            <v>7230</v>
          </cell>
          <cell r="B154">
            <v>7230</v>
          </cell>
          <cell r="C154" t="str">
            <v>Travelling Expenses Others       - Ticket</v>
          </cell>
          <cell r="D154">
            <v>27739</v>
          </cell>
          <cell r="E154">
            <v>0</v>
          </cell>
          <cell r="J154">
            <v>27739</v>
          </cell>
          <cell r="K154">
            <v>27739</v>
          </cell>
        </row>
        <row r="155">
          <cell r="A155" t="str">
            <v>7231</v>
          </cell>
          <cell r="B155">
            <v>7231</v>
          </cell>
          <cell r="C155" t="str">
            <v>Travelling Expenses Others       - Others</v>
          </cell>
          <cell r="D155">
            <v>381256</v>
          </cell>
          <cell r="E155">
            <v>0</v>
          </cell>
          <cell r="J155">
            <v>381256</v>
          </cell>
          <cell r="K155">
            <v>381256</v>
          </cell>
        </row>
        <row r="156">
          <cell r="A156" t="str">
            <v>7240</v>
          </cell>
          <cell r="B156">
            <v>7240</v>
          </cell>
          <cell r="C156" t="str">
            <v>Travelling Expenses  - Conveyance</v>
          </cell>
          <cell r="D156">
            <v>148633</v>
          </cell>
          <cell r="E156">
            <v>0</v>
          </cell>
          <cell r="J156">
            <v>148633</v>
          </cell>
          <cell r="K156">
            <v>148633</v>
          </cell>
        </row>
        <row r="157">
          <cell r="A157" t="str">
            <v>7250</v>
          </cell>
          <cell r="B157">
            <v>7250</v>
          </cell>
          <cell r="C157" t="str">
            <v>Travelling Expenses  - Car/Bus Hire Charges</v>
          </cell>
          <cell r="D157">
            <v>69258</v>
          </cell>
          <cell r="E157">
            <v>0</v>
          </cell>
          <cell r="J157">
            <v>69258</v>
          </cell>
          <cell r="K157">
            <v>69258</v>
          </cell>
        </row>
        <row r="158">
          <cell r="A158" t="str">
            <v>7265</v>
          </cell>
          <cell r="B158">
            <v>7265</v>
          </cell>
          <cell r="C158" t="str">
            <v>Professional Expenses</v>
          </cell>
          <cell r="D158">
            <v>44414</v>
          </cell>
          <cell r="E158">
            <v>0</v>
          </cell>
          <cell r="J158">
            <v>44414</v>
          </cell>
          <cell r="K158">
            <v>44414</v>
          </cell>
        </row>
        <row r="159">
          <cell r="A159" t="str">
            <v>7285</v>
          </cell>
          <cell r="B159">
            <v>7285</v>
          </cell>
          <cell r="C159" t="str">
            <v>Freight &amp; Transport - Local</v>
          </cell>
          <cell r="D159">
            <v>16504284.5</v>
          </cell>
          <cell r="E159">
            <v>0</v>
          </cell>
          <cell r="J159">
            <v>16504285</v>
          </cell>
          <cell r="K159">
            <v>16504285</v>
          </cell>
        </row>
        <row r="160">
          <cell r="A160" t="str">
            <v>7286</v>
          </cell>
          <cell r="B160">
            <v>7286</v>
          </cell>
          <cell r="C160" t="str">
            <v>Freight - Loading/Unloading chgs</v>
          </cell>
          <cell r="D160">
            <v>503071.72</v>
          </cell>
          <cell r="E160">
            <v>0</v>
          </cell>
          <cell r="J160">
            <v>503072</v>
          </cell>
          <cell r="K160">
            <v>503072</v>
          </cell>
        </row>
        <row r="161">
          <cell r="A161" t="str">
            <v>7290</v>
          </cell>
          <cell r="B161">
            <v>7290</v>
          </cell>
          <cell r="C161" t="str">
            <v>Freight &amp; Transport Recovered- Local</v>
          </cell>
          <cell r="D161">
            <v>0</v>
          </cell>
          <cell r="E161">
            <v>6039509</v>
          </cell>
          <cell r="J161">
            <v>-6039509</v>
          </cell>
          <cell r="K161">
            <v>-6039509</v>
          </cell>
        </row>
        <row r="162">
          <cell r="A162" t="str">
            <v>7350</v>
          </cell>
          <cell r="B162">
            <v>7350</v>
          </cell>
          <cell r="C162" t="str">
            <v>Bad Debts / Deposit  W. Off</v>
          </cell>
          <cell r="D162">
            <v>52223.54</v>
          </cell>
          <cell r="E162">
            <v>0</v>
          </cell>
          <cell r="J162">
            <v>52224</v>
          </cell>
          <cell r="K162">
            <v>52224</v>
          </cell>
        </row>
        <row r="163">
          <cell r="A163" t="str">
            <v>7351</v>
          </cell>
          <cell r="B163">
            <v>7351</v>
          </cell>
          <cell r="C163" t="str">
            <v>Advances written off</v>
          </cell>
          <cell r="D163">
            <v>596065.04</v>
          </cell>
          <cell r="E163">
            <v>0</v>
          </cell>
          <cell r="J163">
            <v>596065</v>
          </cell>
          <cell r="K163">
            <v>596065</v>
          </cell>
        </row>
        <row r="164">
          <cell r="A164" t="str">
            <v>7360</v>
          </cell>
          <cell r="B164">
            <v>7360</v>
          </cell>
          <cell r="C164" t="str">
            <v>Security</v>
          </cell>
          <cell r="D164">
            <v>1251105.6000000001</v>
          </cell>
          <cell r="E164">
            <v>0</v>
          </cell>
          <cell r="J164">
            <v>1251106</v>
          </cell>
          <cell r="K164">
            <v>1251106</v>
          </cell>
        </row>
        <row r="165">
          <cell r="A165" t="str">
            <v>7370</v>
          </cell>
          <cell r="B165">
            <v>7370</v>
          </cell>
          <cell r="C165" t="str">
            <v>Safety &amp; Sanitation</v>
          </cell>
          <cell r="D165">
            <v>122247</v>
          </cell>
          <cell r="E165">
            <v>0</v>
          </cell>
          <cell r="J165">
            <v>122247</v>
          </cell>
          <cell r="K165">
            <v>122247</v>
          </cell>
        </row>
        <row r="166">
          <cell r="A166" t="str">
            <v>7375</v>
          </cell>
          <cell r="B166">
            <v>7375</v>
          </cell>
          <cell r="C166" t="str">
            <v>PREMIUM ON FORWARD CONTRACT</v>
          </cell>
          <cell r="D166">
            <v>709344.8</v>
          </cell>
          <cell r="E166">
            <v>0</v>
          </cell>
          <cell r="J166">
            <v>709345</v>
          </cell>
          <cell r="K166">
            <v>709345</v>
          </cell>
        </row>
        <row r="167">
          <cell r="A167" t="str">
            <v>7380</v>
          </cell>
          <cell r="B167">
            <v>7380</v>
          </cell>
          <cell r="C167" t="str">
            <v>Business Development Expenses</v>
          </cell>
          <cell r="D167">
            <v>149485</v>
          </cell>
          <cell r="E167">
            <v>0</v>
          </cell>
          <cell r="J167">
            <v>149485</v>
          </cell>
          <cell r="K167">
            <v>149485</v>
          </cell>
        </row>
        <row r="168">
          <cell r="A168" t="str">
            <v>7410</v>
          </cell>
          <cell r="B168">
            <v>7410</v>
          </cell>
          <cell r="C168" t="str">
            <v>Postage/Telegram/Courier</v>
          </cell>
          <cell r="D168">
            <v>17897</v>
          </cell>
          <cell r="E168">
            <v>0</v>
          </cell>
          <cell r="J168">
            <v>17897</v>
          </cell>
          <cell r="K168">
            <v>17897</v>
          </cell>
        </row>
        <row r="169">
          <cell r="A169" t="str">
            <v>7420</v>
          </cell>
          <cell r="B169">
            <v>7420</v>
          </cell>
          <cell r="C169" t="str">
            <v>Selling Expenses</v>
          </cell>
          <cell r="D169">
            <v>550558.97</v>
          </cell>
          <cell r="E169">
            <v>0</v>
          </cell>
          <cell r="J169">
            <v>550559</v>
          </cell>
          <cell r="K169">
            <v>550559</v>
          </cell>
        </row>
        <row r="170">
          <cell r="A170" t="str">
            <v>7425</v>
          </cell>
          <cell r="B170">
            <v>7425</v>
          </cell>
          <cell r="C170" t="str">
            <v>Admn Charges on PF</v>
          </cell>
          <cell r="D170">
            <v>43731</v>
          </cell>
          <cell r="E170">
            <v>0</v>
          </cell>
          <cell r="J170">
            <v>43731</v>
          </cell>
          <cell r="K170">
            <v>43731</v>
          </cell>
        </row>
        <row r="171">
          <cell r="A171" t="str">
            <v>7426</v>
          </cell>
          <cell r="B171">
            <v>7426</v>
          </cell>
          <cell r="C171" t="str">
            <v>Admn Chg on PF</v>
          </cell>
          <cell r="D171">
            <v>24325</v>
          </cell>
          <cell r="E171">
            <v>0</v>
          </cell>
          <cell r="J171">
            <v>24325</v>
          </cell>
          <cell r="K171">
            <v>24325</v>
          </cell>
        </row>
        <row r="172">
          <cell r="A172" t="str">
            <v>7430</v>
          </cell>
          <cell r="B172">
            <v>7430</v>
          </cell>
          <cell r="C172" t="str">
            <v>Advertisement</v>
          </cell>
          <cell r="D172">
            <v>10000</v>
          </cell>
          <cell r="E172">
            <v>0</v>
          </cell>
          <cell r="J172">
            <v>10000</v>
          </cell>
          <cell r="K172">
            <v>10000</v>
          </cell>
        </row>
        <row r="173">
          <cell r="A173" t="str">
            <v>7445</v>
          </cell>
          <cell r="B173">
            <v>7445</v>
          </cell>
          <cell r="C173" t="str">
            <v>System Expenses</v>
          </cell>
          <cell r="D173">
            <v>209299</v>
          </cell>
          <cell r="E173">
            <v>0</v>
          </cell>
          <cell r="J173">
            <v>209299</v>
          </cell>
          <cell r="K173">
            <v>209299</v>
          </cell>
        </row>
        <row r="174">
          <cell r="A174" t="str">
            <v>7460</v>
          </cell>
          <cell r="B174">
            <v>7460</v>
          </cell>
          <cell r="C174" t="str">
            <v>Printing &amp; Stationery</v>
          </cell>
          <cell r="D174">
            <v>111907</v>
          </cell>
          <cell r="E174">
            <v>0</v>
          </cell>
          <cell r="J174">
            <v>111907</v>
          </cell>
          <cell r="K174">
            <v>111907</v>
          </cell>
        </row>
        <row r="175">
          <cell r="A175" t="str">
            <v>7470</v>
          </cell>
          <cell r="B175">
            <v>7470</v>
          </cell>
          <cell r="C175" t="str">
            <v>General Expenses - Office</v>
          </cell>
          <cell r="D175">
            <v>489.61</v>
          </cell>
          <cell r="E175">
            <v>0</v>
          </cell>
          <cell r="J175">
            <v>490</v>
          </cell>
          <cell r="K175">
            <v>490</v>
          </cell>
        </row>
        <row r="176">
          <cell r="A176" t="str">
            <v>7471</v>
          </cell>
          <cell r="B176">
            <v>7471</v>
          </cell>
          <cell r="C176" t="str">
            <v>General Expenses - Factory</v>
          </cell>
          <cell r="D176">
            <v>90047.55</v>
          </cell>
          <cell r="E176">
            <v>0</v>
          </cell>
          <cell r="J176">
            <v>90048</v>
          </cell>
          <cell r="K176">
            <v>90048</v>
          </cell>
        </row>
        <row r="177">
          <cell r="A177" t="str">
            <v>7473</v>
          </cell>
          <cell r="B177">
            <v>7473</v>
          </cell>
          <cell r="C177" t="str">
            <v>Garden Expenses</v>
          </cell>
          <cell r="D177">
            <v>900</v>
          </cell>
          <cell r="E177">
            <v>0</v>
          </cell>
          <cell r="J177">
            <v>900</v>
          </cell>
          <cell r="K177">
            <v>900</v>
          </cell>
        </row>
        <row r="178">
          <cell r="A178" t="str">
            <v>7475</v>
          </cell>
          <cell r="B178">
            <v>7475</v>
          </cell>
          <cell r="C178" t="str">
            <v>Corporate Exps(Central Services)</v>
          </cell>
          <cell r="D178">
            <v>5745000</v>
          </cell>
          <cell r="E178">
            <v>0</v>
          </cell>
          <cell r="J178">
            <v>5745000</v>
          </cell>
          <cell r="K178">
            <v>5745000</v>
          </cell>
        </row>
        <row r="179">
          <cell r="A179" t="str">
            <v>7495</v>
          </cell>
          <cell r="B179">
            <v>7495</v>
          </cell>
          <cell r="C179" t="str">
            <v>Photo Copying Expenses</v>
          </cell>
          <cell r="D179">
            <v>3912</v>
          </cell>
          <cell r="E179">
            <v>0</v>
          </cell>
          <cell r="J179">
            <v>3912</v>
          </cell>
          <cell r="K179">
            <v>3912</v>
          </cell>
        </row>
        <row r="180">
          <cell r="A180" t="str">
            <v>7500</v>
          </cell>
          <cell r="B180">
            <v>7500</v>
          </cell>
          <cell r="C180" t="str">
            <v>Telephone, Telex &amp; Fax Expenses</v>
          </cell>
          <cell r="D180">
            <v>300737.31</v>
          </cell>
          <cell r="E180">
            <v>0</v>
          </cell>
          <cell r="J180">
            <v>300737</v>
          </cell>
          <cell r="K180">
            <v>300737</v>
          </cell>
        </row>
        <row r="181">
          <cell r="A181" t="str">
            <v>7520</v>
          </cell>
          <cell r="B181">
            <v>7520</v>
          </cell>
          <cell r="C181" t="str">
            <v>Bank Charges L/c &amp; BG</v>
          </cell>
          <cell r="D181">
            <v>750</v>
          </cell>
          <cell r="E181">
            <v>0</v>
          </cell>
          <cell r="H181">
            <v>-5</v>
          </cell>
          <cell r="I181">
            <v>-7</v>
          </cell>
          <cell r="J181">
            <v>745</v>
          </cell>
          <cell r="K181">
            <v>743</v>
          </cell>
        </row>
        <row r="182">
          <cell r="A182" t="str">
            <v>7522</v>
          </cell>
          <cell r="B182">
            <v>7522</v>
          </cell>
          <cell r="C182" t="str">
            <v>Other Bank Charges</v>
          </cell>
          <cell r="D182">
            <v>254880.19</v>
          </cell>
          <cell r="E182">
            <v>0</v>
          </cell>
          <cell r="J182">
            <v>254880</v>
          </cell>
          <cell r="K182">
            <v>254880</v>
          </cell>
        </row>
        <row r="183">
          <cell r="A183" t="str">
            <v>7640</v>
          </cell>
          <cell r="B183">
            <v>7640</v>
          </cell>
          <cell r="C183" t="str">
            <v>Other Interest</v>
          </cell>
          <cell r="D183">
            <v>33452.870000000003</v>
          </cell>
          <cell r="E183">
            <v>0</v>
          </cell>
          <cell r="J183">
            <v>33453</v>
          </cell>
          <cell r="K183">
            <v>33453</v>
          </cell>
        </row>
        <row r="184">
          <cell r="A184" t="str">
            <v>7645</v>
          </cell>
          <cell r="B184">
            <v>7645</v>
          </cell>
          <cell r="C184" t="str">
            <v>Interest on Current  - PCD Chennai</v>
          </cell>
          <cell r="D184">
            <v>6390000</v>
          </cell>
          <cell r="E184">
            <v>0</v>
          </cell>
          <cell r="J184">
            <v>6390000</v>
          </cell>
          <cell r="K184">
            <v>6390000</v>
          </cell>
        </row>
        <row r="185">
          <cell r="A185" t="str">
            <v>7650</v>
          </cell>
          <cell r="B185">
            <v>7650</v>
          </cell>
          <cell r="C185" t="str">
            <v>Car Expenses -  Petrol</v>
          </cell>
          <cell r="D185">
            <v>191675.68</v>
          </cell>
          <cell r="E185">
            <v>0</v>
          </cell>
          <cell r="J185">
            <v>191676</v>
          </cell>
          <cell r="K185">
            <v>191676</v>
          </cell>
        </row>
        <row r="186">
          <cell r="A186" t="str">
            <v>7651</v>
          </cell>
          <cell r="B186">
            <v>7651</v>
          </cell>
          <cell r="C186" t="str">
            <v>Car Expenses -  Repairs</v>
          </cell>
          <cell r="D186">
            <v>119730</v>
          </cell>
          <cell r="E186">
            <v>0</v>
          </cell>
          <cell r="J186">
            <v>119730</v>
          </cell>
          <cell r="K186">
            <v>119730</v>
          </cell>
        </row>
        <row r="187">
          <cell r="A187" t="str">
            <v>7653</v>
          </cell>
          <cell r="B187">
            <v>7653</v>
          </cell>
          <cell r="C187" t="str">
            <v>Car Expenses -  Others ( Tax/Insu/Pass/Parking)</v>
          </cell>
          <cell r="D187">
            <v>15481</v>
          </cell>
          <cell r="E187">
            <v>0</v>
          </cell>
          <cell r="J187">
            <v>15481</v>
          </cell>
          <cell r="K187">
            <v>15481</v>
          </cell>
        </row>
        <row r="188">
          <cell r="A188" t="str">
            <v>7700</v>
          </cell>
          <cell r="B188">
            <v>7700</v>
          </cell>
          <cell r="C188" t="str">
            <v>DEPRECIATION</v>
          </cell>
          <cell r="D188">
            <v>6574928</v>
          </cell>
          <cell r="E188">
            <v>0</v>
          </cell>
          <cell r="J188">
            <v>6574928</v>
          </cell>
          <cell r="K188">
            <v>6574928</v>
          </cell>
        </row>
        <row r="189">
          <cell r="A189" t="str">
            <v>8971</v>
          </cell>
          <cell r="B189">
            <v>8971</v>
          </cell>
          <cell r="C189" t="str">
            <v>OP.STK.RAW MAT.-[ P&amp;L ]</v>
          </cell>
          <cell r="D189">
            <v>36087751</v>
          </cell>
          <cell r="E189">
            <v>0</v>
          </cell>
          <cell r="J189">
            <v>36087751</v>
          </cell>
          <cell r="K189">
            <v>36087751</v>
          </cell>
        </row>
        <row r="190">
          <cell r="A190" t="str">
            <v>8972</v>
          </cell>
          <cell r="B190">
            <v>8972</v>
          </cell>
          <cell r="C190" t="str">
            <v>OP.STK.(PACKING MATERIAL)</v>
          </cell>
          <cell r="D190">
            <v>210259</v>
          </cell>
          <cell r="E190">
            <v>0</v>
          </cell>
          <cell r="J190">
            <v>210259</v>
          </cell>
          <cell r="K190">
            <v>210259</v>
          </cell>
        </row>
        <row r="191">
          <cell r="A191" t="str">
            <v>8973</v>
          </cell>
          <cell r="B191">
            <v>8973</v>
          </cell>
          <cell r="C191" t="str">
            <v>OP.STK. FG [PL]</v>
          </cell>
          <cell r="D191">
            <v>5455233</v>
          </cell>
          <cell r="E191">
            <v>0</v>
          </cell>
          <cell r="J191">
            <v>5455233</v>
          </cell>
          <cell r="K191">
            <v>5455233</v>
          </cell>
        </row>
        <row r="192">
          <cell r="A192" t="str">
            <v>8974</v>
          </cell>
          <cell r="B192">
            <v>8974</v>
          </cell>
          <cell r="C192" t="str">
            <v>OP. ST. OF WIP - P&amp;L</v>
          </cell>
          <cell r="D192">
            <v>9722574</v>
          </cell>
          <cell r="E192">
            <v>0</v>
          </cell>
          <cell r="J192">
            <v>9722574</v>
          </cell>
          <cell r="K192">
            <v>9722574</v>
          </cell>
        </row>
        <row r="193">
          <cell r="A193" t="str">
            <v>8981</v>
          </cell>
          <cell r="B193">
            <v>8981</v>
          </cell>
          <cell r="C193" t="str">
            <v>CL. STK. RM. (P&amp;L)</v>
          </cell>
          <cell r="D193">
            <v>0</v>
          </cell>
          <cell r="E193">
            <v>24649437</v>
          </cell>
          <cell r="J193">
            <v>-24649437</v>
          </cell>
          <cell r="K193">
            <v>-24649437</v>
          </cell>
        </row>
        <row r="194">
          <cell r="A194" t="str">
            <v>8982</v>
          </cell>
          <cell r="B194">
            <v>8982</v>
          </cell>
          <cell r="C194" t="str">
            <v>CLOSING STOCK-P&amp;L-WIP/FG</v>
          </cell>
          <cell r="D194">
            <v>0</v>
          </cell>
          <cell r="E194">
            <v>132132</v>
          </cell>
          <cell r="J194">
            <v>-132132</v>
          </cell>
          <cell r="K194">
            <v>-132132</v>
          </cell>
        </row>
        <row r="195">
          <cell r="A195" t="str">
            <v>8983</v>
          </cell>
          <cell r="B195">
            <v>8983</v>
          </cell>
          <cell r="C195" t="str">
            <v>Cl. St. Fg- P&amp;L</v>
          </cell>
          <cell r="D195">
            <v>0</v>
          </cell>
          <cell r="E195">
            <v>5355530</v>
          </cell>
          <cell r="J195">
            <v>-5355530</v>
          </cell>
          <cell r="K195">
            <v>-5355530</v>
          </cell>
        </row>
        <row r="196">
          <cell r="A196" t="str">
            <v>8984</v>
          </cell>
          <cell r="B196">
            <v>8984</v>
          </cell>
          <cell r="C196" t="str">
            <v>CLOSING STOCK-WIP [PL]</v>
          </cell>
          <cell r="D196">
            <v>0</v>
          </cell>
          <cell r="E196">
            <v>11820477</v>
          </cell>
          <cell r="J196">
            <v>-11820477</v>
          </cell>
          <cell r="K196">
            <v>-11820477</v>
          </cell>
        </row>
        <row r="197">
          <cell r="A197" t="str">
            <v>8985</v>
          </cell>
          <cell r="B197">
            <v>8985</v>
          </cell>
          <cell r="C197" t="str">
            <v>CL.STK -STORES/SP/CONS.(PL)</v>
          </cell>
          <cell r="D197">
            <v>0</v>
          </cell>
          <cell r="E197">
            <v>239038</v>
          </cell>
          <cell r="J197">
            <v>-239038</v>
          </cell>
          <cell r="K197">
            <v>-239038</v>
          </cell>
        </row>
        <row r="198">
          <cell r="A198" t="str">
            <v>9000</v>
          </cell>
          <cell r="B198">
            <v>9000</v>
          </cell>
          <cell r="C198" t="str">
            <v>Cl.Stock [ GIT ] C / F</v>
          </cell>
          <cell r="D198">
            <v>9079431</v>
          </cell>
          <cell r="E198">
            <v>0</v>
          </cell>
          <cell r="J198">
            <v>9079431</v>
          </cell>
          <cell r="K198">
            <v>9079431</v>
          </cell>
        </row>
        <row r="199">
          <cell r="A199" t="str">
            <v>9001</v>
          </cell>
          <cell r="B199">
            <v>9001</v>
          </cell>
          <cell r="C199" t="str">
            <v>CL.STOCK RM -  [BS]</v>
          </cell>
          <cell r="D199">
            <v>11840145.109999999</v>
          </cell>
          <cell r="E199">
            <v>0</v>
          </cell>
          <cell r="J199">
            <v>11840145</v>
          </cell>
          <cell r="K199">
            <v>11840145</v>
          </cell>
        </row>
        <row r="200">
          <cell r="A200" t="str">
            <v>9002</v>
          </cell>
          <cell r="B200">
            <v>9002</v>
          </cell>
          <cell r="C200" t="str">
            <v>CL.STOCK  - PACKING MATERIAL (BS)</v>
          </cell>
          <cell r="D200">
            <v>132132</v>
          </cell>
          <cell r="E200">
            <v>0</v>
          </cell>
          <cell r="I200">
            <v>0</v>
          </cell>
          <cell r="J200">
            <v>132132</v>
          </cell>
          <cell r="K200">
            <v>132132</v>
          </cell>
        </row>
        <row r="201">
          <cell r="A201" t="str">
            <v>9003</v>
          </cell>
          <cell r="B201">
            <v>9003</v>
          </cell>
          <cell r="C201" t="str">
            <v>CL.STK. FG [ BS ]</v>
          </cell>
          <cell r="D201">
            <v>5355530</v>
          </cell>
          <cell r="E201">
            <v>0</v>
          </cell>
          <cell r="J201">
            <v>5355530</v>
          </cell>
          <cell r="K201">
            <v>5355530</v>
          </cell>
        </row>
        <row r="202">
          <cell r="A202" t="str">
            <v>9004</v>
          </cell>
          <cell r="B202">
            <v>9004</v>
          </cell>
          <cell r="C202" t="str">
            <v>CL.STK. WIP [ BS ]</v>
          </cell>
          <cell r="D202">
            <v>15550337.890000001</v>
          </cell>
          <cell r="E202">
            <v>0</v>
          </cell>
          <cell r="J202">
            <v>15550338</v>
          </cell>
          <cell r="K202">
            <v>15550338</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G207">
            <v>0</v>
          </cell>
        </row>
      </sheetData>
      <sheetData sheetId="29">
        <row r="1">
          <cell r="B1">
            <v>1472.98333</v>
          </cell>
          <cell r="C1" t="str">
            <v>PCD-N</v>
          </cell>
          <cell r="D1">
            <v>1064488887.09</v>
          </cell>
          <cell r="E1">
            <v>1064488887.0899999</v>
          </cell>
          <cell r="F1">
            <v>0</v>
          </cell>
          <cell r="G1">
            <v>0</v>
          </cell>
          <cell r="H1">
            <v>0</v>
          </cell>
          <cell r="I1">
            <v>0</v>
          </cell>
          <cell r="J1">
            <v>0</v>
          </cell>
          <cell r="K1">
            <v>0</v>
          </cell>
        </row>
        <row r="2">
          <cell r="B2">
            <v>141.73568</v>
          </cell>
          <cell r="C2" t="str">
            <v>Accounting Period : 01-04-14 - 31-03-16</v>
          </cell>
          <cell r="D2">
            <v>1472.98333</v>
          </cell>
          <cell r="E2">
            <v>0</v>
          </cell>
          <cell r="G2">
            <v>0</v>
          </cell>
        </row>
        <row r="3">
          <cell r="A3">
            <v>1</v>
          </cell>
          <cell r="B3">
            <v>2</v>
          </cell>
          <cell r="C3">
            <v>3</v>
          </cell>
          <cell r="D3">
            <v>4</v>
          </cell>
          <cell r="E3">
            <v>5</v>
          </cell>
          <cell r="F3">
            <v>6</v>
          </cell>
          <cell r="G3">
            <v>7</v>
          </cell>
          <cell r="H3">
            <v>8</v>
          </cell>
          <cell r="I3">
            <v>9</v>
          </cell>
          <cell r="J3">
            <v>10</v>
          </cell>
        </row>
        <row r="4">
          <cell r="D4" t="str">
            <v>Parameter : As On Date : 31-03-16, With Transactions</v>
          </cell>
          <cell r="H4" t="str">
            <v>Provision</v>
          </cell>
          <cell r="I4" t="str">
            <v>Provision</v>
          </cell>
          <cell r="J4" t="str">
            <v>DERIVED TB</v>
          </cell>
          <cell r="K4" t="str">
            <v xml:space="preserve">Net Bal </v>
          </cell>
        </row>
        <row r="5">
          <cell r="B5" t="str">
            <v>Code</v>
          </cell>
          <cell r="C5" t="str">
            <v>Account Description</v>
          </cell>
          <cell r="D5" t="str">
            <v>Debit</v>
          </cell>
          <cell r="E5" t="str">
            <v>Credit</v>
          </cell>
        </row>
        <row r="6">
          <cell r="A6" t="str">
            <v>1627</v>
          </cell>
          <cell r="B6">
            <v>1627</v>
          </cell>
          <cell r="C6" t="str">
            <v>LIABILITY FOR EXPENSES [ 2015-16 ]</v>
          </cell>
          <cell r="D6">
            <v>0</v>
          </cell>
          <cell r="E6">
            <v>2535224</v>
          </cell>
          <cell r="J6">
            <v>-2535224</v>
          </cell>
          <cell r="K6">
            <v>-2535224</v>
          </cell>
        </row>
        <row r="7">
          <cell r="A7" t="str">
            <v>203</v>
          </cell>
          <cell r="B7">
            <v>203</v>
          </cell>
          <cell r="C7" t="str">
            <v>HO A/C.PLASTICCONT.-CHENNAI</v>
          </cell>
          <cell r="D7">
            <v>0</v>
          </cell>
          <cell r="E7">
            <v>881231</v>
          </cell>
          <cell r="J7">
            <v>-881231</v>
          </cell>
          <cell r="K7">
            <v>-881231</v>
          </cell>
        </row>
        <row r="8">
          <cell r="A8" t="str">
            <v>206</v>
          </cell>
          <cell r="B8">
            <v>206</v>
          </cell>
          <cell r="C8" t="str">
            <v>H.O.A/C-PLASTICS CONT.DIV.D'DUN</v>
          </cell>
          <cell r="D8">
            <v>0</v>
          </cell>
          <cell r="E8">
            <v>515698804.35000002</v>
          </cell>
          <cell r="J8">
            <v>-515698804</v>
          </cell>
          <cell r="K8">
            <v>-515698804</v>
          </cell>
        </row>
        <row r="9">
          <cell r="A9" t="str">
            <v>207</v>
          </cell>
          <cell r="B9">
            <v>207</v>
          </cell>
          <cell r="C9" t="str">
            <v>H.O.A/C.-BANK-DEHRADUN</v>
          </cell>
          <cell r="D9">
            <v>294228356.86000001</v>
          </cell>
          <cell r="E9">
            <v>0</v>
          </cell>
          <cell r="J9">
            <v>294228357</v>
          </cell>
          <cell r="K9">
            <v>294228357</v>
          </cell>
        </row>
        <row r="10">
          <cell r="A10" t="str">
            <v>400</v>
          </cell>
          <cell r="B10">
            <v>400</v>
          </cell>
          <cell r="C10" t="str">
            <v>Cash in Hand</v>
          </cell>
          <cell r="D10">
            <v>38563</v>
          </cell>
          <cell r="E10">
            <v>0</v>
          </cell>
          <cell r="J10">
            <v>38563</v>
          </cell>
          <cell r="K10">
            <v>38563</v>
          </cell>
        </row>
        <row r="11">
          <cell r="A11" t="str">
            <v>451</v>
          </cell>
          <cell r="B11">
            <v>451</v>
          </cell>
          <cell r="C11" t="str">
            <v>Cheques  Adj. A/C - ( Stale Cheques )</v>
          </cell>
          <cell r="D11">
            <v>0</v>
          </cell>
          <cell r="E11">
            <v>18254</v>
          </cell>
          <cell r="J11">
            <v>-18254</v>
          </cell>
          <cell r="K11">
            <v>-18254</v>
          </cell>
        </row>
        <row r="12">
          <cell r="A12" t="str">
            <v>511</v>
          </cell>
          <cell r="B12">
            <v>511</v>
          </cell>
          <cell r="C12" t="str">
            <v>Cash Credit - Kotak Bank [A/c - 131158650]</v>
          </cell>
          <cell r="D12">
            <v>0</v>
          </cell>
          <cell r="E12">
            <v>2753788</v>
          </cell>
          <cell r="J12">
            <v>-2753788</v>
          </cell>
          <cell r="K12">
            <v>-2753788</v>
          </cell>
        </row>
        <row r="13">
          <cell r="A13" t="str">
            <v>611</v>
          </cell>
          <cell r="B13">
            <v>611</v>
          </cell>
          <cell r="C13" t="str">
            <v>Current Account - INDUSIND BANK</v>
          </cell>
          <cell r="D13">
            <v>231963.97</v>
          </cell>
          <cell r="E13">
            <v>0</v>
          </cell>
          <cell r="J13">
            <v>231964</v>
          </cell>
          <cell r="K13">
            <v>231964</v>
          </cell>
        </row>
        <row r="14">
          <cell r="A14" t="str">
            <v>813</v>
          </cell>
          <cell r="B14">
            <v>813</v>
          </cell>
          <cell r="C14" t="str">
            <v>CAR LOAN</v>
          </cell>
          <cell r="D14">
            <v>0</v>
          </cell>
          <cell r="E14">
            <v>310577.2</v>
          </cell>
          <cell r="J14">
            <v>-310577</v>
          </cell>
          <cell r="K14">
            <v>-310577</v>
          </cell>
        </row>
        <row r="15">
          <cell r="A15" t="str">
            <v>1014</v>
          </cell>
          <cell r="B15">
            <v>1014</v>
          </cell>
          <cell r="C15" t="str">
            <v>CAPITAL SUBSIDY RESERVE</v>
          </cell>
          <cell r="D15">
            <v>0</v>
          </cell>
          <cell r="E15">
            <v>3000000</v>
          </cell>
          <cell r="J15">
            <v>-3000000</v>
          </cell>
          <cell r="K15">
            <v>-3000000</v>
          </cell>
        </row>
        <row r="16">
          <cell r="A16" t="str">
            <v>1050</v>
          </cell>
          <cell r="B16">
            <v>1050</v>
          </cell>
          <cell r="C16" t="str">
            <v>Profit &amp; Loss</v>
          </cell>
          <cell r="D16">
            <v>0</v>
          </cell>
          <cell r="E16">
            <v>8124585.9500000002</v>
          </cell>
          <cell r="J16">
            <v>-8124586</v>
          </cell>
          <cell r="K16">
            <v>-8124586</v>
          </cell>
        </row>
        <row r="17">
          <cell r="A17" t="str">
            <v>1510</v>
          </cell>
          <cell r="B17">
            <v>1510</v>
          </cell>
          <cell r="C17" t="str">
            <v>Sundry Creditors Control</v>
          </cell>
          <cell r="D17">
            <v>0</v>
          </cell>
          <cell r="E17">
            <v>1289593.22</v>
          </cell>
          <cell r="J17">
            <v>-1289593</v>
          </cell>
          <cell r="K17">
            <v>-1289593</v>
          </cell>
        </row>
        <row r="18">
          <cell r="A18" t="str">
            <v>1624</v>
          </cell>
          <cell r="B18">
            <v>1624</v>
          </cell>
          <cell r="C18" t="str">
            <v>LIABILITY FOR EXPENSES [ 2012-13]</v>
          </cell>
          <cell r="D18">
            <v>0</v>
          </cell>
          <cell r="E18">
            <v>3050</v>
          </cell>
          <cell r="J18">
            <v>-3050</v>
          </cell>
          <cell r="K18">
            <v>-3050</v>
          </cell>
        </row>
        <row r="19">
          <cell r="A19" t="str">
            <v>1625</v>
          </cell>
          <cell r="B19">
            <v>1625</v>
          </cell>
          <cell r="C19" t="str">
            <v>LIABILITY FOR EXPENSES [ 2013-14 ]</v>
          </cell>
          <cell r="D19">
            <v>0</v>
          </cell>
          <cell r="E19">
            <v>58687</v>
          </cell>
          <cell r="J19">
            <v>-58687</v>
          </cell>
          <cell r="K19">
            <v>-58687</v>
          </cell>
        </row>
        <row r="20">
          <cell r="A20" t="str">
            <v>1626</v>
          </cell>
          <cell r="B20">
            <v>1626</v>
          </cell>
          <cell r="C20" t="str">
            <v>LIABILITY FOR EXPENSES [ 2014-15 ]</v>
          </cell>
          <cell r="D20">
            <v>0</v>
          </cell>
          <cell r="E20">
            <v>27191</v>
          </cell>
          <cell r="J20">
            <v>-27191</v>
          </cell>
          <cell r="K20">
            <v>-27191</v>
          </cell>
        </row>
        <row r="21">
          <cell r="A21" t="str">
            <v>1811</v>
          </cell>
          <cell r="B21">
            <v>1811</v>
          </cell>
          <cell r="C21" t="str">
            <v>Deposit recd from contractor</v>
          </cell>
          <cell r="D21">
            <v>0</v>
          </cell>
          <cell r="E21">
            <v>1231044</v>
          </cell>
          <cell r="J21">
            <v>-1231044</v>
          </cell>
          <cell r="K21">
            <v>-1231044</v>
          </cell>
        </row>
        <row r="22">
          <cell r="A22" t="str">
            <v>2010</v>
          </cell>
          <cell r="B22">
            <v>2010</v>
          </cell>
          <cell r="C22" t="str">
            <v>Provision for Gratuity</v>
          </cell>
          <cell r="D22">
            <v>0</v>
          </cell>
          <cell r="E22">
            <v>67250</v>
          </cell>
          <cell r="J22">
            <v>-67250</v>
          </cell>
          <cell r="K22">
            <v>-67250</v>
          </cell>
        </row>
        <row r="23">
          <cell r="A23" t="str">
            <v>2015</v>
          </cell>
          <cell r="B23">
            <v>2015</v>
          </cell>
          <cell r="C23" t="str">
            <v>PROVISION- LEAVE ENCSAHMENT</v>
          </cell>
          <cell r="D23">
            <v>0</v>
          </cell>
          <cell r="E23">
            <v>333453</v>
          </cell>
          <cell r="J23">
            <v>-333453</v>
          </cell>
          <cell r="K23">
            <v>-333453</v>
          </cell>
        </row>
        <row r="24">
          <cell r="A24" t="str">
            <v>2100</v>
          </cell>
          <cell r="B24">
            <v>2100</v>
          </cell>
          <cell r="C24" t="str">
            <v>Provision for Depreciation</v>
          </cell>
          <cell r="D24">
            <v>0</v>
          </cell>
          <cell r="E24">
            <v>34355102</v>
          </cell>
          <cell r="J24">
            <v>-34355102</v>
          </cell>
          <cell r="K24">
            <v>-34355102</v>
          </cell>
        </row>
        <row r="25">
          <cell r="A25" t="str">
            <v>2512</v>
          </cell>
          <cell r="B25">
            <v>2512</v>
          </cell>
          <cell r="C25" t="str">
            <v>VAT - Sales</v>
          </cell>
          <cell r="D25">
            <v>0</v>
          </cell>
          <cell r="E25">
            <v>226989.56</v>
          </cell>
          <cell r="J25">
            <v>-226990</v>
          </cell>
          <cell r="K25">
            <v>-226990</v>
          </cell>
        </row>
        <row r="26">
          <cell r="A26" t="str">
            <v>2513</v>
          </cell>
          <cell r="B26">
            <v>2513</v>
          </cell>
          <cell r="C26" t="str">
            <v>VAT - Purchases</v>
          </cell>
          <cell r="D26">
            <v>35433</v>
          </cell>
          <cell r="E26">
            <v>0</v>
          </cell>
          <cell r="J26">
            <v>35433</v>
          </cell>
          <cell r="K26">
            <v>35433</v>
          </cell>
        </row>
        <row r="27">
          <cell r="A27" t="str">
            <v>2522</v>
          </cell>
          <cell r="B27">
            <v>2522</v>
          </cell>
          <cell r="C27" t="str">
            <v>CST - Sales</v>
          </cell>
          <cell r="D27">
            <v>0</v>
          </cell>
          <cell r="E27">
            <v>592147.37</v>
          </cell>
          <cell r="J27">
            <v>-592147</v>
          </cell>
          <cell r="K27">
            <v>-592147</v>
          </cell>
        </row>
        <row r="28">
          <cell r="A28" t="str">
            <v>2528</v>
          </cell>
          <cell r="B28">
            <v>2528</v>
          </cell>
          <cell r="C28" t="str">
            <v>TDS on Scrap Sale</v>
          </cell>
          <cell r="D28">
            <v>0</v>
          </cell>
          <cell r="E28">
            <v>607</v>
          </cell>
          <cell r="J28">
            <v>-607</v>
          </cell>
          <cell r="K28">
            <v>-607</v>
          </cell>
        </row>
        <row r="29">
          <cell r="A29" t="str">
            <v>2530</v>
          </cell>
          <cell r="B29">
            <v>2530</v>
          </cell>
          <cell r="C29" t="str">
            <v>Income Tax Adjustable- Contractors &amp; Others</v>
          </cell>
          <cell r="D29">
            <v>0</v>
          </cell>
          <cell r="E29">
            <v>113753.8</v>
          </cell>
          <cell r="J29">
            <v>-113754</v>
          </cell>
          <cell r="K29">
            <v>-113754</v>
          </cell>
        </row>
        <row r="30">
          <cell r="A30" t="str">
            <v>2534</v>
          </cell>
          <cell r="B30">
            <v>2534</v>
          </cell>
          <cell r="C30" t="str">
            <v>T.D.S - Rent</v>
          </cell>
          <cell r="D30">
            <v>0</v>
          </cell>
          <cell r="E30">
            <v>4200</v>
          </cell>
          <cell r="J30">
            <v>-4200</v>
          </cell>
          <cell r="K30">
            <v>-4200</v>
          </cell>
        </row>
        <row r="31">
          <cell r="A31" t="str">
            <v>2535</v>
          </cell>
          <cell r="B31">
            <v>2535</v>
          </cell>
          <cell r="C31" t="str">
            <v>T.D.S - Professionals</v>
          </cell>
          <cell r="D31">
            <v>0</v>
          </cell>
          <cell r="E31">
            <v>61474</v>
          </cell>
          <cell r="J31">
            <v>-61474</v>
          </cell>
          <cell r="K31">
            <v>-61474</v>
          </cell>
        </row>
        <row r="32">
          <cell r="A32" t="str">
            <v>2540</v>
          </cell>
          <cell r="B32">
            <v>2540</v>
          </cell>
          <cell r="C32" t="str">
            <v>Excise Duty Adjustable</v>
          </cell>
          <cell r="D32">
            <v>5403532.3099999996</v>
          </cell>
          <cell r="E32">
            <v>0</v>
          </cell>
          <cell r="J32">
            <v>5403532</v>
          </cell>
          <cell r="K32">
            <v>5403532</v>
          </cell>
        </row>
        <row r="33">
          <cell r="A33" t="str">
            <v>2541</v>
          </cell>
          <cell r="B33">
            <v>2541</v>
          </cell>
          <cell r="C33" t="str">
            <v>Excise Duty Payable (FG CL.STOCK)</v>
          </cell>
          <cell r="D33">
            <v>0</v>
          </cell>
          <cell r="E33">
            <v>1345550</v>
          </cell>
          <cell r="J33">
            <v>-1345550</v>
          </cell>
          <cell r="K33">
            <v>-1345550</v>
          </cell>
        </row>
        <row r="34">
          <cell r="A34" t="str">
            <v>2543</v>
          </cell>
          <cell r="B34">
            <v>2543</v>
          </cell>
          <cell r="C34" t="str">
            <v>Service Tax</v>
          </cell>
          <cell r="D34">
            <v>402327.57</v>
          </cell>
          <cell r="E34">
            <v>0</v>
          </cell>
          <cell r="J34">
            <v>402328</v>
          </cell>
          <cell r="K34">
            <v>402328</v>
          </cell>
        </row>
        <row r="35">
          <cell r="A35" t="str">
            <v>2572</v>
          </cell>
          <cell r="B35">
            <v>2572</v>
          </cell>
          <cell r="C35" t="str">
            <v>FORWARD CONTRACT PAYABLE</v>
          </cell>
          <cell r="D35">
            <v>0</v>
          </cell>
          <cell r="E35">
            <v>1</v>
          </cell>
          <cell r="J35">
            <v>-1</v>
          </cell>
          <cell r="K35">
            <v>-1</v>
          </cell>
        </row>
        <row r="36">
          <cell r="A36" t="str">
            <v>2600</v>
          </cell>
          <cell r="B36">
            <v>2600</v>
          </cell>
          <cell r="C36" t="str">
            <v>Net Salary Adjustable</v>
          </cell>
          <cell r="D36">
            <v>0</v>
          </cell>
          <cell r="E36">
            <v>727192</v>
          </cell>
          <cell r="J36">
            <v>-727192</v>
          </cell>
          <cell r="K36">
            <v>-727192</v>
          </cell>
        </row>
        <row r="37">
          <cell r="A37" t="str">
            <v>2610</v>
          </cell>
          <cell r="B37">
            <v>2610</v>
          </cell>
          <cell r="C37" t="str">
            <v>Provident Fund Adjustable</v>
          </cell>
          <cell r="D37">
            <v>0</v>
          </cell>
          <cell r="E37">
            <v>75533</v>
          </cell>
          <cell r="J37">
            <v>-75533</v>
          </cell>
          <cell r="K37">
            <v>-75533</v>
          </cell>
        </row>
        <row r="38">
          <cell r="A38" t="str">
            <v>2640</v>
          </cell>
          <cell r="B38">
            <v>2640</v>
          </cell>
          <cell r="C38" t="str">
            <v>ESIC Adjustable</v>
          </cell>
          <cell r="D38">
            <v>0</v>
          </cell>
          <cell r="E38">
            <v>23745</v>
          </cell>
          <cell r="J38">
            <v>-23745</v>
          </cell>
          <cell r="K38">
            <v>-23745</v>
          </cell>
        </row>
        <row r="39">
          <cell r="A39" t="str">
            <v>2641</v>
          </cell>
          <cell r="B39">
            <v>2641</v>
          </cell>
          <cell r="C39" t="str">
            <v>ESIC Adjustable - Contractors &amp; Others</v>
          </cell>
          <cell r="D39">
            <v>0</v>
          </cell>
          <cell r="E39">
            <v>8306</v>
          </cell>
          <cell r="J39">
            <v>-8306</v>
          </cell>
          <cell r="K39">
            <v>-8306</v>
          </cell>
        </row>
        <row r="40">
          <cell r="A40" t="str">
            <v>2760</v>
          </cell>
          <cell r="B40">
            <v>2760</v>
          </cell>
          <cell r="C40" t="str">
            <v>Coin adj</v>
          </cell>
          <cell r="D40">
            <v>52.09</v>
          </cell>
          <cell r="E40">
            <v>0</v>
          </cell>
          <cell r="J40">
            <v>52</v>
          </cell>
          <cell r="K40">
            <v>52</v>
          </cell>
        </row>
        <row r="41">
          <cell r="A41" t="str">
            <v>3010</v>
          </cell>
          <cell r="B41">
            <v>3010</v>
          </cell>
          <cell r="C41" t="str">
            <v>Fixed Assets - Gross Block</v>
          </cell>
          <cell r="D41">
            <v>170675354.09999999</v>
          </cell>
          <cell r="E41">
            <v>0</v>
          </cell>
          <cell r="J41">
            <v>170675354</v>
          </cell>
          <cell r="K41">
            <v>170675354</v>
          </cell>
        </row>
        <row r="42">
          <cell r="A42" t="str">
            <v>3050</v>
          </cell>
          <cell r="B42">
            <v>3050</v>
          </cell>
          <cell r="C42" t="str">
            <v>Capital Work in Process</v>
          </cell>
          <cell r="D42">
            <v>0</v>
          </cell>
          <cell r="E42">
            <v>82511313.140000001</v>
          </cell>
          <cell r="J42">
            <v>-82511313</v>
          </cell>
          <cell r="K42">
            <v>-82511313</v>
          </cell>
        </row>
        <row r="43">
          <cell r="A43" t="str">
            <v>3056</v>
          </cell>
          <cell r="B43">
            <v>3056</v>
          </cell>
          <cell r="C43" t="str">
            <v>C.W.I.P. -PCD -NORTH PROJECT</v>
          </cell>
          <cell r="D43">
            <v>86719577</v>
          </cell>
          <cell r="E43">
            <v>0</v>
          </cell>
          <cell r="J43">
            <v>86719577</v>
          </cell>
          <cell r="K43">
            <v>86719577</v>
          </cell>
        </row>
        <row r="44">
          <cell r="A44" t="str">
            <v>3200</v>
          </cell>
          <cell r="B44">
            <v>3200</v>
          </cell>
          <cell r="C44" t="str">
            <v>CL.STK.STORES/CONS.(BS)</v>
          </cell>
          <cell r="D44">
            <v>1456966</v>
          </cell>
          <cell r="E44">
            <v>0</v>
          </cell>
          <cell r="J44">
            <v>1456966</v>
          </cell>
          <cell r="K44">
            <v>1456966</v>
          </cell>
        </row>
        <row r="45">
          <cell r="A45" t="str">
            <v>3300</v>
          </cell>
          <cell r="B45">
            <v>3300</v>
          </cell>
          <cell r="C45" t="str">
            <v>Sundry Debtors Control</v>
          </cell>
          <cell r="D45">
            <v>64808158</v>
          </cell>
          <cell r="E45">
            <v>0</v>
          </cell>
          <cell r="J45">
            <v>64808158</v>
          </cell>
          <cell r="K45">
            <v>64808158</v>
          </cell>
        </row>
        <row r="46">
          <cell r="A46" t="str">
            <v>3420</v>
          </cell>
          <cell r="B46">
            <v>3420</v>
          </cell>
          <cell r="C46" t="str">
            <v>Advance A/c. - Capex</v>
          </cell>
          <cell r="D46">
            <v>49126</v>
          </cell>
          <cell r="E46">
            <v>0</v>
          </cell>
          <cell r="J46">
            <v>49126</v>
          </cell>
          <cell r="K46">
            <v>49126</v>
          </cell>
        </row>
        <row r="47">
          <cell r="A47" t="str">
            <v>3510</v>
          </cell>
          <cell r="B47">
            <v>3510</v>
          </cell>
          <cell r="C47" t="str">
            <v>Advance Against Expenses</v>
          </cell>
          <cell r="D47">
            <v>5500</v>
          </cell>
          <cell r="E47">
            <v>0</v>
          </cell>
          <cell r="J47">
            <v>5500</v>
          </cell>
          <cell r="K47">
            <v>5500</v>
          </cell>
        </row>
        <row r="48">
          <cell r="A48" t="str">
            <v>3580</v>
          </cell>
          <cell r="B48">
            <v>3580</v>
          </cell>
          <cell r="C48" t="str">
            <v>Sundry Loan</v>
          </cell>
          <cell r="D48">
            <v>38000</v>
          </cell>
          <cell r="E48">
            <v>0</v>
          </cell>
          <cell r="J48">
            <v>38000</v>
          </cell>
          <cell r="K48">
            <v>38000</v>
          </cell>
        </row>
        <row r="49">
          <cell r="A49" t="str">
            <v>3606</v>
          </cell>
          <cell r="B49">
            <v>3606</v>
          </cell>
          <cell r="C49" t="str">
            <v>FORWARD CONTRACT RECEVIABLE</v>
          </cell>
          <cell r="D49">
            <v>1</v>
          </cell>
          <cell r="E49">
            <v>0</v>
          </cell>
          <cell r="J49">
            <v>1</v>
          </cell>
          <cell r="K49">
            <v>1</v>
          </cell>
        </row>
        <row r="50">
          <cell r="A50" t="str">
            <v>3700</v>
          </cell>
          <cell r="B50">
            <v>3700</v>
          </cell>
          <cell r="C50" t="str">
            <v>Deposits Paid</v>
          </cell>
          <cell r="D50">
            <v>2029738.88</v>
          </cell>
          <cell r="E50">
            <v>0</v>
          </cell>
          <cell r="J50">
            <v>2029739</v>
          </cell>
          <cell r="K50">
            <v>2029739</v>
          </cell>
        </row>
        <row r="51">
          <cell r="A51" t="str">
            <v>3710</v>
          </cell>
          <cell r="B51">
            <v>3710</v>
          </cell>
          <cell r="C51" t="str">
            <v>Interest Receivable</v>
          </cell>
          <cell r="D51">
            <v>145312</v>
          </cell>
          <cell r="E51">
            <v>0</v>
          </cell>
          <cell r="J51">
            <v>145312</v>
          </cell>
          <cell r="K51">
            <v>145312</v>
          </cell>
        </row>
        <row r="52">
          <cell r="A52" t="str">
            <v>3750</v>
          </cell>
          <cell r="B52">
            <v>3750</v>
          </cell>
          <cell r="C52" t="str">
            <v>Prepaid Expenses</v>
          </cell>
          <cell r="D52">
            <v>176383.5</v>
          </cell>
          <cell r="E52">
            <v>0</v>
          </cell>
          <cell r="J52">
            <v>176384</v>
          </cell>
          <cell r="K52">
            <v>176384</v>
          </cell>
        </row>
        <row r="53">
          <cell r="A53" t="str">
            <v>3850</v>
          </cell>
          <cell r="B53">
            <v>3850</v>
          </cell>
          <cell r="C53" t="str">
            <v>Advance Income Tax</v>
          </cell>
          <cell r="D53">
            <v>70211.100000000006</v>
          </cell>
          <cell r="E53">
            <v>0</v>
          </cell>
          <cell r="J53">
            <v>70211</v>
          </cell>
          <cell r="K53">
            <v>70211</v>
          </cell>
        </row>
        <row r="54">
          <cell r="A54" t="str">
            <v>5000</v>
          </cell>
          <cell r="B54">
            <v>5000</v>
          </cell>
          <cell r="C54" t="str">
            <v>Sales Control A/c.</v>
          </cell>
          <cell r="D54">
            <v>2979</v>
          </cell>
          <cell r="E54">
            <v>0</v>
          </cell>
          <cell r="J54">
            <v>2979</v>
          </cell>
          <cell r="K54">
            <v>2979</v>
          </cell>
        </row>
        <row r="55">
          <cell r="A55" t="str">
            <v>5001</v>
          </cell>
          <cell r="B55">
            <v>5001</v>
          </cell>
          <cell r="C55" t="str">
            <v>JOBWORK  INCOME (INTER-DEPT)</v>
          </cell>
          <cell r="D55">
            <v>0</v>
          </cell>
          <cell r="E55">
            <v>3827415</v>
          </cell>
          <cell r="J55">
            <v>-3827415</v>
          </cell>
          <cell r="K55">
            <v>-3827415</v>
          </cell>
        </row>
        <row r="56">
          <cell r="A56" t="str">
            <v>5010</v>
          </cell>
          <cell r="B56">
            <v>5010</v>
          </cell>
          <cell r="C56" t="str">
            <v>Product Sales</v>
          </cell>
          <cell r="D56">
            <v>0</v>
          </cell>
          <cell r="E56">
            <v>341777892</v>
          </cell>
          <cell r="J56">
            <v>-341777892</v>
          </cell>
          <cell r="K56">
            <v>-341777892</v>
          </cell>
        </row>
        <row r="57">
          <cell r="A57" t="str">
            <v>5100</v>
          </cell>
          <cell r="B57">
            <v>5100</v>
          </cell>
          <cell r="C57" t="str">
            <v>Scrap Sales</v>
          </cell>
          <cell r="D57">
            <v>0</v>
          </cell>
          <cell r="E57">
            <v>618111</v>
          </cell>
          <cell r="J57">
            <v>-618111</v>
          </cell>
          <cell r="K57">
            <v>-618111</v>
          </cell>
        </row>
        <row r="58">
          <cell r="A58" t="str">
            <v>5150</v>
          </cell>
          <cell r="B58">
            <v>5150</v>
          </cell>
          <cell r="C58" t="str">
            <v>Interest Received</v>
          </cell>
          <cell r="D58">
            <v>0</v>
          </cell>
          <cell r="E58">
            <v>164657</v>
          </cell>
          <cell r="J58">
            <v>-164657</v>
          </cell>
          <cell r="K58">
            <v>-164657</v>
          </cell>
        </row>
        <row r="59">
          <cell r="A59" t="str">
            <v>5195</v>
          </cell>
          <cell r="B59">
            <v>5195</v>
          </cell>
          <cell r="C59" t="str">
            <v>Realised  Gain/Loss  on Exchange</v>
          </cell>
          <cell r="D59">
            <v>30490.32</v>
          </cell>
          <cell r="E59">
            <v>0</v>
          </cell>
          <cell r="J59">
            <v>30490</v>
          </cell>
          <cell r="K59">
            <v>30490</v>
          </cell>
        </row>
        <row r="60">
          <cell r="A60" t="str">
            <v>5200</v>
          </cell>
          <cell r="B60">
            <v>5200</v>
          </cell>
          <cell r="C60" t="str">
            <v>Unrealised  Gain/Loss  on Exchange</v>
          </cell>
          <cell r="D60">
            <v>0</v>
          </cell>
          <cell r="E60">
            <v>104340</v>
          </cell>
          <cell r="J60">
            <v>-104340</v>
          </cell>
          <cell r="K60">
            <v>-104340</v>
          </cell>
        </row>
        <row r="61">
          <cell r="A61" t="str">
            <v>5231</v>
          </cell>
          <cell r="B61">
            <v>5231</v>
          </cell>
          <cell r="C61" t="str">
            <v>Discount Received</v>
          </cell>
          <cell r="D61">
            <v>0</v>
          </cell>
          <cell r="E61">
            <v>488911.5</v>
          </cell>
          <cell r="J61">
            <v>-488912</v>
          </cell>
          <cell r="K61">
            <v>-488912</v>
          </cell>
        </row>
        <row r="62">
          <cell r="A62" t="str">
            <v>5235</v>
          </cell>
          <cell r="B62">
            <v>5235</v>
          </cell>
          <cell r="C62" t="str">
            <v>Sundry Credit Balances Written Back</v>
          </cell>
          <cell r="D62">
            <v>0</v>
          </cell>
          <cell r="E62">
            <v>328962</v>
          </cell>
          <cell r="J62">
            <v>-328962</v>
          </cell>
          <cell r="K62">
            <v>-328962</v>
          </cell>
        </row>
        <row r="63">
          <cell r="A63" t="str">
            <v>5500</v>
          </cell>
          <cell r="B63">
            <v>5500</v>
          </cell>
          <cell r="C63" t="str">
            <v>Sales Return</v>
          </cell>
          <cell r="D63">
            <v>315938</v>
          </cell>
          <cell r="E63">
            <v>0</v>
          </cell>
          <cell r="J63">
            <v>315938</v>
          </cell>
          <cell r="K63">
            <v>315938</v>
          </cell>
        </row>
        <row r="64">
          <cell r="A64" t="str">
            <v>6000</v>
          </cell>
          <cell r="B64">
            <v>6000</v>
          </cell>
          <cell r="C64" t="str">
            <v>Purchase control</v>
          </cell>
          <cell r="D64">
            <v>1950</v>
          </cell>
          <cell r="E64">
            <v>0</v>
          </cell>
          <cell r="J64">
            <v>1950</v>
          </cell>
          <cell r="K64">
            <v>1950</v>
          </cell>
        </row>
        <row r="65">
          <cell r="A65" t="str">
            <v>6010</v>
          </cell>
          <cell r="B65">
            <v>6010</v>
          </cell>
          <cell r="C65" t="str">
            <v>Purchase A/c -  RM - Steel / HMHDPE - Local</v>
          </cell>
          <cell r="D65">
            <v>1090000</v>
          </cell>
          <cell r="E65">
            <v>0</v>
          </cell>
          <cell r="J65">
            <v>1090000</v>
          </cell>
          <cell r="K65">
            <v>1090000</v>
          </cell>
        </row>
        <row r="66">
          <cell r="A66" t="str">
            <v>6015</v>
          </cell>
          <cell r="B66">
            <v>6015</v>
          </cell>
          <cell r="C66" t="str">
            <v>Purchase A/c -  RM - Steel / HMHDPE - Imported</v>
          </cell>
          <cell r="D66">
            <v>236091680</v>
          </cell>
          <cell r="E66">
            <v>0</v>
          </cell>
          <cell r="J66">
            <v>236091680</v>
          </cell>
          <cell r="K66">
            <v>236091680</v>
          </cell>
        </row>
        <row r="67">
          <cell r="A67" t="str">
            <v>6020</v>
          </cell>
          <cell r="B67">
            <v>6020</v>
          </cell>
          <cell r="C67" t="str">
            <v>Purchase A/c -  RM - Others</v>
          </cell>
          <cell r="D67">
            <v>22939122</v>
          </cell>
          <cell r="E67">
            <v>0</v>
          </cell>
          <cell r="J67">
            <v>22939122</v>
          </cell>
          <cell r="K67">
            <v>22939122</v>
          </cell>
        </row>
        <row r="68">
          <cell r="A68" t="str">
            <v>6031</v>
          </cell>
          <cell r="B68">
            <v>6031</v>
          </cell>
          <cell r="C68" t="str">
            <v>PURCHASE - EXCISE DUTY ON FG(CL.STOCK)</v>
          </cell>
          <cell r="D68">
            <v>178950</v>
          </cell>
          <cell r="E68">
            <v>0</v>
          </cell>
          <cell r="J68">
            <v>178950</v>
          </cell>
          <cell r="K68">
            <v>178950</v>
          </cell>
        </row>
        <row r="69">
          <cell r="A69" t="str">
            <v>6040</v>
          </cell>
          <cell r="B69">
            <v>6040</v>
          </cell>
          <cell r="C69" t="str">
            <v>Purchase A/c -  Packing Materials</v>
          </cell>
          <cell r="D69">
            <v>10090</v>
          </cell>
          <cell r="E69">
            <v>0</v>
          </cell>
          <cell r="J69">
            <v>10090</v>
          </cell>
          <cell r="K69">
            <v>10090</v>
          </cell>
        </row>
        <row r="70">
          <cell r="A70" t="str">
            <v>6055</v>
          </cell>
          <cell r="B70">
            <v>6055</v>
          </cell>
          <cell r="C70" t="str">
            <v>Op.Stock - Stores &amp; Spares</v>
          </cell>
          <cell r="D70">
            <v>1412610</v>
          </cell>
          <cell r="E70">
            <v>0</v>
          </cell>
          <cell r="J70">
            <v>1412610</v>
          </cell>
          <cell r="K70">
            <v>1412610</v>
          </cell>
        </row>
        <row r="71">
          <cell r="A71" t="str">
            <v>6060</v>
          </cell>
          <cell r="B71">
            <v>6060</v>
          </cell>
          <cell r="C71" t="str">
            <v>Purchase A/c -  Spare Parts { Local }</v>
          </cell>
          <cell r="D71">
            <v>2665295.44</v>
          </cell>
          <cell r="E71">
            <v>0</v>
          </cell>
          <cell r="J71">
            <v>2665295</v>
          </cell>
          <cell r="K71">
            <v>2665295</v>
          </cell>
        </row>
        <row r="72">
          <cell r="A72" t="str">
            <v>6070</v>
          </cell>
          <cell r="B72">
            <v>6070</v>
          </cell>
          <cell r="C72" t="str">
            <v>Purchase A/c -  Spare Parts { Imported }</v>
          </cell>
          <cell r="D72">
            <v>90363</v>
          </cell>
          <cell r="E72">
            <v>0</v>
          </cell>
          <cell r="J72">
            <v>90363</v>
          </cell>
          <cell r="K72">
            <v>90363</v>
          </cell>
        </row>
        <row r="73">
          <cell r="A73" t="str">
            <v>6090</v>
          </cell>
          <cell r="B73">
            <v>6090</v>
          </cell>
          <cell r="C73" t="str">
            <v>Purchase A/c -  Consumables  { Local }</v>
          </cell>
          <cell r="D73">
            <v>2177013.54</v>
          </cell>
          <cell r="E73">
            <v>0</v>
          </cell>
          <cell r="J73">
            <v>2177014</v>
          </cell>
          <cell r="K73">
            <v>2177014</v>
          </cell>
        </row>
        <row r="74">
          <cell r="A74" t="str">
            <v>6095</v>
          </cell>
          <cell r="B74">
            <v>6095</v>
          </cell>
          <cell r="C74" t="str">
            <v>Stock - Spares not W.Off</v>
          </cell>
          <cell r="D74">
            <v>204788</v>
          </cell>
          <cell r="E74">
            <v>0</v>
          </cell>
          <cell r="J74">
            <v>204788</v>
          </cell>
          <cell r="K74">
            <v>204788</v>
          </cell>
        </row>
        <row r="75">
          <cell r="A75" t="str">
            <v>6097</v>
          </cell>
          <cell r="B75">
            <v>6097</v>
          </cell>
          <cell r="C75" t="str">
            <v>Education Cess on C.V.D.</v>
          </cell>
          <cell r="D75">
            <v>8620</v>
          </cell>
          <cell r="E75">
            <v>0</v>
          </cell>
          <cell r="J75">
            <v>8620</v>
          </cell>
          <cell r="K75">
            <v>8620</v>
          </cell>
        </row>
        <row r="76">
          <cell r="A76" t="str">
            <v>6098</v>
          </cell>
          <cell r="B76">
            <v>6098</v>
          </cell>
          <cell r="C76" t="str">
            <v>Excise Duty - RG23C</v>
          </cell>
          <cell r="D76">
            <v>195308.25</v>
          </cell>
          <cell r="E76">
            <v>0</v>
          </cell>
          <cell r="J76">
            <v>195308</v>
          </cell>
          <cell r="K76">
            <v>195308</v>
          </cell>
        </row>
        <row r="77">
          <cell r="A77" t="str">
            <v>6102</v>
          </cell>
          <cell r="B77">
            <v>6102</v>
          </cell>
          <cell r="C77" t="str">
            <v>Transport A/c. - Purchase</v>
          </cell>
          <cell r="D77">
            <v>10457228.24</v>
          </cell>
          <cell r="E77">
            <v>0</v>
          </cell>
          <cell r="J77">
            <v>10457228</v>
          </cell>
          <cell r="K77">
            <v>10457228</v>
          </cell>
        </row>
        <row r="78">
          <cell r="A78" t="str">
            <v>6110</v>
          </cell>
          <cell r="B78">
            <v>6110</v>
          </cell>
          <cell r="C78" t="str">
            <v>Swachh Bharat Cess - Purchase</v>
          </cell>
          <cell r="D78">
            <v>40639.58</v>
          </cell>
          <cell r="E78">
            <v>0</v>
          </cell>
          <cell r="J78">
            <v>40640</v>
          </cell>
          <cell r="K78">
            <v>40640</v>
          </cell>
        </row>
        <row r="79">
          <cell r="A79" t="str">
            <v>6114</v>
          </cell>
          <cell r="B79">
            <v>6114</v>
          </cell>
          <cell r="C79" t="str">
            <v>CST - Purchases</v>
          </cell>
          <cell r="D79">
            <v>221457.39</v>
          </cell>
          <cell r="E79">
            <v>0</v>
          </cell>
          <cell r="J79">
            <v>221457</v>
          </cell>
          <cell r="K79">
            <v>221457</v>
          </cell>
        </row>
        <row r="80">
          <cell r="A80" t="str">
            <v>6210</v>
          </cell>
          <cell r="B80">
            <v>6210</v>
          </cell>
          <cell r="C80" t="str">
            <v>Power &amp; Fuel</v>
          </cell>
          <cell r="D80">
            <v>20855613</v>
          </cell>
          <cell r="E80">
            <v>0</v>
          </cell>
          <cell r="J80">
            <v>20855613</v>
          </cell>
          <cell r="K80">
            <v>20855613</v>
          </cell>
        </row>
        <row r="81">
          <cell r="A81" t="str">
            <v>6250</v>
          </cell>
          <cell r="B81">
            <v>6250</v>
          </cell>
          <cell r="C81" t="str">
            <v>Other Manufacturing Exp/ Services</v>
          </cell>
          <cell r="D81">
            <v>714289.6</v>
          </cell>
          <cell r="E81">
            <v>0</v>
          </cell>
          <cell r="J81">
            <v>714290</v>
          </cell>
          <cell r="K81">
            <v>714290</v>
          </cell>
        </row>
        <row r="82">
          <cell r="A82" t="str">
            <v>6310</v>
          </cell>
          <cell r="B82">
            <v>6310</v>
          </cell>
          <cell r="C82" t="str">
            <v>Repairs &amp; Maint - Plant &amp; Machinery</v>
          </cell>
          <cell r="D82">
            <v>1103332.47</v>
          </cell>
          <cell r="E82">
            <v>0</v>
          </cell>
          <cell r="J82">
            <v>1103332</v>
          </cell>
          <cell r="K82">
            <v>1103332</v>
          </cell>
        </row>
        <row r="83">
          <cell r="A83" t="str">
            <v>6315</v>
          </cell>
          <cell r="B83">
            <v>6315</v>
          </cell>
          <cell r="C83" t="str">
            <v>REPAIRS TO F&amp;F &amp; EQUIP.</v>
          </cell>
          <cell r="D83">
            <v>82380</v>
          </cell>
          <cell r="E83">
            <v>0</v>
          </cell>
          <cell r="J83">
            <v>82380</v>
          </cell>
          <cell r="K83">
            <v>82380</v>
          </cell>
        </row>
        <row r="84">
          <cell r="A84" t="str">
            <v>6320</v>
          </cell>
          <cell r="B84">
            <v>6320</v>
          </cell>
          <cell r="C84" t="str">
            <v>Repairs &amp; Maint - Building/Flat</v>
          </cell>
          <cell r="D84">
            <v>139985</v>
          </cell>
          <cell r="E84">
            <v>0</v>
          </cell>
          <cell r="J84">
            <v>139985</v>
          </cell>
          <cell r="K84">
            <v>139985</v>
          </cell>
        </row>
        <row r="85">
          <cell r="A85" t="str">
            <v>6330</v>
          </cell>
          <cell r="B85">
            <v>6330</v>
          </cell>
          <cell r="C85" t="str">
            <v>Repairs &amp; Maint - Electricals</v>
          </cell>
          <cell r="D85">
            <v>300</v>
          </cell>
          <cell r="E85">
            <v>0</v>
          </cell>
          <cell r="J85">
            <v>300</v>
          </cell>
          <cell r="K85">
            <v>300</v>
          </cell>
        </row>
        <row r="86">
          <cell r="A86" t="str">
            <v>6340</v>
          </cell>
          <cell r="B86">
            <v>6340</v>
          </cell>
          <cell r="C86" t="str">
            <v>Repairs &amp; Maint - Others</v>
          </cell>
          <cell r="D86">
            <v>11956</v>
          </cell>
          <cell r="E86">
            <v>0</v>
          </cell>
          <cell r="J86">
            <v>11956</v>
          </cell>
          <cell r="K86">
            <v>11956</v>
          </cell>
        </row>
        <row r="87">
          <cell r="A87" t="str">
            <v>6410</v>
          </cell>
          <cell r="B87">
            <v>6410</v>
          </cell>
          <cell r="C87" t="str">
            <v>Est Off-  Basic</v>
          </cell>
          <cell r="D87">
            <v>2743980</v>
          </cell>
          <cell r="E87">
            <v>0</v>
          </cell>
          <cell r="J87">
            <v>2743980</v>
          </cell>
          <cell r="K87">
            <v>2743980</v>
          </cell>
        </row>
        <row r="88">
          <cell r="A88" t="str">
            <v>6412</v>
          </cell>
          <cell r="B88">
            <v>6412</v>
          </cell>
          <cell r="C88" t="str">
            <v>Est Off - Cost of Living Index</v>
          </cell>
          <cell r="D88">
            <v>672829</v>
          </cell>
          <cell r="E88">
            <v>0</v>
          </cell>
          <cell r="J88">
            <v>672829</v>
          </cell>
          <cell r="K88">
            <v>672829</v>
          </cell>
        </row>
        <row r="89">
          <cell r="A89" t="str">
            <v>6415</v>
          </cell>
          <cell r="B89">
            <v>6415</v>
          </cell>
          <cell r="C89" t="str">
            <v>Est Off - House rent allowance</v>
          </cell>
          <cell r="D89">
            <v>324333</v>
          </cell>
          <cell r="E89">
            <v>0</v>
          </cell>
          <cell r="J89">
            <v>324333</v>
          </cell>
          <cell r="K89">
            <v>324333</v>
          </cell>
        </row>
        <row r="90">
          <cell r="A90" t="str">
            <v>6421</v>
          </cell>
          <cell r="B90">
            <v>6421</v>
          </cell>
          <cell r="C90" t="str">
            <v>EST - OFF - CONVEYANCE</v>
          </cell>
          <cell r="D90">
            <v>488505</v>
          </cell>
          <cell r="E90">
            <v>0</v>
          </cell>
          <cell r="J90">
            <v>488505</v>
          </cell>
          <cell r="K90">
            <v>488505</v>
          </cell>
        </row>
        <row r="91">
          <cell r="A91" t="str">
            <v>6422</v>
          </cell>
          <cell r="B91">
            <v>6422</v>
          </cell>
          <cell r="C91" t="str">
            <v>PERSONAL PAY</v>
          </cell>
          <cell r="D91">
            <v>1289936</v>
          </cell>
          <cell r="E91">
            <v>0</v>
          </cell>
          <cell r="J91">
            <v>1289936</v>
          </cell>
          <cell r="K91">
            <v>1289936</v>
          </cell>
        </row>
        <row r="92">
          <cell r="A92" t="str">
            <v>6435</v>
          </cell>
          <cell r="B92">
            <v>6435</v>
          </cell>
          <cell r="C92" t="str">
            <v>Est Off - LTA</v>
          </cell>
          <cell r="D92">
            <v>91950</v>
          </cell>
          <cell r="E92">
            <v>0</v>
          </cell>
          <cell r="J92">
            <v>91950</v>
          </cell>
          <cell r="K92">
            <v>91950</v>
          </cell>
        </row>
        <row r="93">
          <cell r="A93" t="str">
            <v>6440</v>
          </cell>
          <cell r="B93">
            <v>6440</v>
          </cell>
          <cell r="C93" t="str">
            <v>Est Off - Bonus</v>
          </cell>
          <cell r="D93">
            <v>220526</v>
          </cell>
          <cell r="E93">
            <v>0</v>
          </cell>
          <cell r="J93">
            <v>220526</v>
          </cell>
          <cell r="K93">
            <v>220526</v>
          </cell>
        </row>
        <row r="94">
          <cell r="A94" t="str">
            <v>6446</v>
          </cell>
          <cell r="B94">
            <v>6446</v>
          </cell>
          <cell r="C94" t="str">
            <v>Est - Officer - Performance Incentive</v>
          </cell>
          <cell r="D94">
            <v>86500</v>
          </cell>
          <cell r="E94">
            <v>0</v>
          </cell>
          <cell r="J94">
            <v>86500</v>
          </cell>
          <cell r="K94">
            <v>86500</v>
          </cell>
        </row>
        <row r="95">
          <cell r="A95" t="str">
            <v>6450</v>
          </cell>
          <cell r="B95">
            <v>6450</v>
          </cell>
          <cell r="C95" t="str">
            <v>Est Off - Gratuity</v>
          </cell>
          <cell r="D95">
            <v>27141</v>
          </cell>
          <cell r="E95">
            <v>0</v>
          </cell>
          <cell r="J95">
            <v>27141</v>
          </cell>
          <cell r="K95">
            <v>27141</v>
          </cell>
        </row>
        <row r="96">
          <cell r="A96" t="str">
            <v>6455</v>
          </cell>
          <cell r="B96">
            <v>6455</v>
          </cell>
          <cell r="C96" t="str">
            <v>Est Off - Providend Fund</v>
          </cell>
          <cell r="D96">
            <v>65256</v>
          </cell>
          <cell r="E96">
            <v>0</v>
          </cell>
          <cell r="J96">
            <v>65256</v>
          </cell>
          <cell r="K96">
            <v>65256</v>
          </cell>
        </row>
        <row r="97">
          <cell r="A97" t="str">
            <v>6460</v>
          </cell>
          <cell r="B97">
            <v>6460</v>
          </cell>
          <cell r="C97" t="str">
            <v>Est Off - Family Pension Fund</v>
          </cell>
          <cell r="D97">
            <v>145217</v>
          </cell>
          <cell r="E97">
            <v>0</v>
          </cell>
          <cell r="J97">
            <v>145217</v>
          </cell>
          <cell r="K97">
            <v>145217</v>
          </cell>
        </row>
        <row r="98">
          <cell r="A98" t="str">
            <v>6470</v>
          </cell>
          <cell r="B98">
            <v>6470</v>
          </cell>
          <cell r="C98" t="str">
            <v>Est Off - Deposit link Insurance Fund</v>
          </cell>
          <cell r="D98">
            <v>8716</v>
          </cell>
          <cell r="E98">
            <v>0</v>
          </cell>
          <cell r="J98">
            <v>8716</v>
          </cell>
          <cell r="K98">
            <v>8716</v>
          </cell>
        </row>
        <row r="99">
          <cell r="A99" t="str">
            <v>6485</v>
          </cell>
          <cell r="B99">
            <v>6485</v>
          </cell>
          <cell r="C99" t="str">
            <v>Est Off - Medical Expenses</v>
          </cell>
          <cell r="D99">
            <v>89892</v>
          </cell>
          <cell r="E99">
            <v>0</v>
          </cell>
          <cell r="J99">
            <v>89892</v>
          </cell>
          <cell r="K99">
            <v>89892</v>
          </cell>
        </row>
        <row r="100">
          <cell r="A100" t="str">
            <v>6490</v>
          </cell>
          <cell r="B100">
            <v>6490</v>
          </cell>
          <cell r="C100" t="str">
            <v>Est Off - Medicare services</v>
          </cell>
          <cell r="D100">
            <v>53725</v>
          </cell>
          <cell r="E100">
            <v>0</v>
          </cell>
          <cell r="J100">
            <v>53725</v>
          </cell>
          <cell r="K100">
            <v>53725</v>
          </cell>
        </row>
        <row r="101">
          <cell r="A101" t="str">
            <v>6504</v>
          </cell>
          <cell r="B101">
            <v>6504</v>
          </cell>
          <cell r="C101" t="str">
            <v>Est. Off. Stipend A/c.</v>
          </cell>
          <cell r="D101">
            <v>170769</v>
          </cell>
          <cell r="E101">
            <v>0</v>
          </cell>
          <cell r="J101">
            <v>170769</v>
          </cell>
          <cell r="K101">
            <v>170769</v>
          </cell>
        </row>
        <row r="102">
          <cell r="A102" t="str">
            <v>6505</v>
          </cell>
          <cell r="B102">
            <v>6505</v>
          </cell>
          <cell r="C102" t="str">
            <v>Est Off - Canteen</v>
          </cell>
          <cell r="D102">
            <v>207043</v>
          </cell>
          <cell r="E102">
            <v>0</v>
          </cell>
          <cell r="J102">
            <v>207043</v>
          </cell>
          <cell r="K102">
            <v>207043</v>
          </cell>
        </row>
        <row r="103">
          <cell r="A103" t="str">
            <v>6540</v>
          </cell>
          <cell r="B103">
            <v>6540</v>
          </cell>
          <cell r="C103" t="str">
            <v>Est Staff - Encashment of Leave</v>
          </cell>
          <cell r="D103">
            <v>118292</v>
          </cell>
          <cell r="E103">
            <v>0</v>
          </cell>
          <cell r="J103">
            <v>118292</v>
          </cell>
          <cell r="K103">
            <v>118292</v>
          </cell>
        </row>
        <row r="104">
          <cell r="A104" t="str">
            <v>6595</v>
          </cell>
          <cell r="B104">
            <v>6595</v>
          </cell>
          <cell r="C104" t="str">
            <v>Est Staff - Medical Expenses</v>
          </cell>
          <cell r="D104">
            <v>24000</v>
          </cell>
          <cell r="E104">
            <v>0</v>
          </cell>
          <cell r="J104">
            <v>24000</v>
          </cell>
          <cell r="K104">
            <v>24000</v>
          </cell>
        </row>
        <row r="105">
          <cell r="A105" t="str">
            <v>6610</v>
          </cell>
          <cell r="B105">
            <v>6610</v>
          </cell>
          <cell r="C105" t="str">
            <v>Est Lbr - Basic</v>
          </cell>
          <cell r="D105">
            <v>790877</v>
          </cell>
          <cell r="E105">
            <v>0</v>
          </cell>
          <cell r="J105">
            <v>790877</v>
          </cell>
          <cell r="K105">
            <v>790877</v>
          </cell>
        </row>
        <row r="106">
          <cell r="A106" t="str">
            <v>6615</v>
          </cell>
          <cell r="B106">
            <v>6615</v>
          </cell>
          <cell r="C106" t="str">
            <v>Est Lbr - DA</v>
          </cell>
          <cell r="D106">
            <v>850302</v>
          </cell>
          <cell r="E106">
            <v>0</v>
          </cell>
          <cell r="J106">
            <v>850302</v>
          </cell>
          <cell r="K106">
            <v>850302</v>
          </cell>
        </row>
        <row r="107">
          <cell r="A107" t="str">
            <v>6620</v>
          </cell>
          <cell r="B107">
            <v>6620</v>
          </cell>
          <cell r="C107" t="str">
            <v>Est Lbr - House rent allowance</v>
          </cell>
          <cell r="D107">
            <v>198777</v>
          </cell>
          <cell r="E107">
            <v>0</v>
          </cell>
          <cell r="J107">
            <v>198777</v>
          </cell>
          <cell r="K107">
            <v>198777</v>
          </cell>
        </row>
        <row r="108">
          <cell r="A108" t="str">
            <v>6625</v>
          </cell>
          <cell r="B108">
            <v>6625</v>
          </cell>
          <cell r="C108" t="str">
            <v>Est Lbr - Education Transport Canteen  allowance</v>
          </cell>
          <cell r="D108">
            <v>640984</v>
          </cell>
          <cell r="E108">
            <v>0</v>
          </cell>
          <cell r="J108">
            <v>640984</v>
          </cell>
          <cell r="K108">
            <v>640984</v>
          </cell>
        </row>
        <row r="109">
          <cell r="A109" t="str">
            <v>6630</v>
          </cell>
          <cell r="B109">
            <v>6630</v>
          </cell>
          <cell r="C109" t="str">
            <v>Est Lbr - Special allowance</v>
          </cell>
          <cell r="D109">
            <v>445626</v>
          </cell>
          <cell r="E109">
            <v>0</v>
          </cell>
          <cell r="J109">
            <v>445626</v>
          </cell>
          <cell r="K109">
            <v>445626</v>
          </cell>
        </row>
        <row r="110">
          <cell r="A110" t="str">
            <v>6640</v>
          </cell>
          <cell r="B110">
            <v>6640</v>
          </cell>
          <cell r="C110" t="str">
            <v>Est Lbr - Encashment of Leave</v>
          </cell>
          <cell r="D110">
            <v>2750</v>
          </cell>
          <cell r="E110">
            <v>0</v>
          </cell>
          <cell r="J110">
            <v>2750</v>
          </cell>
          <cell r="K110">
            <v>2750</v>
          </cell>
        </row>
        <row r="111">
          <cell r="A111" t="str">
            <v>6645</v>
          </cell>
          <cell r="B111">
            <v>6645</v>
          </cell>
          <cell r="C111" t="str">
            <v>Est Lbr - Overtime</v>
          </cell>
          <cell r="D111">
            <v>1579978</v>
          </cell>
          <cell r="E111">
            <v>0</v>
          </cell>
          <cell r="J111">
            <v>1579978</v>
          </cell>
          <cell r="K111">
            <v>1579978</v>
          </cell>
        </row>
        <row r="112">
          <cell r="A112" t="str">
            <v>6650</v>
          </cell>
          <cell r="B112">
            <v>6650</v>
          </cell>
          <cell r="C112" t="str">
            <v>Est Lbr - LTA</v>
          </cell>
          <cell r="D112">
            <v>79417</v>
          </cell>
          <cell r="E112">
            <v>0</v>
          </cell>
          <cell r="J112">
            <v>79417</v>
          </cell>
          <cell r="K112">
            <v>79417</v>
          </cell>
        </row>
        <row r="113">
          <cell r="A113" t="str">
            <v>6655</v>
          </cell>
          <cell r="B113">
            <v>6655</v>
          </cell>
          <cell r="C113" t="str">
            <v>Est Lbr - Bonus</v>
          </cell>
          <cell r="D113">
            <v>100854</v>
          </cell>
          <cell r="E113">
            <v>0</v>
          </cell>
          <cell r="J113">
            <v>100854</v>
          </cell>
          <cell r="K113">
            <v>100854</v>
          </cell>
        </row>
        <row r="114">
          <cell r="A114" t="str">
            <v>6670</v>
          </cell>
          <cell r="B114">
            <v>6670</v>
          </cell>
          <cell r="C114" t="str">
            <v>Est Lbr - Providend Fund</v>
          </cell>
          <cell r="D114">
            <v>60435</v>
          </cell>
          <cell r="E114">
            <v>0</v>
          </cell>
          <cell r="J114">
            <v>60435</v>
          </cell>
          <cell r="K114">
            <v>60435</v>
          </cell>
        </row>
        <row r="115">
          <cell r="A115" t="str">
            <v>6675</v>
          </cell>
          <cell r="B115">
            <v>6675</v>
          </cell>
          <cell r="C115" t="str">
            <v>Est Lbr - Family Pension Fund</v>
          </cell>
          <cell r="D115">
            <v>137009</v>
          </cell>
          <cell r="E115">
            <v>0</v>
          </cell>
          <cell r="J115">
            <v>137009</v>
          </cell>
          <cell r="K115">
            <v>137009</v>
          </cell>
        </row>
        <row r="116">
          <cell r="A116" t="str">
            <v>6685</v>
          </cell>
          <cell r="B116">
            <v>6685</v>
          </cell>
          <cell r="C116" t="str">
            <v>Est Lbr - Deposit link Insurance Fund</v>
          </cell>
          <cell r="D116">
            <v>8226</v>
          </cell>
          <cell r="E116">
            <v>0</v>
          </cell>
          <cell r="J116">
            <v>8226</v>
          </cell>
          <cell r="K116">
            <v>8226</v>
          </cell>
        </row>
        <row r="117">
          <cell r="A117" t="str">
            <v>6690</v>
          </cell>
          <cell r="B117">
            <v>6690</v>
          </cell>
          <cell r="C117" t="str">
            <v>Est Lbr - ESIC</v>
          </cell>
          <cell r="D117">
            <v>182990</v>
          </cell>
          <cell r="E117">
            <v>0</v>
          </cell>
          <cell r="J117">
            <v>182990</v>
          </cell>
          <cell r="K117">
            <v>182990</v>
          </cell>
        </row>
        <row r="118">
          <cell r="A118" t="str">
            <v>6695</v>
          </cell>
          <cell r="B118">
            <v>6695</v>
          </cell>
          <cell r="C118" t="str">
            <v>Est Lbr - Medical Expenses</v>
          </cell>
          <cell r="D118">
            <v>20958</v>
          </cell>
          <cell r="E118">
            <v>0</v>
          </cell>
          <cell r="J118">
            <v>20958</v>
          </cell>
          <cell r="K118">
            <v>20958</v>
          </cell>
        </row>
        <row r="119">
          <cell r="A119" t="str">
            <v>6780</v>
          </cell>
          <cell r="B119">
            <v>6780</v>
          </cell>
          <cell r="C119" t="str">
            <v>Contract Labour Expenses</v>
          </cell>
          <cell r="D119">
            <v>6313141</v>
          </cell>
          <cell r="E119">
            <v>0</v>
          </cell>
          <cell r="J119">
            <v>6313141</v>
          </cell>
          <cell r="K119">
            <v>6313141</v>
          </cell>
        </row>
        <row r="120">
          <cell r="A120" t="str">
            <v>7000</v>
          </cell>
          <cell r="B120">
            <v>7000</v>
          </cell>
          <cell r="C120" t="str">
            <v>Welfare -Canteen  - Lunch/Dinner</v>
          </cell>
          <cell r="D120">
            <v>9792</v>
          </cell>
          <cell r="E120">
            <v>0</v>
          </cell>
          <cell r="J120">
            <v>9792</v>
          </cell>
          <cell r="K120">
            <v>9792</v>
          </cell>
        </row>
        <row r="121">
          <cell r="A121" t="str">
            <v>7005</v>
          </cell>
          <cell r="B121">
            <v>7005</v>
          </cell>
          <cell r="C121" t="str">
            <v>Welfare - Canteen Exp - Tea, Milk, Sugar</v>
          </cell>
          <cell r="D121">
            <v>323752</v>
          </cell>
          <cell r="E121">
            <v>0</v>
          </cell>
          <cell r="J121">
            <v>323752</v>
          </cell>
          <cell r="K121">
            <v>323752</v>
          </cell>
        </row>
        <row r="122">
          <cell r="A122" t="str">
            <v>7015</v>
          </cell>
          <cell r="B122">
            <v>7015</v>
          </cell>
          <cell r="C122" t="str">
            <v>Welfare - Canteen Exp - Guest/Others</v>
          </cell>
          <cell r="D122">
            <v>32803</v>
          </cell>
          <cell r="E122">
            <v>0</v>
          </cell>
          <cell r="J122">
            <v>32803</v>
          </cell>
          <cell r="K122">
            <v>32803</v>
          </cell>
        </row>
        <row r="123">
          <cell r="A123" t="str">
            <v>7020</v>
          </cell>
          <cell r="B123">
            <v>7020</v>
          </cell>
          <cell r="C123" t="str">
            <v>Welfare - First Aid</v>
          </cell>
          <cell r="D123">
            <v>9015</v>
          </cell>
          <cell r="E123">
            <v>0</v>
          </cell>
          <cell r="J123">
            <v>9015</v>
          </cell>
          <cell r="K123">
            <v>9015</v>
          </cell>
        </row>
        <row r="124">
          <cell r="A124" t="str">
            <v>7045</v>
          </cell>
          <cell r="B124">
            <v>7045</v>
          </cell>
          <cell r="C124" t="str">
            <v>Puja (Festival) Expenses</v>
          </cell>
          <cell r="D124">
            <v>6898</v>
          </cell>
          <cell r="E124">
            <v>0</v>
          </cell>
          <cell r="J124">
            <v>6898</v>
          </cell>
          <cell r="K124">
            <v>6898</v>
          </cell>
        </row>
        <row r="125">
          <cell r="A125" t="str">
            <v>7050</v>
          </cell>
          <cell r="B125">
            <v>7050</v>
          </cell>
          <cell r="C125" t="str">
            <v>Welfare - Others</v>
          </cell>
          <cell r="D125">
            <v>56128</v>
          </cell>
          <cell r="E125">
            <v>0</v>
          </cell>
          <cell r="J125">
            <v>56128</v>
          </cell>
          <cell r="K125">
            <v>56128</v>
          </cell>
        </row>
        <row r="126">
          <cell r="A126" t="str">
            <v>7100</v>
          </cell>
          <cell r="B126">
            <v>7100</v>
          </cell>
          <cell r="C126" t="str">
            <v>Rent</v>
          </cell>
          <cell r="D126">
            <v>395500</v>
          </cell>
          <cell r="E126">
            <v>0</v>
          </cell>
          <cell r="J126">
            <v>395500</v>
          </cell>
          <cell r="K126">
            <v>395500</v>
          </cell>
        </row>
        <row r="127">
          <cell r="A127" t="str">
            <v>7110</v>
          </cell>
          <cell r="B127">
            <v>7110</v>
          </cell>
          <cell r="C127" t="str">
            <v>Rates &amp; Taxes</v>
          </cell>
          <cell r="D127">
            <v>34654</v>
          </cell>
          <cell r="E127">
            <v>0</v>
          </cell>
          <cell r="J127">
            <v>34654</v>
          </cell>
          <cell r="K127">
            <v>34654</v>
          </cell>
        </row>
        <row r="128">
          <cell r="A128" t="str">
            <v>7111</v>
          </cell>
          <cell r="B128">
            <v>7111</v>
          </cell>
          <cell r="C128" t="str">
            <v>Service Tax on Transport-GTO</v>
          </cell>
          <cell r="D128">
            <v>855354</v>
          </cell>
          <cell r="E128">
            <v>0</v>
          </cell>
          <cell r="J128">
            <v>855354</v>
          </cell>
          <cell r="K128">
            <v>855354</v>
          </cell>
        </row>
        <row r="129">
          <cell r="A129" t="str">
            <v>7130</v>
          </cell>
          <cell r="B129">
            <v>7130</v>
          </cell>
          <cell r="C129" t="str">
            <v>Works Contract Tax</v>
          </cell>
          <cell r="D129">
            <v>5949</v>
          </cell>
          <cell r="E129">
            <v>0</v>
          </cell>
          <cell r="J129">
            <v>5949</v>
          </cell>
          <cell r="K129">
            <v>5949</v>
          </cell>
        </row>
        <row r="130">
          <cell r="A130" t="str">
            <v>7160</v>
          </cell>
          <cell r="B130">
            <v>7160</v>
          </cell>
          <cell r="C130" t="str">
            <v>Insurance</v>
          </cell>
          <cell r="D130">
            <v>233429</v>
          </cell>
          <cell r="E130">
            <v>0</v>
          </cell>
          <cell r="J130">
            <v>233429</v>
          </cell>
          <cell r="K130">
            <v>233429</v>
          </cell>
        </row>
        <row r="131">
          <cell r="A131" t="str">
            <v>7210</v>
          </cell>
          <cell r="B131">
            <v>7210</v>
          </cell>
          <cell r="C131" t="str">
            <v>Foreigners Travelling Expenses - Ticket</v>
          </cell>
          <cell r="D131">
            <v>38950</v>
          </cell>
          <cell r="E131">
            <v>0</v>
          </cell>
          <cell r="J131">
            <v>38950</v>
          </cell>
          <cell r="K131">
            <v>38950</v>
          </cell>
        </row>
        <row r="132">
          <cell r="A132" t="str">
            <v>7211</v>
          </cell>
          <cell r="B132">
            <v>7211</v>
          </cell>
          <cell r="C132" t="str">
            <v>Foreigners Travelling Expenses - Others</v>
          </cell>
          <cell r="D132">
            <v>75405</v>
          </cell>
          <cell r="E132">
            <v>0</v>
          </cell>
          <cell r="J132">
            <v>75405</v>
          </cell>
          <cell r="K132">
            <v>75405</v>
          </cell>
        </row>
        <row r="133">
          <cell r="A133" t="str">
            <v>7212</v>
          </cell>
          <cell r="B133">
            <v>7212</v>
          </cell>
          <cell r="C133" t="str">
            <v>TRAVELLING-EMP.'S TOUR EXP.</v>
          </cell>
          <cell r="D133">
            <v>520354</v>
          </cell>
          <cell r="E133">
            <v>0</v>
          </cell>
          <cell r="J133">
            <v>520354</v>
          </cell>
          <cell r="K133">
            <v>520354</v>
          </cell>
        </row>
        <row r="134">
          <cell r="A134" t="str">
            <v>7221</v>
          </cell>
          <cell r="B134">
            <v>7221</v>
          </cell>
          <cell r="C134" t="str">
            <v>Travelling Expenses Officers     - Others</v>
          </cell>
          <cell r="D134">
            <v>13518</v>
          </cell>
          <cell r="E134">
            <v>0</v>
          </cell>
          <cell r="J134">
            <v>13518</v>
          </cell>
          <cell r="K134">
            <v>13518</v>
          </cell>
        </row>
        <row r="135">
          <cell r="A135" t="str">
            <v>7240</v>
          </cell>
          <cell r="B135">
            <v>7240</v>
          </cell>
          <cell r="C135" t="str">
            <v>Travelling Expenses  - Conveyance</v>
          </cell>
          <cell r="D135">
            <v>306251</v>
          </cell>
          <cell r="E135">
            <v>0</v>
          </cell>
          <cell r="J135">
            <v>306251</v>
          </cell>
          <cell r="K135">
            <v>306251</v>
          </cell>
        </row>
        <row r="136">
          <cell r="A136" t="str">
            <v>7250</v>
          </cell>
          <cell r="B136">
            <v>7250</v>
          </cell>
          <cell r="C136" t="str">
            <v>Travelling Expenses  - Car/Bus Hire Charges</v>
          </cell>
          <cell r="D136">
            <v>173962</v>
          </cell>
          <cell r="E136">
            <v>0</v>
          </cell>
          <cell r="J136">
            <v>173962</v>
          </cell>
          <cell r="K136">
            <v>173962</v>
          </cell>
        </row>
        <row r="137">
          <cell r="A137" t="str">
            <v>7265</v>
          </cell>
          <cell r="B137">
            <v>7265</v>
          </cell>
          <cell r="C137" t="str">
            <v>Professional Expenses</v>
          </cell>
          <cell r="D137">
            <v>1061999</v>
          </cell>
          <cell r="E137">
            <v>0</v>
          </cell>
          <cell r="J137">
            <v>1061999</v>
          </cell>
          <cell r="K137">
            <v>1061999</v>
          </cell>
        </row>
        <row r="138">
          <cell r="A138" t="str">
            <v>7285</v>
          </cell>
          <cell r="B138">
            <v>7285</v>
          </cell>
          <cell r="C138" t="str">
            <v>Freight &amp; Transport - Local</v>
          </cell>
          <cell r="D138">
            <v>21748406.530000001</v>
          </cell>
          <cell r="E138">
            <v>0</v>
          </cell>
          <cell r="J138">
            <v>21748407</v>
          </cell>
          <cell r="K138">
            <v>21748407</v>
          </cell>
        </row>
        <row r="139">
          <cell r="A139" t="str">
            <v>7286</v>
          </cell>
          <cell r="B139">
            <v>7286</v>
          </cell>
          <cell r="C139" t="str">
            <v>Freight - Loading/Unloading chgs</v>
          </cell>
          <cell r="D139">
            <v>866876</v>
          </cell>
          <cell r="E139">
            <v>0</v>
          </cell>
          <cell r="J139">
            <v>866876</v>
          </cell>
          <cell r="K139">
            <v>866876</v>
          </cell>
        </row>
        <row r="140">
          <cell r="A140" t="str">
            <v>7287</v>
          </cell>
          <cell r="B140">
            <v>7287</v>
          </cell>
          <cell r="C140" t="str">
            <v>Freight - Detention Chgs</v>
          </cell>
          <cell r="D140">
            <v>49300</v>
          </cell>
          <cell r="E140">
            <v>0</v>
          </cell>
          <cell r="J140">
            <v>49300</v>
          </cell>
          <cell r="K140">
            <v>49300</v>
          </cell>
        </row>
        <row r="141">
          <cell r="A141" t="str">
            <v>7290</v>
          </cell>
          <cell r="B141">
            <v>7290</v>
          </cell>
          <cell r="C141" t="str">
            <v>Freight &amp; Transport Recovered- Local</v>
          </cell>
          <cell r="D141">
            <v>0</v>
          </cell>
          <cell r="E141">
            <v>15714045</v>
          </cell>
          <cell r="J141">
            <v>-15714045</v>
          </cell>
          <cell r="K141">
            <v>-15714045</v>
          </cell>
        </row>
        <row r="142">
          <cell r="A142" t="str">
            <v>7360</v>
          </cell>
          <cell r="B142">
            <v>7360</v>
          </cell>
          <cell r="C142" t="str">
            <v>Security</v>
          </cell>
          <cell r="D142">
            <v>850964</v>
          </cell>
          <cell r="E142">
            <v>0</v>
          </cell>
          <cell r="J142">
            <v>850964</v>
          </cell>
          <cell r="K142">
            <v>850964</v>
          </cell>
        </row>
        <row r="143">
          <cell r="A143" t="str">
            <v>7370</v>
          </cell>
          <cell r="B143">
            <v>7370</v>
          </cell>
          <cell r="C143" t="str">
            <v>Safety &amp; Sanitation</v>
          </cell>
          <cell r="D143">
            <v>45209</v>
          </cell>
          <cell r="E143">
            <v>0</v>
          </cell>
          <cell r="J143">
            <v>45209</v>
          </cell>
          <cell r="K143">
            <v>45209</v>
          </cell>
        </row>
        <row r="144">
          <cell r="A144" t="str">
            <v>7390</v>
          </cell>
          <cell r="B144">
            <v>7390</v>
          </cell>
          <cell r="C144" t="str">
            <v>Books , News Papers and Periodicals</v>
          </cell>
          <cell r="D144">
            <v>4788</v>
          </cell>
          <cell r="E144">
            <v>0</v>
          </cell>
          <cell r="J144">
            <v>4788</v>
          </cell>
          <cell r="K144">
            <v>4788</v>
          </cell>
        </row>
        <row r="145">
          <cell r="A145" t="str">
            <v>7405</v>
          </cell>
          <cell r="B145">
            <v>7405</v>
          </cell>
          <cell r="C145" t="str">
            <v>Subscription - Others</v>
          </cell>
          <cell r="D145">
            <v>10000</v>
          </cell>
          <cell r="E145">
            <v>0</v>
          </cell>
          <cell r="J145">
            <v>10000</v>
          </cell>
          <cell r="K145">
            <v>10000</v>
          </cell>
        </row>
        <row r="146">
          <cell r="A146" t="str">
            <v>7410</v>
          </cell>
          <cell r="B146">
            <v>7410</v>
          </cell>
          <cell r="C146" t="str">
            <v>Postage/Telegram/Courier</v>
          </cell>
          <cell r="D146">
            <v>66255</v>
          </cell>
          <cell r="E146">
            <v>0</v>
          </cell>
          <cell r="J146">
            <v>66255</v>
          </cell>
          <cell r="K146">
            <v>66255</v>
          </cell>
        </row>
        <row r="147">
          <cell r="A147" t="str">
            <v>7420</v>
          </cell>
          <cell r="B147">
            <v>7420</v>
          </cell>
          <cell r="C147" t="str">
            <v>Selling Expenses</v>
          </cell>
          <cell r="D147">
            <v>156694</v>
          </cell>
          <cell r="E147">
            <v>0</v>
          </cell>
          <cell r="J147">
            <v>156694</v>
          </cell>
          <cell r="K147">
            <v>156694</v>
          </cell>
        </row>
        <row r="148">
          <cell r="A148" t="str">
            <v>7425</v>
          </cell>
          <cell r="B148">
            <v>7425</v>
          </cell>
          <cell r="C148" t="str">
            <v>Admn Charges on PF</v>
          </cell>
          <cell r="D148">
            <v>30338</v>
          </cell>
          <cell r="E148">
            <v>0</v>
          </cell>
          <cell r="J148">
            <v>30338</v>
          </cell>
          <cell r="K148">
            <v>30338</v>
          </cell>
        </row>
        <row r="149">
          <cell r="A149" t="str">
            <v>7440</v>
          </cell>
          <cell r="B149">
            <v>7440</v>
          </cell>
          <cell r="C149" t="str">
            <v>Entertainment Expenses</v>
          </cell>
          <cell r="D149">
            <v>75808</v>
          </cell>
          <cell r="E149">
            <v>0</v>
          </cell>
          <cell r="J149">
            <v>75808</v>
          </cell>
          <cell r="K149">
            <v>75808</v>
          </cell>
        </row>
        <row r="150">
          <cell r="A150" t="str">
            <v>7445</v>
          </cell>
          <cell r="B150">
            <v>7445</v>
          </cell>
          <cell r="C150" t="str">
            <v>System Expenses</v>
          </cell>
          <cell r="D150">
            <v>160466.48000000001</v>
          </cell>
          <cell r="E150">
            <v>0</v>
          </cell>
          <cell r="J150">
            <v>160466</v>
          </cell>
          <cell r="K150">
            <v>160466</v>
          </cell>
        </row>
        <row r="151">
          <cell r="A151" t="str">
            <v>7460</v>
          </cell>
          <cell r="B151">
            <v>7460</v>
          </cell>
          <cell r="C151" t="str">
            <v>Printing &amp; Stationery</v>
          </cell>
          <cell r="D151">
            <v>195475</v>
          </cell>
          <cell r="E151">
            <v>0</v>
          </cell>
          <cell r="J151">
            <v>195475</v>
          </cell>
          <cell r="K151">
            <v>195475</v>
          </cell>
        </row>
        <row r="152">
          <cell r="A152" t="str">
            <v>7461</v>
          </cell>
          <cell r="B152">
            <v>7461</v>
          </cell>
          <cell r="C152" t="str">
            <v>Computer Stationery</v>
          </cell>
          <cell r="D152">
            <v>3836</v>
          </cell>
          <cell r="E152">
            <v>0</v>
          </cell>
          <cell r="J152">
            <v>3836</v>
          </cell>
          <cell r="K152">
            <v>3836</v>
          </cell>
        </row>
        <row r="153">
          <cell r="A153" t="str">
            <v>7470</v>
          </cell>
          <cell r="B153">
            <v>7470</v>
          </cell>
          <cell r="C153" t="str">
            <v>General Expenses - Office</v>
          </cell>
          <cell r="D153">
            <v>14696</v>
          </cell>
          <cell r="E153">
            <v>0</v>
          </cell>
          <cell r="J153">
            <v>14696</v>
          </cell>
          <cell r="K153">
            <v>14696</v>
          </cell>
        </row>
        <row r="154">
          <cell r="A154" t="str">
            <v>7471</v>
          </cell>
          <cell r="B154">
            <v>7471</v>
          </cell>
          <cell r="C154" t="str">
            <v>General Expenses - Factory</v>
          </cell>
          <cell r="D154">
            <v>125495</v>
          </cell>
          <cell r="E154">
            <v>0</v>
          </cell>
          <cell r="J154">
            <v>125495</v>
          </cell>
          <cell r="K154">
            <v>125495</v>
          </cell>
        </row>
        <row r="155">
          <cell r="A155" t="str">
            <v>7472</v>
          </cell>
          <cell r="B155">
            <v>7472</v>
          </cell>
          <cell r="C155" t="str">
            <v>Gift &amp; Presentation</v>
          </cell>
          <cell r="D155">
            <v>145802</v>
          </cell>
          <cell r="E155">
            <v>0</v>
          </cell>
          <cell r="J155">
            <v>145802</v>
          </cell>
          <cell r="K155">
            <v>145802</v>
          </cell>
        </row>
        <row r="156">
          <cell r="A156" t="str">
            <v>7473</v>
          </cell>
          <cell r="B156">
            <v>7473</v>
          </cell>
          <cell r="C156" t="str">
            <v>Garden Maint. Exp.</v>
          </cell>
          <cell r="D156">
            <v>99979</v>
          </cell>
          <cell r="E156">
            <v>0</v>
          </cell>
          <cell r="J156">
            <v>99979</v>
          </cell>
          <cell r="K156">
            <v>99979</v>
          </cell>
        </row>
        <row r="157">
          <cell r="A157" t="str">
            <v>7475</v>
          </cell>
          <cell r="B157">
            <v>7475</v>
          </cell>
          <cell r="C157" t="str">
            <v>Corporate Exps(Central Services)</v>
          </cell>
          <cell r="D157">
            <v>6537000</v>
          </cell>
          <cell r="E157">
            <v>0</v>
          </cell>
          <cell r="J157">
            <v>6537000</v>
          </cell>
          <cell r="K157">
            <v>6537000</v>
          </cell>
        </row>
        <row r="158">
          <cell r="A158" t="str">
            <v>7485</v>
          </cell>
          <cell r="B158">
            <v>7485</v>
          </cell>
          <cell r="C158" t="str">
            <v>Recruitment Expenses</v>
          </cell>
          <cell r="D158">
            <v>110242</v>
          </cell>
          <cell r="E158">
            <v>0</v>
          </cell>
          <cell r="J158">
            <v>110242</v>
          </cell>
          <cell r="K158">
            <v>110242</v>
          </cell>
        </row>
        <row r="159">
          <cell r="A159" t="str">
            <v>7490</v>
          </cell>
          <cell r="B159">
            <v>7490</v>
          </cell>
          <cell r="C159" t="str">
            <v>Courses and Conferences</v>
          </cell>
          <cell r="D159">
            <v>57353</v>
          </cell>
          <cell r="E159">
            <v>0</v>
          </cell>
          <cell r="J159">
            <v>57353</v>
          </cell>
          <cell r="K159">
            <v>57353</v>
          </cell>
        </row>
        <row r="160">
          <cell r="A160" t="str">
            <v>7500</v>
          </cell>
          <cell r="B160">
            <v>7500</v>
          </cell>
          <cell r="C160" t="str">
            <v>Telephone, Telex &amp; Fax Expenses</v>
          </cell>
          <cell r="D160">
            <v>173410.92</v>
          </cell>
          <cell r="E160">
            <v>0</v>
          </cell>
          <cell r="J160">
            <v>173411</v>
          </cell>
          <cell r="K160">
            <v>173411</v>
          </cell>
        </row>
        <row r="161">
          <cell r="A161" t="str">
            <v>7505</v>
          </cell>
          <cell r="B161">
            <v>7505</v>
          </cell>
          <cell r="C161" t="str">
            <v>Donations</v>
          </cell>
          <cell r="D161">
            <v>2100</v>
          </cell>
          <cell r="E161">
            <v>0</v>
          </cell>
          <cell r="J161">
            <v>2100</v>
          </cell>
          <cell r="K161">
            <v>2100</v>
          </cell>
        </row>
        <row r="162">
          <cell r="A162" t="str">
            <v>7522</v>
          </cell>
          <cell r="B162">
            <v>7522</v>
          </cell>
          <cell r="C162" t="str">
            <v>Other Bank Charges</v>
          </cell>
          <cell r="D162">
            <v>4525.6400000000003</v>
          </cell>
          <cell r="E162">
            <v>0</v>
          </cell>
          <cell r="J162">
            <v>4526</v>
          </cell>
          <cell r="K162">
            <v>4526</v>
          </cell>
        </row>
        <row r="163">
          <cell r="A163" t="str">
            <v>7610</v>
          </cell>
          <cell r="B163">
            <v>7610</v>
          </cell>
          <cell r="C163" t="str">
            <v>Interest on Cash Credit</v>
          </cell>
          <cell r="D163">
            <v>30619</v>
          </cell>
          <cell r="E163">
            <v>0</v>
          </cell>
          <cell r="J163">
            <v>30619</v>
          </cell>
          <cell r="K163">
            <v>30619</v>
          </cell>
        </row>
        <row r="164">
          <cell r="A164" t="str">
            <v>7625</v>
          </cell>
          <cell r="B164">
            <v>7625</v>
          </cell>
          <cell r="C164" t="str">
            <v>Interest on Demand loan</v>
          </cell>
          <cell r="D164">
            <v>3888</v>
          </cell>
          <cell r="E164">
            <v>0</v>
          </cell>
          <cell r="J164">
            <v>3888</v>
          </cell>
          <cell r="K164">
            <v>3888</v>
          </cell>
        </row>
        <row r="165">
          <cell r="A165" t="str">
            <v>7630</v>
          </cell>
          <cell r="B165">
            <v>7630</v>
          </cell>
          <cell r="C165" t="str">
            <v>Interest on Term Loan</v>
          </cell>
          <cell r="D165">
            <v>160310.25</v>
          </cell>
          <cell r="E165">
            <v>0</v>
          </cell>
          <cell r="J165">
            <v>160310</v>
          </cell>
          <cell r="K165">
            <v>160310</v>
          </cell>
        </row>
        <row r="166">
          <cell r="A166" t="str">
            <v>7640</v>
          </cell>
          <cell r="B166">
            <v>7640</v>
          </cell>
          <cell r="C166" t="str">
            <v>Other Interest</v>
          </cell>
          <cell r="D166">
            <v>55300.06</v>
          </cell>
          <cell r="E166">
            <v>0</v>
          </cell>
          <cell r="J166">
            <v>55300</v>
          </cell>
          <cell r="K166">
            <v>55300</v>
          </cell>
        </row>
        <row r="167">
          <cell r="A167" t="str">
            <v>7645</v>
          </cell>
          <cell r="B167">
            <v>7645</v>
          </cell>
          <cell r="C167" t="str">
            <v>Interest on Current  - Valerex</v>
          </cell>
          <cell r="D167">
            <v>5820000</v>
          </cell>
          <cell r="E167">
            <v>0</v>
          </cell>
          <cell r="J167">
            <v>5820000</v>
          </cell>
          <cell r="K167">
            <v>5820000</v>
          </cell>
        </row>
        <row r="168">
          <cell r="A168" t="str">
            <v>7650</v>
          </cell>
          <cell r="B168">
            <v>7650</v>
          </cell>
          <cell r="C168" t="str">
            <v>Car Expenses -  Petrol</v>
          </cell>
          <cell r="D168">
            <v>131500</v>
          </cell>
          <cell r="E168">
            <v>0</v>
          </cell>
          <cell r="J168">
            <v>131500</v>
          </cell>
          <cell r="K168">
            <v>131500</v>
          </cell>
        </row>
        <row r="169">
          <cell r="A169" t="str">
            <v>7651</v>
          </cell>
          <cell r="B169">
            <v>7651</v>
          </cell>
          <cell r="C169" t="str">
            <v>Car Expenses -  Repairs</v>
          </cell>
          <cell r="D169">
            <v>51700</v>
          </cell>
          <cell r="E169">
            <v>0</v>
          </cell>
          <cell r="J169">
            <v>51700</v>
          </cell>
          <cell r="K169">
            <v>51700</v>
          </cell>
        </row>
        <row r="170">
          <cell r="A170" t="str">
            <v>7653</v>
          </cell>
          <cell r="B170">
            <v>7653</v>
          </cell>
          <cell r="C170" t="str">
            <v>Car Expenses -  Others ( Tax/Insu/Pass/Parking)</v>
          </cell>
          <cell r="D170">
            <v>20051</v>
          </cell>
          <cell r="E170">
            <v>0</v>
          </cell>
          <cell r="J170">
            <v>20051</v>
          </cell>
          <cell r="K170">
            <v>20051</v>
          </cell>
        </row>
        <row r="171">
          <cell r="A171" t="str">
            <v>7661</v>
          </cell>
          <cell r="B171">
            <v>7661</v>
          </cell>
          <cell r="C171" t="str">
            <v>GUEST HOUSE EXPENSES</v>
          </cell>
          <cell r="D171">
            <v>147160</v>
          </cell>
          <cell r="E171">
            <v>0</v>
          </cell>
          <cell r="J171">
            <v>147160</v>
          </cell>
          <cell r="K171">
            <v>147160</v>
          </cell>
        </row>
        <row r="172">
          <cell r="A172" t="str">
            <v>7700</v>
          </cell>
          <cell r="B172">
            <v>7700</v>
          </cell>
          <cell r="C172" t="str">
            <v>DEPRECIATION</v>
          </cell>
          <cell r="D172">
            <v>8277264</v>
          </cell>
          <cell r="E172">
            <v>0</v>
          </cell>
          <cell r="J172">
            <v>8277264</v>
          </cell>
          <cell r="K172">
            <v>8277264</v>
          </cell>
        </row>
        <row r="173">
          <cell r="A173" t="str">
            <v>8383</v>
          </cell>
          <cell r="B173">
            <v>8383</v>
          </cell>
          <cell r="C173" t="str">
            <v>CL.STK FG [ P &amp; L ]</v>
          </cell>
          <cell r="D173">
            <v>0</v>
          </cell>
          <cell r="E173">
            <v>10527518</v>
          </cell>
          <cell r="J173">
            <v>-10527518</v>
          </cell>
          <cell r="K173">
            <v>-10527518</v>
          </cell>
        </row>
        <row r="174">
          <cell r="A174" t="str">
            <v>8971</v>
          </cell>
          <cell r="B174">
            <v>8971</v>
          </cell>
          <cell r="C174" t="str">
            <v>OP.STK.RAW MAT.-[ P&amp;L ]</v>
          </cell>
          <cell r="D174">
            <v>12371869</v>
          </cell>
          <cell r="E174">
            <v>0</v>
          </cell>
          <cell r="J174">
            <v>12371869</v>
          </cell>
          <cell r="K174">
            <v>12371869</v>
          </cell>
        </row>
        <row r="175">
          <cell r="A175" t="str">
            <v>8973</v>
          </cell>
          <cell r="B175">
            <v>8973</v>
          </cell>
          <cell r="C175" t="str">
            <v>OP.STK. FG [PL]</v>
          </cell>
          <cell r="D175">
            <v>8787487</v>
          </cell>
          <cell r="E175">
            <v>0</v>
          </cell>
          <cell r="J175">
            <v>8787487</v>
          </cell>
          <cell r="K175">
            <v>8787487</v>
          </cell>
        </row>
        <row r="176">
          <cell r="A176" t="str">
            <v>8974</v>
          </cell>
          <cell r="B176">
            <v>8974</v>
          </cell>
          <cell r="C176" t="str">
            <v>OP. ST. OF WIP - P&amp;L</v>
          </cell>
          <cell r="D176">
            <v>3516196</v>
          </cell>
          <cell r="E176">
            <v>0</v>
          </cell>
          <cell r="J176">
            <v>3516196</v>
          </cell>
          <cell r="K176">
            <v>3516196</v>
          </cell>
        </row>
        <row r="177">
          <cell r="A177" t="str">
            <v>8981</v>
          </cell>
          <cell r="B177">
            <v>8981</v>
          </cell>
          <cell r="C177" t="str">
            <v>CL. STK. RM. (P&amp;L)</v>
          </cell>
          <cell r="D177">
            <v>0</v>
          </cell>
          <cell r="E177">
            <v>29991834</v>
          </cell>
          <cell r="J177">
            <v>-29991834</v>
          </cell>
          <cell r="K177">
            <v>-29991834</v>
          </cell>
        </row>
        <row r="178">
          <cell r="A178" t="str">
            <v>8984</v>
          </cell>
          <cell r="B178">
            <v>8984</v>
          </cell>
          <cell r="C178" t="str">
            <v>CLOSING STOCK-WIP [PL]</v>
          </cell>
          <cell r="D178">
            <v>0</v>
          </cell>
          <cell r="E178">
            <v>3109589</v>
          </cell>
          <cell r="J178">
            <v>-3109589</v>
          </cell>
          <cell r="K178">
            <v>-3109589</v>
          </cell>
        </row>
        <row r="179">
          <cell r="A179" t="str">
            <v>8985</v>
          </cell>
          <cell r="B179">
            <v>8985</v>
          </cell>
          <cell r="C179" t="str">
            <v>CL.STK -STORES/SP/CONS.(PL)</v>
          </cell>
          <cell r="D179">
            <v>0</v>
          </cell>
          <cell r="E179">
            <v>1456966</v>
          </cell>
          <cell r="J179">
            <v>-1456966</v>
          </cell>
          <cell r="K179">
            <v>-1456966</v>
          </cell>
        </row>
        <row r="180">
          <cell r="A180" t="str">
            <v>9001</v>
          </cell>
          <cell r="B180">
            <v>9001</v>
          </cell>
          <cell r="C180" t="str">
            <v>CL.STOCK RM -  [BS]</v>
          </cell>
          <cell r="D180">
            <v>29991834</v>
          </cell>
          <cell r="E180">
            <v>0</v>
          </cell>
          <cell r="J180">
            <v>29991834</v>
          </cell>
          <cell r="K180">
            <v>29991834</v>
          </cell>
        </row>
        <row r="181">
          <cell r="A181" t="str">
            <v>9003</v>
          </cell>
          <cell r="B181">
            <v>9003</v>
          </cell>
          <cell r="C181" t="str">
            <v>CL.STK. FG [ BS ]</v>
          </cell>
          <cell r="D181">
            <v>10527518</v>
          </cell>
          <cell r="E181">
            <v>0</v>
          </cell>
          <cell r="J181">
            <v>10527518</v>
          </cell>
          <cell r="K181">
            <v>10527518</v>
          </cell>
        </row>
        <row r="182">
          <cell r="A182" t="str">
            <v>9004</v>
          </cell>
          <cell r="B182">
            <v>9004</v>
          </cell>
          <cell r="C182" t="str">
            <v>CL.STK. WIP [ BS ]</v>
          </cell>
          <cell r="D182">
            <v>3109589</v>
          </cell>
          <cell r="E182">
            <v>0</v>
          </cell>
          <cell r="J182">
            <v>3109589</v>
          </cell>
          <cell r="K182">
            <v>3109589</v>
          </cell>
        </row>
        <row r="183">
          <cell r="A183">
            <v>0</v>
          </cell>
          <cell r="J183">
            <v>0</v>
          </cell>
          <cell r="K183">
            <v>0</v>
          </cell>
        </row>
        <row r="184">
          <cell r="A184">
            <v>0</v>
          </cell>
          <cell r="J184">
            <v>0</v>
          </cell>
          <cell r="K184">
            <v>0</v>
          </cell>
        </row>
        <row r="185">
          <cell r="A185">
            <v>0</v>
          </cell>
          <cell r="J185">
            <v>0</v>
          </cell>
          <cell r="K185">
            <v>0</v>
          </cell>
        </row>
        <row r="186">
          <cell r="A186">
            <v>0</v>
          </cell>
          <cell r="J186">
            <v>0</v>
          </cell>
          <cell r="K186">
            <v>0</v>
          </cell>
        </row>
        <row r="187">
          <cell r="A187">
            <v>0</v>
          </cell>
          <cell r="J187">
            <v>0</v>
          </cell>
          <cell r="K187">
            <v>0</v>
          </cell>
        </row>
        <row r="188">
          <cell r="A188">
            <v>0</v>
          </cell>
          <cell r="J188">
            <v>0</v>
          </cell>
          <cell r="K188">
            <v>0</v>
          </cell>
        </row>
        <row r="189">
          <cell r="A189">
            <v>0</v>
          </cell>
          <cell r="J189">
            <v>0</v>
          </cell>
          <cell r="K189">
            <v>0</v>
          </cell>
        </row>
        <row r="190">
          <cell r="A190">
            <v>0</v>
          </cell>
          <cell r="J190">
            <v>0</v>
          </cell>
          <cell r="K190">
            <v>0</v>
          </cell>
        </row>
        <row r="191">
          <cell r="A191">
            <v>0</v>
          </cell>
          <cell r="J191">
            <v>0</v>
          </cell>
          <cell r="K191">
            <v>0</v>
          </cell>
        </row>
        <row r="192">
          <cell r="A192">
            <v>0</v>
          </cell>
          <cell r="J192">
            <v>0</v>
          </cell>
          <cell r="K192">
            <v>0</v>
          </cell>
        </row>
        <row r="193">
          <cell r="A193">
            <v>0</v>
          </cell>
          <cell r="J193">
            <v>0</v>
          </cell>
          <cell r="K193">
            <v>0</v>
          </cell>
        </row>
        <row r="194">
          <cell r="A194">
            <v>0</v>
          </cell>
          <cell r="J194">
            <v>0</v>
          </cell>
          <cell r="K194">
            <v>0</v>
          </cell>
        </row>
        <row r="195">
          <cell r="A195">
            <v>0</v>
          </cell>
          <cell r="J195">
            <v>0</v>
          </cell>
          <cell r="K195">
            <v>0</v>
          </cell>
        </row>
        <row r="196">
          <cell r="A196">
            <v>0</v>
          </cell>
          <cell r="J196">
            <v>0</v>
          </cell>
          <cell r="K196">
            <v>0</v>
          </cell>
        </row>
        <row r="197">
          <cell r="A197">
            <v>0</v>
          </cell>
          <cell r="J197">
            <v>0</v>
          </cell>
          <cell r="K197">
            <v>0</v>
          </cell>
        </row>
        <row r="198">
          <cell r="A198">
            <v>0</v>
          </cell>
          <cell r="J198">
            <v>0</v>
          </cell>
          <cell r="K198">
            <v>0</v>
          </cell>
        </row>
        <row r="199">
          <cell r="A199">
            <v>0</v>
          </cell>
          <cell r="J199">
            <v>0</v>
          </cell>
          <cell r="K199">
            <v>0</v>
          </cell>
        </row>
        <row r="200">
          <cell r="A200">
            <v>0</v>
          </cell>
          <cell r="J200">
            <v>0</v>
          </cell>
          <cell r="K200">
            <v>0</v>
          </cell>
        </row>
        <row r="201">
          <cell r="A201">
            <v>0</v>
          </cell>
          <cell r="J201">
            <v>0</v>
          </cell>
          <cell r="K201">
            <v>0</v>
          </cell>
        </row>
        <row r="202">
          <cell r="A202">
            <v>0</v>
          </cell>
          <cell r="J202">
            <v>0</v>
          </cell>
          <cell r="K202">
            <v>0</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A207">
            <v>0</v>
          </cell>
          <cell r="J207">
            <v>0</v>
          </cell>
          <cell r="K207">
            <v>0</v>
          </cell>
        </row>
        <row r="208">
          <cell r="A208">
            <v>0</v>
          </cell>
          <cell r="J208">
            <v>0</v>
          </cell>
          <cell r="K208">
            <v>0</v>
          </cell>
        </row>
        <row r="209">
          <cell r="A209">
            <v>0</v>
          </cell>
          <cell r="J209">
            <v>0</v>
          </cell>
          <cell r="K209">
            <v>0</v>
          </cell>
        </row>
        <row r="210">
          <cell r="A210">
            <v>0</v>
          </cell>
          <cell r="J210">
            <v>0</v>
          </cell>
          <cell r="K210">
            <v>0</v>
          </cell>
        </row>
        <row r="211">
          <cell r="A211">
            <v>0</v>
          </cell>
          <cell r="J211">
            <v>0</v>
          </cell>
          <cell r="K211">
            <v>0</v>
          </cell>
        </row>
        <row r="212">
          <cell r="A212">
            <v>0</v>
          </cell>
          <cell r="J212">
            <v>0</v>
          </cell>
          <cell r="K212">
            <v>0</v>
          </cell>
        </row>
        <row r="213">
          <cell r="A213">
            <v>0</v>
          </cell>
          <cell r="J213">
            <v>0</v>
          </cell>
          <cell r="K213">
            <v>0</v>
          </cell>
        </row>
        <row r="214">
          <cell r="A214">
            <v>0</v>
          </cell>
          <cell r="J214">
            <v>0</v>
          </cell>
          <cell r="K214">
            <v>0</v>
          </cell>
        </row>
        <row r="215">
          <cell r="A215">
            <v>0</v>
          </cell>
          <cell r="J215">
            <v>0</v>
          </cell>
          <cell r="K215">
            <v>0</v>
          </cell>
        </row>
        <row r="216">
          <cell r="A216">
            <v>0</v>
          </cell>
          <cell r="J216">
            <v>0</v>
          </cell>
          <cell r="K216">
            <v>0</v>
          </cell>
        </row>
        <row r="217">
          <cell r="A217">
            <v>0</v>
          </cell>
          <cell r="J217">
            <v>0</v>
          </cell>
          <cell r="K217">
            <v>0</v>
          </cell>
        </row>
        <row r="218">
          <cell r="A218">
            <v>0</v>
          </cell>
          <cell r="J218">
            <v>0</v>
          </cell>
          <cell r="K218">
            <v>0</v>
          </cell>
        </row>
        <row r="219">
          <cell r="A219">
            <v>0</v>
          </cell>
          <cell r="J219">
            <v>0</v>
          </cell>
          <cell r="K219">
            <v>0</v>
          </cell>
        </row>
        <row r="220">
          <cell r="A220">
            <v>0</v>
          </cell>
          <cell r="J220">
            <v>0</v>
          </cell>
          <cell r="K220">
            <v>0</v>
          </cell>
        </row>
        <row r="221">
          <cell r="C221" t="str">
            <v>Total</v>
          </cell>
          <cell r="D221">
            <v>1064488887.09</v>
          </cell>
          <cell r="E221">
            <v>1064488887.0899999</v>
          </cell>
          <cell r="F221">
            <v>0</v>
          </cell>
          <cell r="G221">
            <v>0</v>
          </cell>
          <cell r="H221">
            <v>0</v>
          </cell>
          <cell r="I221">
            <v>0</v>
          </cell>
          <cell r="J221">
            <v>0</v>
          </cell>
          <cell r="K221">
            <v>0</v>
          </cell>
        </row>
        <row r="222">
          <cell r="F222" t="e">
            <v>#REF!</v>
          </cell>
          <cell r="G222" t="e">
            <v>#REF!</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BHANDUPSEP"/>
      <sheetName val="BHANDUP"/>
      <sheetName val="BOQ"/>
      <sheetName val="WTP"/>
      <sheetName val="structurewise"/>
      <sheetName val="balance Work"/>
      <sheetName val="Sheet2"/>
      <sheetName val="Sheet3"/>
      <sheetName val="Headings"/>
      <sheetName val="Fee Rate Summary"/>
      <sheetName val="final abstract"/>
      <sheetName val="Names&amp;Cases"/>
      <sheetName val="7 Other Costs"/>
      <sheetName val="MN T.B."/>
      <sheetName val="Oragadam Deal"/>
      <sheetName val="D2"/>
      <sheetName val="4vs3"/>
      <sheetName val="Qty-UG"/>
      <sheetName val="Sheet3 (2)"/>
      <sheetName val="INDSAL99.XLS"/>
      <sheetName val="CB_PRD99.XLS"/>
      <sheetName val="Exp"/>
      <sheetName val="Occ, Other Rev, Exp, Dispo"/>
      <sheetName val="Summary"/>
      <sheetName val="Register"/>
      <sheetName val="train cash"/>
      <sheetName val="accom cash"/>
      <sheetName val="Core Data"/>
      <sheetName val="S1BOQ"/>
      <sheetName val="Assumptions-Input"/>
      <sheetName val="Material List "/>
      <sheetName val="dyes"/>
      <sheetName val="UTILITY"/>
      <sheetName val="Design"/>
      <sheetName val="col-reinft1"/>
      <sheetName val="S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nc."/>
      <sheetName val="Bermuda"/>
      <sheetName val="India "/>
      <sheetName val="China"/>
      <sheetName val="com"/>
      <sheetName val="Singapore"/>
      <sheetName val="For Excel"/>
    </sheetNames>
    <sheetDataSet>
      <sheetData sheetId="0" refreshError="1">
        <row r="89">
          <cell r="C89" t="str">
            <v>IP 1</v>
          </cell>
        </row>
        <row r="90">
          <cell r="C90" t="str">
            <v>IP 2</v>
          </cell>
        </row>
        <row r="91">
          <cell r="C91" t="str">
            <v>IP 3</v>
          </cell>
        </row>
        <row r="92">
          <cell r="C92" t="str">
            <v>IP 4</v>
          </cell>
        </row>
        <row r="93">
          <cell r="C93" t="str">
            <v>IP 5</v>
          </cell>
        </row>
        <row r="94">
          <cell r="C94" t="str">
            <v>IR 1</v>
          </cell>
        </row>
        <row r="95">
          <cell r="C95" t="str">
            <v>IR 2</v>
          </cell>
        </row>
        <row r="96">
          <cell r="C96" t="str">
            <v>IR 3</v>
          </cell>
        </row>
        <row r="97">
          <cell r="C97" t="str">
            <v>IR 4</v>
          </cell>
        </row>
        <row r="98">
          <cell r="C98" t="str">
            <v>BR 1</v>
          </cell>
        </row>
        <row r="99">
          <cell r="C99" t="str">
            <v>BR 2</v>
          </cell>
        </row>
        <row r="100">
          <cell r="C100" t="str">
            <v>MR 1</v>
          </cell>
        </row>
        <row r="101">
          <cell r="C101" t="str">
            <v>MR 2</v>
          </cell>
        </row>
        <row r="102">
          <cell r="C102" t="str">
            <v>CRC</v>
          </cell>
        </row>
        <row r="103">
          <cell r="C103" t="str">
            <v>MR</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
      <sheetName val="G1"/>
      <sheetName val="A"/>
      <sheetName val="B"/>
      <sheetName val="C"/>
      <sheetName val="D"/>
      <sheetName val="AA"/>
      <sheetName val="AA1"/>
      <sheetName val="DD1"/>
      <sheetName val="DD2"/>
      <sheetName val="AA2"/>
      <sheetName val="Transacciones afiliadas"/>
    </sheetNames>
    <sheetDataSet>
      <sheetData sheetId="0"/>
      <sheetData sheetId="1"/>
      <sheetData sheetId="2"/>
      <sheetData sheetId="3"/>
      <sheetData sheetId="4" refreshError="1">
        <row r="1">
          <cell r="A1" t="str">
            <v>DIOPTRA, S.A. DE C.V.</v>
          </cell>
        </row>
        <row r="2">
          <cell r="A2" t="str">
            <v>08 INVENTARIOS.- INTEGRACION AL 30 DE JUNIO DEL 2000.</v>
          </cell>
        </row>
        <row r="4">
          <cell r="B4" t="str">
            <v>D E S C R I P C I O N</v>
          </cell>
          <cell r="D4" t="str">
            <v>PARCIAL</v>
          </cell>
          <cell r="E4" t="str">
            <v>TOTAL</v>
          </cell>
        </row>
        <row r="6">
          <cell r="A6" t="str">
            <v>01</v>
          </cell>
          <cell r="B6" t="str">
            <v>ARTICULOS TERMINADOS</v>
          </cell>
        </row>
        <row r="7">
          <cell r="A7" t="str">
            <v>02</v>
          </cell>
          <cell r="B7" t="str">
            <v>ARTICULOS IMPORTADOS</v>
          </cell>
        </row>
        <row r="8">
          <cell r="B8" t="str">
            <v>01  ARMAZONES</v>
          </cell>
          <cell r="E8">
            <v>173168.24000000028</v>
          </cell>
        </row>
        <row r="10">
          <cell r="A10" t="str">
            <v>05</v>
          </cell>
          <cell r="B10" t="str">
            <v>REFACC. FRESAS Y CORTADORES</v>
          </cell>
        </row>
        <row r="11">
          <cell r="A11" t="str">
            <v>01</v>
          </cell>
          <cell r="B11" t="str">
            <v>DE LINEA</v>
          </cell>
          <cell r="D11">
            <v>155006.12</v>
          </cell>
        </row>
        <row r="12">
          <cell r="B12" t="str">
            <v>02     DE LENTO MOVIMIENTO</v>
          </cell>
          <cell r="D12">
            <v>12157.59</v>
          </cell>
          <cell r="E12">
            <v>167163.71</v>
          </cell>
        </row>
        <row r="15">
          <cell r="A15" t="str">
            <v>08</v>
          </cell>
          <cell r="B15" t="str">
            <v>MERCANCIAS EN TRANSITO</v>
          </cell>
        </row>
        <row r="16">
          <cell r="A16" t="str">
            <v>01</v>
          </cell>
          <cell r="B16" t="str">
            <v>MOULIN OPTICAL MANUFACTORY</v>
          </cell>
          <cell r="D16">
            <v>22885.200000000001</v>
          </cell>
        </row>
        <row r="17">
          <cell r="A17" t="str">
            <v>15</v>
          </cell>
          <cell r="B17" t="str">
            <v>L.B.I. KOREA, LTD.</v>
          </cell>
          <cell r="D17">
            <v>31508.39</v>
          </cell>
        </row>
        <row r="18">
          <cell r="A18" t="str">
            <v>24</v>
          </cell>
          <cell r="B18" t="str">
            <v>L.B.I. LUNETTE, LTD.</v>
          </cell>
          <cell r="D18">
            <v>46254.44</v>
          </cell>
        </row>
        <row r="19">
          <cell r="A19" t="str">
            <v>28</v>
          </cell>
          <cell r="B19" t="str">
            <v>CE-TRU OPTICAL</v>
          </cell>
          <cell r="D19">
            <v>36099.869999999995</v>
          </cell>
          <cell r="E19">
            <v>136747.9</v>
          </cell>
        </row>
        <row r="20">
          <cell r="C20" t="str">
            <v>PARCIAL</v>
          </cell>
          <cell r="E20">
            <v>477079.85000000033</v>
          </cell>
        </row>
        <row r="22">
          <cell r="B22" t="str">
            <v>MENOS: RESERVA PARA INV. OBSOLETOS</v>
          </cell>
          <cell r="E22">
            <v>-167163.71</v>
          </cell>
        </row>
        <row r="24">
          <cell r="B24" t="str">
            <v>TOTAL INVENTARIOS</v>
          </cell>
          <cell r="E24">
            <v>309916.14000000036</v>
          </cell>
        </row>
      </sheetData>
      <sheetData sheetId="5"/>
      <sheetData sheetId="6"/>
      <sheetData sheetId="7"/>
      <sheetData sheetId="8"/>
      <sheetData sheetId="9"/>
      <sheetData sheetId="10"/>
      <sheetData sheetId="1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GS"/>
      <sheetName val="FA-DEPR"/>
      <sheetName val="3CD"/>
      <sheetName val="3CDSTAT"/>
      <sheetName val="STI"/>
    </sheetNames>
    <sheetDataSet>
      <sheetData sheetId="0"/>
      <sheetData sheetId="1"/>
      <sheetData sheetId="2"/>
      <sheetData sheetId="3"/>
      <sheetData sheetId="4"/>
      <sheetData sheetId="5"/>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Managed_Plans"/>
      <sheetName val="REV_PROJ"/>
      <sheetName val="Price_Comparison"/>
      <sheetName val="AC_Cost_XC"/>
      <sheetName val="AC_Cost_KU"/>
      <sheetName val="PC_Cost_XC"/>
      <sheetName val="PC_Cost_Ku"/>
      <sheetName val="Margin"/>
      <sheetName val="Sheet1"/>
      <sheetName val="(Comtech)vs(HX)"/>
      <sheetName val="ENT_PLAN_Legacy"/>
      <sheetName val="market_AC"/>
      <sheetName val="PC_Market"/>
      <sheetName val="HW"/>
      <sheetName val="Quotation_HX_XC_Backup"/>
      <sheetName val="T&amp;C"/>
      <sheetName val="Sheet2"/>
      <sheetName val="ROI"/>
    </sheetNames>
    <sheetDataSet>
      <sheetData sheetId="0" refreshError="1"/>
      <sheetData sheetId="1" refreshError="1"/>
      <sheetData sheetId="2" refreshError="1"/>
      <sheetData sheetId="3" refreshError="1"/>
      <sheetData sheetId="4" refreshError="1"/>
      <sheetData sheetId="5" refreshError="1">
        <row r="12">
          <cell r="B12">
            <v>0.75</v>
          </cell>
        </row>
        <row r="13">
          <cell r="B13">
            <v>1</v>
          </cell>
        </row>
        <row r="14">
          <cell r="B14">
            <v>1</v>
          </cell>
        </row>
      </sheetData>
      <sheetData sheetId="6" refreshError="1"/>
      <sheetData sheetId="7" refreshError="1">
        <row r="8">
          <cell r="B8">
            <v>0.75</v>
          </cell>
        </row>
        <row r="11">
          <cell r="B11">
            <v>0.5</v>
          </cell>
        </row>
        <row r="12">
          <cell r="B12">
            <v>0.65</v>
          </cell>
        </row>
        <row r="13">
          <cell r="B13">
            <v>0.27</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sheet"/>
      <sheetName val="Executive Summary Copy"/>
      <sheetName val="Executive Summary"/>
      <sheetName val="P &amp; L"/>
      <sheetName val="M-o-PM"/>
      <sheetName val="NETWORK"/>
      <sheetName val="CONSOL"/>
      <sheetName val="Region I"/>
      <sheetName val="Malar"/>
      <sheetName val="Vashi"/>
      <sheetName val="S L Raheja"/>
      <sheetName val="Region 2"/>
      <sheetName val="EHIRCL(Consol)"/>
      <sheetName val="EHIRCL"/>
      <sheetName val="Raipur"/>
      <sheetName val="Mohali"/>
      <sheetName val="Amritsar"/>
      <sheetName val="Lafemme"/>
      <sheetName val="VK"/>
      <sheetName val="Region 3"/>
      <sheetName val="Noida"/>
      <sheetName val="FBD"/>
      <sheetName val="Jaipur"/>
      <sheetName val="Jessaram"/>
      <sheetName val="Kota"/>
      <sheetName val="SB"/>
      <sheetName val="CORPORATE"/>
      <sheetName val="HO"/>
      <sheetName val="OSCAR"/>
      <sheetName val="RD1"/>
      <sheetName val="RD2"/>
      <sheetName val="RD3"/>
      <sheetName val="FESL"/>
      <sheetName val="ADJ-M"/>
      <sheetName val="ADJ-S"/>
      <sheetName val="Monthwise"/>
      <sheetName val="Analysis"/>
      <sheetName val="Budget 2010-11"/>
      <sheetName val="Actual 2010-11"/>
      <sheetName val="Actual 2009-10"/>
      <sheetName val="Bar Chart - FHL (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row r="59">
          <cell r="C59" t="str">
            <v>Particulars</v>
          </cell>
        </row>
        <row r="60">
          <cell r="D60">
            <v>40268</v>
          </cell>
          <cell r="E60">
            <v>40298</v>
          </cell>
          <cell r="F60">
            <v>40329</v>
          </cell>
          <cell r="G60">
            <v>40359</v>
          </cell>
          <cell r="H60">
            <v>40390</v>
          </cell>
          <cell r="I60">
            <v>40421</v>
          </cell>
          <cell r="J60">
            <v>40451</v>
          </cell>
          <cell r="K60">
            <v>40482</v>
          </cell>
          <cell r="L60">
            <v>40512</v>
          </cell>
          <cell r="M60">
            <v>40543</v>
          </cell>
          <cell r="N60">
            <v>40574</v>
          </cell>
          <cell r="O60">
            <v>40602</v>
          </cell>
          <cell r="P60">
            <v>40633</v>
          </cell>
          <cell r="Q60" t="str">
            <v>Total</v>
          </cell>
        </row>
      </sheetData>
      <sheetData sheetId="38"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39" refreshError="1">
        <row r="7">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40" refreshError="1">
        <row r="1">
          <cell r="F1">
            <v>40359</v>
          </cell>
        </row>
        <row r="9">
          <cell r="A9">
            <v>40298</v>
          </cell>
        </row>
        <row r="10">
          <cell r="A10">
            <v>40329</v>
          </cell>
        </row>
        <row r="11">
          <cell r="A11">
            <v>40359</v>
          </cell>
        </row>
        <row r="12">
          <cell r="A12">
            <v>40390</v>
          </cell>
        </row>
        <row r="13">
          <cell r="A13">
            <v>40421</v>
          </cell>
        </row>
        <row r="14">
          <cell r="A14">
            <v>40451</v>
          </cell>
        </row>
        <row r="15">
          <cell r="A15">
            <v>40482</v>
          </cell>
        </row>
        <row r="16">
          <cell r="A16">
            <v>40512</v>
          </cell>
        </row>
        <row r="17">
          <cell r="A17">
            <v>40543</v>
          </cell>
        </row>
        <row r="18">
          <cell r="A18">
            <v>40574</v>
          </cell>
        </row>
        <row r="19">
          <cell r="A19">
            <v>40602</v>
          </cell>
        </row>
        <row r="20">
          <cell r="A20">
            <v>40633</v>
          </cell>
        </row>
        <row r="29">
          <cell r="A29">
            <v>40298</v>
          </cell>
        </row>
        <row r="30">
          <cell r="A30">
            <v>40329</v>
          </cell>
        </row>
        <row r="31">
          <cell r="A31">
            <v>40359</v>
          </cell>
        </row>
        <row r="32">
          <cell r="A32">
            <v>40390</v>
          </cell>
        </row>
        <row r="33">
          <cell r="A33">
            <v>40421</v>
          </cell>
        </row>
        <row r="34">
          <cell r="A34">
            <v>40451</v>
          </cell>
        </row>
        <row r="35">
          <cell r="A35">
            <v>40482</v>
          </cell>
        </row>
        <row r="36">
          <cell r="A36">
            <v>40512</v>
          </cell>
        </row>
        <row r="37">
          <cell r="A37">
            <v>40543</v>
          </cell>
        </row>
        <row r="38">
          <cell r="A38">
            <v>40574</v>
          </cell>
        </row>
        <row r="39">
          <cell r="A39">
            <v>40602</v>
          </cell>
        </row>
        <row r="40">
          <cell r="A40">
            <v>40633</v>
          </cell>
        </row>
        <row r="48">
          <cell r="A48">
            <v>40298</v>
          </cell>
        </row>
        <row r="49">
          <cell r="A49">
            <v>40329</v>
          </cell>
        </row>
        <row r="50">
          <cell r="A50">
            <v>40359</v>
          </cell>
        </row>
        <row r="51">
          <cell r="A51">
            <v>40390</v>
          </cell>
        </row>
        <row r="52">
          <cell r="A52">
            <v>40421</v>
          </cell>
        </row>
        <row r="53">
          <cell r="A53">
            <v>40451</v>
          </cell>
        </row>
        <row r="54">
          <cell r="A54">
            <v>40482</v>
          </cell>
        </row>
        <row r="55">
          <cell r="A55">
            <v>40512</v>
          </cell>
        </row>
        <row r="56">
          <cell r="A56">
            <v>40543</v>
          </cell>
        </row>
        <row r="57">
          <cell r="A57">
            <v>40574</v>
          </cell>
        </row>
        <row r="58">
          <cell r="A58">
            <v>40602</v>
          </cell>
        </row>
        <row r="59">
          <cell r="A59">
            <v>40633</v>
          </cell>
        </row>
        <row r="65">
          <cell r="A65">
            <v>40298</v>
          </cell>
        </row>
        <row r="66">
          <cell r="A66">
            <v>40329</v>
          </cell>
        </row>
        <row r="67">
          <cell r="A67">
            <v>40359</v>
          </cell>
        </row>
        <row r="68">
          <cell r="A68">
            <v>40390</v>
          </cell>
        </row>
        <row r="69">
          <cell r="A69">
            <v>40421</v>
          </cell>
        </row>
        <row r="70">
          <cell r="A70">
            <v>40451</v>
          </cell>
        </row>
        <row r="71">
          <cell r="A71">
            <v>40482</v>
          </cell>
        </row>
        <row r="72">
          <cell r="A72">
            <v>40512</v>
          </cell>
        </row>
        <row r="73">
          <cell r="A73">
            <v>40543</v>
          </cell>
        </row>
        <row r="74">
          <cell r="A74">
            <v>40574</v>
          </cell>
        </row>
        <row r="75">
          <cell r="A75">
            <v>40602</v>
          </cell>
        </row>
        <row r="76">
          <cell r="A76">
            <v>40633</v>
          </cell>
        </row>
        <row r="84">
          <cell r="A84">
            <v>40298</v>
          </cell>
        </row>
        <row r="85">
          <cell r="A85">
            <v>40329</v>
          </cell>
        </row>
        <row r="86">
          <cell r="A86">
            <v>40359</v>
          </cell>
        </row>
        <row r="87">
          <cell r="A87">
            <v>40390</v>
          </cell>
        </row>
        <row r="88">
          <cell r="A88">
            <v>40421</v>
          </cell>
        </row>
        <row r="89">
          <cell r="A89">
            <v>40451</v>
          </cell>
        </row>
        <row r="90">
          <cell r="A90">
            <v>40482</v>
          </cell>
        </row>
        <row r="91">
          <cell r="A91">
            <v>40512</v>
          </cell>
        </row>
        <row r="92">
          <cell r="A92">
            <v>40543</v>
          </cell>
        </row>
        <row r="93">
          <cell r="A93">
            <v>40574</v>
          </cell>
        </row>
        <row r="94">
          <cell r="A94">
            <v>40602</v>
          </cell>
        </row>
        <row r="95">
          <cell r="A95">
            <v>40633</v>
          </cell>
        </row>
        <row r="103">
          <cell r="A103">
            <v>40298</v>
          </cell>
        </row>
        <row r="104">
          <cell r="A104">
            <v>40329</v>
          </cell>
        </row>
        <row r="105">
          <cell r="A105">
            <v>40359</v>
          </cell>
        </row>
        <row r="106">
          <cell r="A106">
            <v>40390</v>
          </cell>
        </row>
        <row r="107">
          <cell r="A107">
            <v>40421</v>
          </cell>
        </row>
        <row r="108">
          <cell r="A108">
            <v>40451</v>
          </cell>
        </row>
        <row r="109">
          <cell r="A109">
            <v>40482</v>
          </cell>
        </row>
        <row r="110">
          <cell r="A110">
            <v>40512</v>
          </cell>
        </row>
        <row r="111">
          <cell r="A111">
            <v>40543</v>
          </cell>
        </row>
        <row r="112">
          <cell r="A112">
            <v>40574</v>
          </cell>
        </row>
        <row r="113">
          <cell r="A113">
            <v>40602</v>
          </cell>
        </row>
        <row r="114">
          <cell r="A114">
            <v>40633</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
      <sheetName val="ACTIVO FIJO"/>
      <sheetName val="REPOMO"/>
      <sheetName val="RESUMEN"/>
      <sheetName val="POLIZA"/>
      <sheetName val="ESTADO DE RESULTADOS"/>
      <sheetName val="MATRIZ"/>
    </sheetNames>
    <sheetDataSet>
      <sheetData sheetId="0"/>
      <sheetData sheetId="1"/>
      <sheetData sheetId="2"/>
      <sheetData sheetId="3" refreshError="1">
        <row r="72">
          <cell r="A72" t="str">
            <v>TERRENOS</v>
          </cell>
          <cell r="B72" t="str">
            <v>IMPORTE</v>
          </cell>
          <cell r="C72" t="str">
            <v>IMPORTE</v>
          </cell>
          <cell r="D72" t="str">
            <v>INPC</v>
          </cell>
          <cell r="E72" t="str">
            <v>INPC</v>
          </cell>
          <cell r="F72" t="str">
            <v>FACTOR DE</v>
          </cell>
          <cell r="G72" t="str">
            <v>INVERSION</v>
          </cell>
          <cell r="H72" t="str">
            <v>EFECTO DE</v>
          </cell>
          <cell r="K72" t="str">
            <v>IMP. ACT.</v>
          </cell>
        </row>
        <row r="73">
          <cell r="B73" t="str">
            <v>ACT. ALTAS</v>
          </cell>
          <cell r="C73" t="str">
            <v>INI MES</v>
          </cell>
          <cell r="D73" t="str">
            <v>MES ANT.</v>
          </cell>
          <cell r="E73" t="str">
            <v>MES ACTUAL</v>
          </cell>
          <cell r="F73" t="str">
            <v>ACTUALIZACION</v>
          </cell>
          <cell r="G73" t="str">
            <v>ACTUALIZADA</v>
          </cell>
          <cell r="H73" t="str">
            <v>ACTUALIZACION</v>
          </cell>
          <cell r="I73" t="str">
            <v>ALTAS</v>
          </cell>
          <cell r="J73" t="str">
            <v>BAJAS</v>
          </cell>
          <cell r="K73" t="str">
            <v>FIN DE MES</v>
          </cell>
        </row>
        <row r="74">
          <cell r="A74" t="str">
            <v>ENERO</v>
          </cell>
          <cell r="B74">
            <v>0</v>
          </cell>
          <cell r="C74">
            <v>31112323.110000003</v>
          </cell>
          <cell r="D74">
            <v>308.91899999999998</v>
          </cell>
          <cell r="E74">
            <v>313.06700000000001</v>
          </cell>
          <cell r="F74">
            <v>1.0134274680417845</v>
          </cell>
          <cell r="G74">
            <v>31530082.834265202</v>
          </cell>
          <cell r="H74">
            <v>417759.72426519915</v>
          </cell>
          <cell r="J74">
            <v>0</v>
          </cell>
          <cell r="K74">
            <v>31530082.834265202</v>
          </cell>
        </row>
        <row r="75">
          <cell r="A75" t="str">
            <v>FEBRERO</v>
          </cell>
          <cell r="B75">
            <v>0</v>
          </cell>
          <cell r="C75">
            <v>31530082.834265202</v>
          </cell>
          <cell r="D75">
            <v>313.06700000000001</v>
          </cell>
          <cell r="E75">
            <v>315.84399999999999</v>
          </cell>
          <cell r="F75">
            <v>1.0088703057173065</v>
          </cell>
          <cell r="G75">
            <v>31809764.308297131</v>
          </cell>
          <cell r="H75">
            <v>279681.47403192893</v>
          </cell>
          <cell r="J75">
            <v>0</v>
          </cell>
          <cell r="K75">
            <v>31809764.308297131</v>
          </cell>
        </row>
        <row r="76">
          <cell r="A76" t="str">
            <v>MARZO</v>
          </cell>
          <cell r="B76">
            <v>0</v>
          </cell>
          <cell r="C76">
            <v>31809764.308297131</v>
          </cell>
          <cell r="D76">
            <v>315.84399999999999</v>
          </cell>
          <cell r="E76">
            <v>317.59500000000003</v>
          </cell>
          <cell r="F76">
            <v>1.0055438760907285</v>
          </cell>
          <cell r="G76">
            <v>31986113.700097609</v>
          </cell>
          <cell r="H76">
            <v>176349.3918004781</v>
          </cell>
          <cell r="J76">
            <v>0</v>
          </cell>
          <cell r="K76">
            <v>31986113.700097609</v>
          </cell>
        </row>
        <row r="77">
          <cell r="A77" t="str">
            <v>ABRIL</v>
          </cell>
          <cell r="B77">
            <v>0</v>
          </cell>
          <cell r="C77">
            <v>31986113.700097609</v>
          </cell>
          <cell r="D77">
            <v>317.59500000000003</v>
          </cell>
          <cell r="F77">
            <v>0</v>
          </cell>
          <cell r="G77">
            <v>0</v>
          </cell>
          <cell r="H77">
            <v>-31986113.700097609</v>
          </cell>
          <cell r="J77">
            <v>0</v>
          </cell>
          <cell r="K77">
            <v>0</v>
          </cell>
        </row>
        <row r="78">
          <cell r="A78" t="str">
            <v>MAYO</v>
          </cell>
          <cell r="B78">
            <v>0</v>
          </cell>
          <cell r="C78">
            <v>0</v>
          </cell>
          <cell r="D78">
            <v>0</v>
          </cell>
          <cell r="F78">
            <v>0</v>
          </cell>
          <cell r="G78">
            <v>0</v>
          </cell>
          <cell r="H78">
            <v>0</v>
          </cell>
          <cell r="J78">
            <v>0</v>
          </cell>
          <cell r="K78">
            <v>0</v>
          </cell>
        </row>
        <row r="79">
          <cell r="A79" t="str">
            <v>JUNIO</v>
          </cell>
          <cell r="B79">
            <v>0</v>
          </cell>
          <cell r="C79">
            <v>0</v>
          </cell>
          <cell r="D79">
            <v>0</v>
          </cell>
          <cell r="F79">
            <v>0</v>
          </cell>
          <cell r="G79">
            <v>0</v>
          </cell>
          <cell r="H79">
            <v>0</v>
          </cell>
          <cell r="J79">
            <v>0</v>
          </cell>
          <cell r="K79">
            <v>0</v>
          </cell>
        </row>
        <row r="80">
          <cell r="A80" t="str">
            <v>JULIO</v>
          </cell>
          <cell r="B80">
            <v>0</v>
          </cell>
          <cell r="C80">
            <v>0</v>
          </cell>
          <cell r="D80">
            <v>0</v>
          </cell>
          <cell r="F80">
            <v>0</v>
          </cell>
          <cell r="G80">
            <v>0</v>
          </cell>
          <cell r="H80">
            <v>0</v>
          </cell>
          <cell r="J80">
            <v>0</v>
          </cell>
          <cell r="K80">
            <v>0</v>
          </cell>
        </row>
        <row r="81">
          <cell r="A81" t="str">
            <v>AGOSTO</v>
          </cell>
          <cell r="B81">
            <v>0</v>
          </cell>
          <cell r="C81">
            <v>0</v>
          </cell>
          <cell r="D81">
            <v>0</v>
          </cell>
          <cell r="F81">
            <v>0</v>
          </cell>
          <cell r="G81">
            <v>0</v>
          </cell>
          <cell r="H81">
            <v>0</v>
          </cell>
          <cell r="J81">
            <v>0</v>
          </cell>
          <cell r="K81">
            <v>0</v>
          </cell>
        </row>
        <row r="82">
          <cell r="A82" t="str">
            <v>SEPTIEMBRE</v>
          </cell>
          <cell r="B82">
            <v>0</v>
          </cell>
          <cell r="C82">
            <v>0</v>
          </cell>
          <cell r="D82">
            <v>0</v>
          </cell>
          <cell r="F82">
            <v>0</v>
          </cell>
          <cell r="G82">
            <v>0</v>
          </cell>
          <cell r="H82">
            <v>0</v>
          </cell>
          <cell r="J82">
            <v>0</v>
          </cell>
          <cell r="K82">
            <v>0</v>
          </cell>
        </row>
        <row r="83">
          <cell r="A83" t="str">
            <v>OCTUBRE</v>
          </cell>
          <cell r="B83">
            <v>0</v>
          </cell>
          <cell r="C83">
            <v>0</v>
          </cell>
          <cell r="D83">
            <v>0</v>
          </cell>
          <cell r="F83">
            <v>0</v>
          </cell>
          <cell r="G83">
            <v>0</v>
          </cell>
          <cell r="H83">
            <v>0</v>
          </cell>
          <cell r="J83">
            <v>0</v>
          </cell>
          <cell r="K83">
            <v>0</v>
          </cell>
        </row>
        <row r="84">
          <cell r="A84" t="str">
            <v>NOVIEMBRE</v>
          </cell>
          <cell r="B84">
            <v>0</v>
          </cell>
          <cell r="C84">
            <v>0</v>
          </cell>
          <cell r="D84">
            <v>0</v>
          </cell>
          <cell r="F84">
            <v>0</v>
          </cell>
          <cell r="G84">
            <v>0</v>
          </cell>
          <cell r="H84">
            <v>0</v>
          </cell>
          <cell r="J84">
            <v>0</v>
          </cell>
          <cell r="K84">
            <v>0</v>
          </cell>
        </row>
        <row r="85">
          <cell r="A85" t="str">
            <v>DICIEMBRE</v>
          </cell>
          <cell r="B85">
            <v>0</v>
          </cell>
          <cell r="C85">
            <v>0</v>
          </cell>
          <cell r="D85">
            <v>0</v>
          </cell>
          <cell r="F85">
            <v>0</v>
          </cell>
          <cell r="G85">
            <v>0</v>
          </cell>
          <cell r="H85">
            <v>0</v>
          </cell>
          <cell r="J85">
            <v>0</v>
          </cell>
          <cell r="K85">
            <v>0</v>
          </cell>
        </row>
        <row r="86">
          <cell r="H86">
            <v>-31112323.110000003</v>
          </cell>
          <cell r="J86">
            <v>0</v>
          </cell>
        </row>
      </sheetData>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TS"/>
      <sheetName val="GRF"/>
      <sheetName val="INN"/>
      <sheetName val="PUB"/>
      <sheetName val="IS Mo"/>
      <sheetName val="Fiscal View"/>
      <sheetName val="Simp IS"/>
    </sheetNames>
    <sheetDataSet>
      <sheetData sheetId="0"/>
      <sheetData sheetId="1"/>
      <sheetData sheetId="2"/>
      <sheetData sheetId="3"/>
      <sheetData sheetId="4">
        <row r="1">
          <cell r="A1" t="str">
            <v>The GTS Companies</v>
          </cell>
        </row>
        <row r="2">
          <cell r="A2" t="str">
            <v>Income Statement by Business Unit</v>
          </cell>
        </row>
        <row r="3">
          <cell r="A3" t="str">
            <v>For the Month Ended August 31, 2001</v>
          </cell>
        </row>
        <row r="4">
          <cell r="A4" t="str">
            <v>($ in '000's)</v>
          </cell>
        </row>
        <row r="6">
          <cell r="C6" t="str">
            <v>TOTAL</v>
          </cell>
          <cell r="J6" t="str">
            <v>GRAPHICS</v>
          </cell>
          <cell r="Q6" t="str">
            <v>PUBLISHING SERVICES</v>
          </cell>
          <cell r="X6" t="str">
            <v>INNOVA</v>
          </cell>
          <cell r="AD6" t="str">
            <v>Full Year</v>
          </cell>
          <cell r="AE6" t="str">
            <v>Full Year</v>
          </cell>
        </row>
        <row r="7">
          <cell r="C7">
            <v>37104</v>
          </cell>
          <cell r="D7">
            <v>37104</v>
          </cell>
          <cell r="G7">
            <v>37104</v>
          </cell>
          <cell r="H7">
            <v>36739</v>
          </cell>
          <cell r="J7">
            <v>37104</v>
          </cell>
          <cell r="K7">
            <v>37104</v>
          </cell>
          <cell r="N7">
            <v>37104</v>
          </cell>
          <cell r="O7">
            <v>36739</v>
          </cell>
          <cell r="Q7">
            <v>37104</v>
          </cell>
          <cell r="R7">
            <v>37104</v>
          </cell>
          <cell r="U7">
            <v>37104</v>
          </cell>
          <cell r="V7">
            <v>36739</v>
          </cell>
          <cell r="X7">
            <v>37104</v>
          </cell>
          <cell r="Y7">
            <v>37104</v>
          </cell>
          <cell r="AB7">
            <v>37104</v>
          </cell>
          <cell r="AC7">
            <v>36739</v>
          </cell>
          <cell r="AD7">
            <v>2001</v>
          </cell>
          <cell r="AE7">
            <v>2000</v>
          </cell>
        </row>
        <row r="8">
          <cell r="C8" t="str">
            <v>Actual</v>
          </cell>
          <cell r="D8" t="str">
            <v>Forecast</v>
          </cell>
          <cell r="E8" t="str">
            <v>$ Var</v>
          </cell>
          <cell r="F8" t="str">
            <v>% Var</v>
          </cell>
          <cell r="G8" t="str">
            <v>Budget</v>
          </cell>
          <cell r="H8" t="str">
            <v>Actual</v>
          </cell>
          <cell r="J8" t="str">
            <v>Actual</v>
          </cell>
          <cell r="K8" t="str">
            <v>Forecast</v>
          </cell>
          <cell r="L8" t="str">
            <v>$ Var</v>
          </cell>
          <cell r="M8" t="str">
            <v>% Var</v>
          </cell>
          <cell r="N8" t="str">
            <v>Budget</v>
          </cell>
          <cell r="O8" t="str">
            <v>Actual</v>
          </cell>
          <cell r="Q8" t="str">
            <v>Actual</v>
          </cell>
          <cell r="R8" t="str">
            <v>Forecast</v>
          </cell>
          <cell r="S8" t="str">
            <v>$ Var</v>
          </cell>
          <cell r="T8" t="str">
            <v>% Var</v>
          </cell>
          <cell r="U8" t="str">
            <v>Budget</v>
          </cell>
          <cell r="V8" t="str">
            <v>Actual</v>
          </cell>
          <cell r="X8" t="str">
            <v>Actual</v>
          </cell>
          <cell r="Y8" t="str">
            <v>Forecast</v>
          </cell>
          <cell r="Z8" t="str">
            <v>$ Var</v>
          </cell>
          <cell r="AA8" t="str">
            <v>% Var</v>
          </cell>
          <cell r="AB8" t="str">
            <v>Budget</v>
          </cell>
          <cell r="AC8" t="str">
            <v>Actual</v>
          </cell>
          <cell r="AD8" t="str">
            <v>Forecast</v>
          </cell>
          <cell r="AE8" t="str">
            <v>Actual</v>
          </cell>
        </row>
        <row r="10">
          <cell r="AH10">
            <v>1</v>
          </cell>
          <cell r="AI10">
            <v>2</v>
          </cell>
          <cell r="AJ10">
            <v>3</v>
          </cell>
          <cell r="AK10">
            <v>4</v>
          </cell>
          <cell r="AL10">
            <v>5</v>
          </cell>
          <cell r="AM10">
            <v>6</v>
          </cell>
          <cell r="AN10">
            <v>7</v>
          </cell>
          <cell r="AO10">
            <v>8</v>
          </cell>
          <cell r="AP10">
            <v>9</v>
          </cell>
          <cell r="AQ10">
            <v>10</v>
          </cell>
          <cell r="AR10">
            <v>11</v>
          </cell>
          <cell r="AS10">
            <v>12</v>
          </cell>
          <cell r="AW10">
            <v>1</v>
          </cell>
          <cell r="AX10">
            <v>2</v>
          </cell>
          <cell r="AY10">
            <v>3</v>
          </cell>
          <cell r="AZ10">
            <v>4</v>
          </cell>
          <cell r="BA10">
            <v>5</v>
          </cell>
          <cell r="BB10">
            <v>6</v>
          </cell>
          <cell r="BC10">
            <v>7</v>
          </cell>
          <cell r="BD10">
            <v>8</v>
          </cell>
          <cell r="BE10">
            <v>9</v>
          </cell>
          <cell r="BF10">
            <v>10</v>
          </cell>
          <cell r="BG10">
            <v>11</v>
          </cell>
          <cell r="BH10">
            <v>12</v>
          </cell>
          <cell r="BL10">
            <v>1</v>
          </cell>
          <cell r="BM10">
            <v>2</v>
          </cell>
          <cell r="BN10">
            <v>3</v>
          </cell>
          <cell r="BO10">
            <v>4</v>
          </cell>
          <cell r="BP10">
            <v>5</v>
          </cell>
          <cell r="BQ10">
            <v>6</v>
          </cell>
          <cell r="BR10">
            <v>7</v>
          </cell>
          <cell r="BS10">
            <v>8</v>
          </cell>
          <cell r="BT10">
            <v>9</v>
          </cell>
          <cell r="BU10">
            <v>10</v>
          </cell>
          <cell r="BV10">
            <v>11</v>
          </cell>
          <cell r="BW10">
            <v>12</v>
          </cell>
          <cell r="CP10">
            <v>1</v>
          </cell>
          <cell r="CQ10">
            <v>2</v>
          </cell>
          <cell r="CR10">
            <v>3</v>
          </cell>
          <cell r="CS10">
            <v>4</v>
          </cell>
          <cell r="CT10">
            <v>5</v>
          </cell>
          <cell r="CU10">
            <v>6</v>
          </cell>
          <cell r="CV10">
            <v>7</v>
          </cell>
          <cell r="CW10">
            <v>8</v>
          </cell>
          <cell r="CX10">
            <v>9</v>
          </cell>
          <cell r="CY10">
            <v>10</v>
          </cell>
          <cell r="CZ10">
            <v>11</v>
          </cell>
          <cell r="DA10">
            <v>12</v>
          </cell>
          <cell r="DE10">
            <v>1</v>
          </cell>
          <cell r="DF10">
            <v>2</v>
          </cell>
          <cell r="DG10">
            <v>3</v>
          </cell>
          <cell r="DH10">
            <v>4</v>
          </cell>
          <cell r="DI10">
            <v>5</v>
          </cell>
          <cell r="DJ10">
            <v>6</v>
          </cell>
          <cell r="DK10">
            <v>7</v>
          </cell>
          <cell r="DL10">
            <v>8</v>
          </cell>
          <cell r="DM10">
            <v>9</v>
          </cell>
          <cell r="DN10">
            <v>10</v>
          </cell>
          <cell r="DO10">
            <v>11</v>
          </cell>
          <cell r="DP10">
            <v>12</v>
          </cell>
          <cell r="DT10">
            <v>1</v>
          </cell>
          <cell r="DU10">
            <v>2</v>
          </cell>
          <cell r="DV10">
            <v>3</v>
          </cell>
          <cell r="DW10">
            <v>4</v>
          </cell>
          <cell r="DX10">
            <v>5</v>
          </cell>
          <cell r="DY10">
            <v>6</v>
          </cell>
          <cell r="DZ10">
            <v>7</v>
          </cell>
          <cell r="EA10">
            <v>8</v>
          </cell>
          <cell r="EB10">
            <v>9</v>
          </cell>
          <cell r="EC10">
            <v>10</v>
          </cell>
          <cell r="ED10">
            <v>11</v>
          </cell>
          <cell r="EE10">
            <v>12</v>
          </cell>
          <cell r="EX10">
            <v>1</v>
          </cell>
          <cell r="EY10">
            <v>2</v>
          </cell>
          <cell r="EZ10">
            <v>3</v>
          </cell>
          <cell r="FA10">
            <v>4</v>
          </cell>
          <cell r="FB10">
            <v>5</v>
          </cell>
          <cell r="FC10">
            <v>6</v>
          </cell>
          <cell r="FD10">
            <v>7</v>
          </cell>
          <cell r="FE10">
            <v>8</v>
          </cell>
          <cell r="FF10">
            <v>9</v>
          </cell>
          <cell r="FG10">
            <v>10</v>
          </cell>
          <cell r="FH10">
            <v>11</v>
          </cell>
          <cell r="FI10">
            <v>12</v>
          </cell>
          <cell r="FM10">
            <v>1</v>
          </cell>
          <cell r="FN10">
            <v>2</v>
          </cell>
          <cell r="FO10">
            <v>3</v>
          </cell>
          <cell r="FP10">
            <v>4</v>
          </cell>
          <cell r="FQ10">
            <v>5</v>
          </cell>
          <cell r="FR10">
            <v>6</v>
          </cell>
          <cell r="FS10">
            <v>7</v>
          </cell>
          <cell r="FT10">
            <v>8</v>
          </cell>
          <cell r="FU10">
            <v>9</v>
          </cell>
          <cell r="FV10">
            <v>10</v>
          </cell>
          <cell r="FW10">
            <v>11</v>
          </cell>
          <cell r="FX10">
            <v>12</v>
          </cell>
          <cell r="GB10">
            <v>1</v>
          </cell>
          <cell r="GC10">
            <v>2</v>
          </cell>
          <cell r="GD10">
            <v>3</v>
          </cell>
          <cell r="GE10">
            <v>4</v>
          </cell>
          <cell r="GF10">
            <v>5</v>
          </cell>
          <cell r="GG10">
            <v>6</v>
          </cell>
          <cell r="GH10">
            <v>7</v>
          </cell>
          <cell r="GI10">
            <v>8</v>
          </cell>
          <cell r="GJ10">
            <v>9</v>
          </cell>
          <cell r="GK10">
            <v>10</v>
          </cell>
          <cell r="GL10">
            <v>11</v>
          </cell>
          <cell r="GM10">
            <v>12</v>
          </cell>
        </row>
        <row r="11">
          <cell r="A11" t="str">
            <v>College Revenue</v>
          </cell>
          <cell r="C11">
            <v>0</v>
          </cell>
          <cell r="D11">
            <v>0</v>
          </cell>
          <cell r="E11">
            <v>0</v>
          </cell>
          <cell r="F11" t="str">
            <v>n/a</v>
          </cell>
          <cell r="G11">
            <v>277.10980961718417</v>
          </cell>
          <cell r="H11">
            <v>169.08809436288877</v>
          </cell>
          <cell r="J11">
            <v>0</v>
          </cell>
          <cell r="K11">
            <v>0</v>
          </cell>
          <cell r="L11">
            <v>0</v>
          </cell>
          <cell r="M11" t="str">
            <v>n/a</v>
          </cell>
          <cell r="N11">
            <v>248.1098096171842</v>
          </cell>
          <cell r="O11">
            <v>169.08809436288877</v>
          </cell>
          <cell r="Q11">
            <v>0</v>
          </cell>
          <cell r="R11">
            <v>0</v>
          </cell>
          <cell r="S11">
            <v>0</v>
          </cell>
          <cell r="T11" t="str">
            <v>n/a</v>
          </cell>
          <cell r="U11">
            <v>29</v>
          </cell>
          <cell r="V11">
            <v>0</v>
          </cell>
          <cell r="AD11">
            <v>4636.7506730877903</v>
          </cell>
          <cell r="AE11">
            <v>3407.378008070029</v>
          </cell>
          <cell r="AH11">
            <v>205214.26643880818</v>
          </cell>
          <cell r="AI11">
            <v>337953.89845597075</v>
          </cell>
          <cell r="AJ11">
            <v>436006.41343646194</v>
          </cell>
          <cell r="AK11">
            <v>505422.11964483239</v>
          </cell>
          <cell r="AL11">
            <v>386155.11396069604</v>
          </cell>
          <cell r="AM11">
            <v>843960.17184584751</v>
          </cell>
          <cell r="AN11">
            <v>199613.51718875617</v>
          </cell>
          <cell r="AO11">
            <v>259981.74211641788</v>
          </cell>
          <cell r="AW11">
            <v>71222</v>
          </cell>
          <cell r="AX11">
            <v>92511.44</v>
          </cell>
          <cell r="AY11">
            <v>74899.820000000007</v>
          </cell>
          <cell r="AZ11">
            <v>42631.09</v>
          </cell>
          <cell r="BA11">
            <v>29503.5</v>
          </cell>
          <cell r="BB11">
            <v>105156.79</v>
          </cell>
          <cell r="BC11">
            <v>33913.94</v>
          </cell>
          <cell r="BD11">
            <v>38604.85</v>
          </cell>
          <cell r="BL11">
            <v>0</v>
          </cell>
          <cell r="BM11">
            <v>0</v>
          </cell>
          <cell r="BN11">
            <v>0</v>
          </cell>
          <cell r="BO11">
            <v>0</v>
          </cell>
          <cell r="BP11">
            <v>0</v>
          </cell>
          <cell r="BQ11">
            <v>0</v>
          </cell>
          <cell r="BR11">
            <v>0</v>
          </cell>
          <cell r="BS11">
            <v>0</v>
          </cell>
          <cell r="CP11">
            <v>228500</v>
          </cell>
          <cell r="CQ11">
            <v>368300</v>
          </cell>
          <cell r="CR11">
            <v>364400</v>
          </cell>
          <cell r="CS11">
            <v>396000</v>
          </cell>
          <cell r="CT11">
            <v>390000</v>
          </cell>
          <cell r="CU11">
            <v>575000</v>
          </cell>
          <cell r="CV11">
            <v>165000</v>
          </cell>
          <cell r="CW11">
            <v>232825.00000000006</v>
          </cell>
          <cell r="DE11">
            <v>53000</v>
          </cell>
          <cell r="DF11">
            <v>52500</v>
          </cell>
          <cell r="DG11">
            <v>60000</v>
          </cell>
          <cell r="DH11">
            <v>52000</v>
          </cell>
          <cell r="DI11">
            <v>59000</v>
          </cell>
          <cell r="DJ11">
            <v>74000</v>
          </cell>
          <cell r="DK11">
            <v>14000</v>
          </cell>
          <cell r="DL11">
            <v>13000</v>
          </cell>
          <cell r="DT11">
            <v>0</v>
          </cell>
          <cell r="DU11">
            <v>0</v>
          </cell>
          <cell r="DV11">
            <v>0</v>
          </cell>
          <cell r="DW11">
            <v>0</v>
          </cell>
          <cell r="DX11">
            <v>0</v>
          </cell>
          <cell r="DY11">
            <v>0</v>
          </cell>
          <cell r="DZ11">
            <v>0</v>
          </cell>
          <cell r="EA11">
            <v>0</v>
          </cell>
          <cell r="EX11">
            <v>150989.05909262641</v>
          </cell>
          <cell r="EY11">
            <v>274913.10100586427</v>
          </cell>
          <cell r="EZ11">
            <v>267853.94408285874</v>
          </cell>
          <cell r="FA11">
            <v>240529.41566850158</v>
          </cell>
          <cell r="FB11">
            <v>713032.04905057151</v>
          </cell>
          <cell r="FC11">
            <v>724395.09611670417</v>
          </cell>
          <cell r="FD11">
            <v>81046.22559633413</v>
          </cell>
          <cell r="FE11">
            <v>182651.42841689294</v>
          </cell>
          <cell r="FF11">
            <v>169088.09436288878</v>
          </cell>
          <cell r="FG11">
            <v>165909.97663463958</v>
          </cell>
          <cell r="FH11">
            <v>265541.41458399891</v>
          </cell>
          <cell r="FI11">
            <v>138443.40345814719</v>
          </cell>
          <cell r="FM11">
            <v>0</v>
          </cell>
          <cell r="FN11">
            <v>0</v>
          </cell>
          <cell r="FO11">
            <v>0</v>
          </cell>
          <cell r="FP11">
            <v>0</v>
          </cell>
          <cell r="FQ11">
            <v>0</v>
          </cell>
          <cell r="FR11">
            <v>1910</v>
          </cell>
          <cell r="FS11">
            <v>0</v>
          </cell>
          <cell r="FT11">
            <v>0</v>
          </cell>
          <cell r="FU11">
            <v>0</v>
          </cell>
          <cell r="FV11">
            <v>0</v>
          </cell>
          <cell r="FW11">
            <v>0</v>
          </cell>
          <cell r="FX11">
            <v>31074.799999999999</v>
          </cell>
          <cell r="GB11">
            <v>0</v>
          </cell>
          <cell r="GC11">
            <v>0</v>
          </cell>
          <cell r="GD11">
            <v>0</v>
          </cell>
          <cell r="GE11">
            <v>0</v>
          </cell>
          <cell r="GF11">
            <v>0</v>
          </cell>
          <cell r="GG11">
            <v>0</v>
          </cell>
          <cell r="GH11">
            <v>0</v>
          </cell>
          <cell r="GI11">
            <v>0</v>
          </cell>
          <cell r="GJ11">
            <v>0</v>
          </cell>
          <cell r="GK11">
            <v>0</v>
          </cell>
          <cell r="GL11">
            <v>0</v>
          </cell>
          <cell r="GM11">
            <v>0</v>
          </cell>
        </row>
        <row r="12">
          <cell r="A12" t="str">
            <v>El-Hi Revenue</v>
          </cell>
          <cell r="C12">
            <v>0</v>
          </cell>
          <cell r="D12">
            <v>0</v>
          </cell>
          <cell r="E12">
            <v>0</v>
          </cell>
          <cell r="F12" t="str">
            <v>n/a</v>
          </cell>
          <cell r="G12">
            <v>880.14801542305827</v>
          </cell>
          <cell r="H12">
            <v>554.05997563711117</v>
          </cell>
          <cell r="J12">
            <v>0</v>
          </cell>
          <cell r="K12">
            <v>0</v>
          </cell>
          <cell r="L12">
            <v>0</v>
          </cell>
          <cell r="M12" t="str">
            <v>n/a</v>
          </cell>
          <cell r="N12">
            <v>696.71368921258772</v>
          </cell>
          <cell r="O12">
            <v>467.16867563711122</v>
          </cell>
          <cell r="Q12">
            <v>0</v>
          </cell>
          <cell r="R12">
            <v>0</v>
          </cell>
          <cell r="S12">
            <v>0</v>
          </cell>
          <cell r="T12" t="str">
            <v>n/a</v>
          </cell>
          <cell r="U12">
            <v>183.43432621047054</v>
          </cell>
          <cell r="V12">
            <v>86.891300000000001</v>
          </cell>
          <cell r="AD12">
            <v>8226.9610669122085</v>
          </cell>
          <cell r="AE12">
            <v>7079.8208519299724</v>
          </cell>
          <cell r="AH12">
            <v>312054.89356119186</v>
          </cell>
          <cell r="AI12">
            <v>441344.53154402925</v>
          </cell>
          <cell r="AJ12">
            <v>1293508.246563538</v>
          </cell>
          <cell r="AK12">
            <v>131798.81035516754</v>
          </cell>
          <cell r="AL12">
            <v>1111045.8560393038</v>
          </cell>
          <cell r="AM12">
            <v>807215.93815415248</v>
          </cell>
          <cell r="AN12">
            <v>603406.82281124382</v>
          </cell>
          <cell r="AO12">
            <v>508397.96788358211</v>
          </cell>
          <cell r="AW12">
            <v>50000</v>
          </cell>
          <cell r="AX12">
            <v>141886</v>
          </cell>
          <cell r="AY12">
            <v>286126.32</v>
          </cell>
          <cell r="AZ12">
            <v>156143.03</v>
          </cell>
          <cell r="BA12">
            <v>336151.88</v>
          </cell>
          <cell r="BB12">
            <v>153451.76999999999</v>
          </cell>
          <cell r="BC12">
            <v>124004</v>
          </cell>
          <cell r="BD12">
            <v>122905</v>
          </cell>
          <cell r="BL12">
            <v>0</v>
          </cell>
          <cell r="BM12">
            <v>0</v>
          </cell>
          <cell r="BN12">
            <v>0</v>
          </cell>
          <cell r="BO12">
            <v>0</v>
          </cell>
          <cell r="BP12">
            <v>0</v>
          </cell>
          <cell r="BQ12">
            <v>0</v>
          </cell>
          <cell r="BR12">
            <v>0</v>
          </cell>
          <cell r="BS12">
            <v>0</v>
          </cell>
          <cell r="CP12">
            <v>551000</v>
          </cell>
          <cell r="CQ12">
            <v>638000</v>
          </cell>
          <cell r="CR12">
            <v>1050818</v>
          </cell>
          <cell r="CS12">
            <v>730000</v>
          </cell>
          <cell r="CT12">
            <v>499000</v>
          </cell>
          <cell r="CU12">
            <v>604784</v>
          </cell>
          <cell r="CV12">
            <v>411800</v>
          </cell>
          <cell r="CW12">
            <v>499640</v>
          </cell>
          <cell r="DE12">
            <v>149000</v>
          </cell>
          <cell r="DF12">
            <v>254000</v>
          </cell>
          <cell r="DG12">
            <v>244000</v>
          </cell>
          <cell r="DH12">
            <v>224000</v>
          </cell>
          <cell r="DI12">
            <v>132000</v>
          </cell>
          <cell r="DJ12">
            <v>284000</v>
          </cell>
          <cell r="DK12">
            <v>172000</v>
          </cell>
          <cell r="DL12">
            <v>208000</v>
          </cell>
          <cell r="DT12">
            <v>0</v>
          </cell>
          <cell r="DU12">
            <v>0</v>
          </cell>
          <cell r="DV12">
            <v>0</v>
          </cell>
          <cell r="DW12">
            <v>0</v>
          </cell>
          <cell r="DX12">
            <v>0</v>
          </cell>
          <cell r="DY12">
            <v>0</v>
          </cell>
          <cell r="DZ12">
            <v>0</v>
          </cell>
          <cell r="EA12">
            <v>0</v>
          </cell>
          <cell r="EX12">
            <v>627310.59090737358</v>
          </cell>
          <cell r="EY12">
            <v>540186.87899413577</v>
          </cell>
          <cell r="EZ12">
            <v>1153987.7659171415</v>
          </cell>
          <cell r="FA12">
            <v>503235.39433149836</v>
          </cell>
          <cell r="FB12">
            <v>355390.79094942845</v>
          </cell>
          <cell r="FC12">
            <v>604508.10388329579</v>
          </cell>
          <cell r="FD12">
            <v>219266.70440366588</v>
          </cell>
          <cell r="FE12">
            <v>230951.5615831071</v>
          </cell>
          <cell r="FF12">
            <v>467168.67563711124</v>
          </cell>
          <cell r="FG12">
            <v>487171.2633653605</v>
          </cell>
          <cell r="FH12">
            <v>472546.06541600107</v>
          </cell>
          <cell r="FI12">
            <v>606689.76654185285</v>
          </cell>
          <cell r="FM12">
            <v>86378.5</v>
          </cell>
          <cell r="FN12">
            <v>66707</v>
          </cell>
          <cell r="FO12">
            <v>126767.43</v>
          </cell>
          <cell r="FP12">
            <v>54758.5</v>
          </cell>
          <cell r="FQ12">
            <v>27650</v>
          </cell>
          <cell r="FR12">
            <v>13726.5</v>
          </cell>
          <cell r="FS12">
            <v>21124.400000000001</v>
          </cell>
          <cell r="FT12">
            <v>54662</v>
          </cell>
          <cell r="FU12">
            <v>86891.3</v>
          </cell>
          <cell r="FV12">
            <v>104673.9</v>
          </cell>
          <cell r="FW12">
            <v>88646.5</v>
          </cell>
          <cell r="FX12">
            <v>79421.259999999995</v>
          </cell>
          <cell r="GB12">
            <v>0</v>
          </cell>
          <cell r="GC12">
            <v>0</v>
          </cell>
          <cell r="GD12">
            <v>0</v>
          </cell>
          <cell r="GE12">
            <v>0</v>
          </cell>
          <cell r="GF12">
            <v>0</v>
          </cell>
          <cell r="GG12">
            <v>0</v>
          </cell>
          <cell r="GH12">
            <v>0</v>
          </cell>
          <cell r="GI12">
            <v>0</v>
          </cell>
          <cell r="GJ12">
            <v>0</v>
          </cell>
          <cell r="GK12">
            <v>0</v>
          </cell>
          <cell r="GL12">
            <v>0</v>
          </cell>
          <cell r="GM12">
            <v>0</v>
          </cell>
        </row>
        <row r="13">
          <cell r="A13" t="str">
            <v>Innova Revenue</v>
          </cell>
          <cell r="C13">
            <v>0</v>
          </cell>
          <cell r="D13">
            <v>0</v>
          </cell>
          <cell r="E13">
            <v>0</v>
          </cell>
          <cell r="F13" t="str">
            <v>n/a</v>
          </cell>
          <cell r="G13">
            <v>171.22717495975755</v>
          </cell>
          <cell r="H13">
            <v>112.16851</v>
          </cell>
          <cell r="X13">
            <v>0</v>
          </cell>
          <cell r="Y13">
            <v>0</v>
          </cell>
          <cell r="Z13">
            <v>0</v>
          </cell>
          <cell r="AA13" t="str">
            <v>n/a</v>
          </cell>
          <cell r="AB13">
            <v>171.22717495975755</v>
          </cell>
          <cell r="AC13">
            <v>112.16851</v>
          </cell>
          <cell r="AD13">
            <v>2475.4547199999997</v>
          </cell>
          <cell r="AE13">
            <v>2672.2191999999995</v>
          </cell>
          <cell r="AH13">
            <v>0</v>
          </cell>
          <cell r="AI13">
            <v>0</v>
          </cell>
          <cell r="AJ13">
            <v>0</v>
          </cell>
          <cell r="AK13">
            <v>0</v>
          </cell>
          <cell r="AL13">
            <v>0</v>
          </cell>
          <cell r="AM13">
            <v>0</v>
          </cell>
          <cell r="AN13">
            <v>0</v>
          </cell>
          <cell r="AO13">
            <v>0</v>
          </cell>
          <cell r="AW13">
            <v>0</v>
          </cell>
          <cell r="AX13">
            <v>0</v>
          </cell>
          <cell r="AY13">
            <v>0</v>
          </cell>
          <cell r="AZ13">
            <v>0</v>
          </cell>
          <cell r="BA13">
            <v>0</v>
          </cell>
          <cell r="BB13">
            <v>0</v>
          </cell>
          <cell r="BC13">
            <v>0</v>
          </cell>
          <cell r="BD13">
            <v>0</v>
          </cell>
          <cell r="BL13">
            <v>261898.78</v>
          </cell>
          <cell r="BM13">
            <v>162349.42000000001</v>
          </cell>
          <cell r="BN13">
            <v>187563.92</v>
          </cell>
          <cell r="BO13">
            <v>63975.77</v>
          </cell>
          <cell r="BP13">
            <v>344317.19</v>
          </cell>
          <cell r="BQ13">
            <v>540699.56999999995</v>
          </cell>
          <cell r="BR13">
            <v>170942.31</v>
          </cell>
          <cell r="BS13">
            <v>188929.76</v>
          </cell>
          <cell r="CP13">
            <v>0</v>
          </cell>
          <cell r="CQ13">
            <v>0</v>
          </cell>
          <cell r="CR13">
            <v>0</v>
          </cell>
          <cell r="CS13">
            <v>0</v>
          </cell>
          <cell r="CT13">
            <v>0</v>
          </cell>
          <cell r="CU13">
            <v>0</v>
          </cell>
          <cell r="CV13">
            <v>0</v>
          </cell>
          <cell r="CW13">
            <v>0</v>
          </cell>
          <cell r="DE13">
            <v>0</v>
          </cell>
          <cell r="DF13">
            <v>0</v>
          </cell>
          <cell r="DG13">
            <v>0</v>
          </cell>
          <cell r="DH13">
            <v>0</v>
          </cell>
          <cell r="DI13">
            <v>0</v>
          </cell>
          <cell r="DJ13">
            <v>0</v>
          </cell>
          <cell r="DK13">
            <v>0</v>
          </cell>
          <cell r="DL13">
            <v>0</v>
          </cell>
          <cell r="DT13">
            <v>257970.00000000003</v>
          </cell>
          <cell r="DU13">
            <v>176470</v>
          </cell>
          <cell r="DV13">
            <v>167387</v>
          </cell>
          <cell r="DW13">
            <v>244687</v>
          </cell>
          <cell r="DX13">
            <v>448887</v>
          </cell>
          <cell r="DY13">
            <v>398618</v>
          </cell>
          <cell r="DZ13">
            <v>195831.99999999997</v>
          </cell>
          <cell r="EA13">
            <v>207432</v>
          </cell>
          <cell r="EX13">
            <v>0</v>
          </cell>
          <cell r="EY13">
            <v>0</v>
          </cell>
          <cell r="EZ13">
            <v>0</v>
          </cell>
          <cell r="FA13">
            <v>0</v>
          </cell>
          <cell r="FB13">
            <v>0</v>
          </cell>
          <cell r="FC13">
            <v>0</v>
          </cell>
          <cell r="FD13">
            <v>0</v>
          </cell>
          <cell r="FE13">
            <v>0</v>
          </cell>
          <cell r="FF13">
            <v>0</v>
          </cell>
          <cell r="FG13">
            <v>0</v>
          </cell>
          <cell r="FH13">
            <v>0</v>
          </cell>
          <cell r="FI13">
            <v>0</v>
          </cell>
          <cell r="FM13">
            <v>0</v>
          </cell>
          <cell r="FN13">
            <v>0</v>
          </cell>
          <cell r="FO13">
            <v>0</v>
          </cell>
          <cell r="FP13">
            <v>0</v>
          </cell>
          <cell r="FQ13">
            <v>0</v>
          </cell>
          <cell r="FR13">
            <v>0</v>
          </cell>
          <cell r="FS13">
            <v>0</v>
          </cell>
          <cell r="FT13">
            <v>0</v>
          </cell>
          <cell r="FU13">
            <v>0</v>
          </cell>
          <cell r="FV13">
            <v>0</v>
          </cell>
          <cell r="FW13">
            <v>0</v>
          </cell>
          <cell r="FX13">
            <v>0</v>
          </cell>
          <cell r="GB13">
            <v>124532.41</v>
          </cell>
          <cell r="GC13">
            <v>179964.91</v>
          </cell>
          <cell r="GD13">
            <v>332409.81</v>
          </cell>
          <cell r="GE13">
            <v>235550.41</v>
          </cell>
          <cell r="GF13">
            <v>297897.82</v>
          </cell>
          <cell r="GG13">
            <v>369223.1</v>
          </cell>
          <cell r="GH13">
            <v>187179.15</v>
          </cell>
          <cell r="GI13">
            <v>241105.08</v>
          </cell>
          <cell r="GJ13">
            <v>112168.51</v>
          </cell>
          <cell r="GK13">
            <v>185219.36</v>
          </cell>
          <cell r="GL13">
            <v>141823.78</v>
          </cell>
          <cell r="GM13">
            <v>265144.86</v>
          </cell>
        </row>
        <row r="14">
          <cell r="A14" t="str">
            <v>Commercial Revenue</v>
          </cell>
          <cell r="C14">
            <v>0</v>
          </cell>
          <cell r="D14">
            <v>0</v>
          </cell>
          <cell r="E14">
            <v>0</v>
          </cell>
          <cell r="F14" t="str">
            <v>n/a</v>
          </cell>
          <cell r="G14">
            <v>5</v>
          </cell>
          <cell r="H14">
            <v>2.7149999999999999</v>
          </cell>
          <cell r="J14">
            <v>0</v>
          </cell>
          <cell r="K14">
            <v>0</v>
          </cell>
          <cell r="L14">
            <v>0</v>
          </cell>
          <cell r="M14" t="str">
            <v>n/a</v>
          </cell>
          <cell r="N14">
            <v>5</v>
          </cell>
          <cell r="O14">
            <v>2.7149999999999999</v>
          </cell>
          <cell r="AD14">
            <v>61.895000000000003</v>
          </cell>
          <cell r="AE14">
            <v>74.724000000000004</v>
          </cell>
          <cell r="AH14">
            <v>5060</v>
          </cell>
          <cell r="AI14">
            <v>7877</v>
          </cell>
          <cell r="AJ14">
            <v>8748.5</v>
          </cell>
          <cell r="AK14">
            <v>2220</v>
          </cell>
          <cell r="AL14">
            <v>6973.5</v>
          </cell>
          <cell r="AM14">
            <v>2926</v>
          </cell>
          <cell r="AN14">
            <v>5347.5</v>
          </cell>
          <cell r="AO14">
            <v>2742.5</v>
          </cell>
          <cell r="AW14">
            <v>0</v>
          </cell>
          <cell r="AX14">
            <v>0</v>
          </cell>
          <cell r="AY14">
            <v>0</v>
          </cell>
          <cell r="AZ14">
            <v>0</v>
          </cell>
          <cell r="BA14">
            <v>0</v>
          </cell>
          <cell r="BB14">
            <v>0</v>
          </cell>
          <cell r="BC14">
            <v>0</v>
          </cell>
          <cell r="BD14">
            <v>0</v>
          </cell>
          <cell r="BL14">
            <v>0</v>
          </cell>
          <cell r="BM14">
            <v>0</v>
          </cell>
          <cell r="BN14">
            <v>0</v>
          </cell>
          <cell r="BO14">
            <v>0</v>
          </cell>
          <cell r="BP14">
            <v>0</v>
          </cell>
          <cell r="BQ14">
            <v>0</v>
          </cell>
          <cell r="BR14">
            <v>0</v>
          </cell>
          <cell r="BS14">
            <v>0</v>
          </cell>
          <cell r="CP14">
            <v>5000</v>
          </cell>
          <cell r="CQ14">
            <v>5000</v>
          </cell>
          <cell r="CR14">
            <v>5000</v>
          </cell>
          <cell r="CS14">
            <v>5000</v>
          </cell>
          <cell r="CT14">
            <v>5000</v>
          </cell>
          <cell r="CU14">
            <v>5000</v>
          </cell>
          <cell r="CV14">
            <v>5000</v>
          </cell>
          <cell r="CW14">
            <v>5000</v>
          </cell>
          <cell r="DE14">
            <v>0</v>
          </cell>
          <cell r="DF14">
            <v>0</v>
          </cell>
          <cell r="DG14">
            <v>0</v>
          </cell>
          <cell r="DH14">
            <v>0</v>
          </cell>
          <cell r="DI14">
            <v>0</v>
          </cell>
          <cell r="DJ14">
            <v>0</v>
          </cell>
          <cell r="DK14">
            <v>0</v>
          </cell>
          <cell r="DL14">
            <v>0</v>
          </cell>
          <cell r="DT14">
            <v>0</v>
          </cell>
          <cell r="DU14">
            <v>0</v>
          </cell>
          <cell r="DV14">
            <v>0</v>
          </cell>
          <cell r="DW14">
            <v>0</v>
          </cell>
          <cell r="DX14">
            <v>0</v>
          </cell>
          <cell r="DY14">
            <v>0</v>
          </cell>
          <cell r="DZ14">
            <v>0</v>
          </cell>
          <cell r="EA14">
            <v>0</v>
          </cell>
          <cell r="EX14">
            <v>6256</v>
          </cell>
          <cell r="EY14">
            <v>7952.5</v>
          </cell>
          <cell r="EZ14">
            <v>9365</v>
          </cell>
          <cell r="FA14">
            <v>5589</v>
          </cell>
          <cell r="FB14">
            <v>6062.5</v>
          </cell>
          <cell r="FC14">
            <v>9245</v>
          </cell>
          <cell r="FD14">
            <v>4647</v>
          </cell>
          <cell r="FE14">
            <v>3612</v>
          </cell>
          <cell r="FF14">
            <v>2715</v>
          </cell>
          <cell r="FG14">
            <v>8178.5</v>
          </cell>
          <cell r="FH14">
            <v>4679</v>
          </cell>
          <cell r="FI14">
            <v>6422.5</v>
          </cell>
          <cell r="FM14">
            <v>0</v>
          </cell>
          <cell r="FN14">
            <v>0</v>
          </cell>
          <cell r="FO14">
            <v>0</v>
          </cell>
          <cell r="FP14">
            <v>0</v>
          </cell>
          <cell r="FQ14">
            <v>0</v>
          </cell>
          <cell r="FR14">
            <v>0</v>
          </cell>
          <cell r="FS14">
            <v>0</v>
          </cell>
          <cell r="FT14">
            <v>0</v>
          </cell>
          <cell r="FU14">
            <v>0</v>
          </cell>
          <cell r="FV14">
            <v>0</v>
          </cell>
          <cell r="FW14">
            <v>0</v>
          </cell>
          <cell r="FX14">
            <v>0</v>
          </cell>
          <cell r="GB14">
            <v>0</v>
          </cell>
          <cell r="GC14">
            <v>0</v>
          </cell>
          <cell r="GD14">
            <v>0</v>
          </cell>
          <cell r="GE14">
            <v>0</v>
          </cell>
          <cell r="GF14">
            <v>0</v>
          </cell>
          <cell r="GG14">
            <v>0</v>
          </cell>
          <cell r="GH14">
            <v>0</v>
          </cell>
          <cell r="GI14">
            <v>0</v>
          </cell>
          <cell r="GJ14">
            <v>0</v>
          </cell>
          <cell r="GK14">
            <v>0</v>
          </cell>
          <cell r="GL14">
            <v>0</v>
          </cell>
          <cell r="GM14">
            <v>0</v>
          </cell>
        </row>
        <row r="15">
          <cell r="A15" t="str">
            <v>Accrued Revenue</v>
          </cell>
          <cell r="C15">
            <v>0</v>
          </cell>
          <cell r="D15">
            <v>0</v>
          </cell>
          <cell r="E15">
            <v>0</v>
          </cell>
          <cell r="F15" t="str">
            <v>n/a</v>
          </cell>
          <cell r="G15">
            <v>-116.00000000000001</v>
          </cell>
          <cell r="H15">
            <v>-105</v>
          </cell>
          <cell r="J15">
            <v>0</v>
          </cell>
          <cell r="K15">
            <v>0</v>
          </cell>
          <cell r="L15">
            <v>0</v>
          </cell>
          <cell r="M15" t="str">
            <v>n/a</v>
          </cell>
          <cell r="N15">
            <v>-86.430363389096428</v>
          </cell>
          <cell r="O15">
            <v>-105</v>
          </cell>
          <cell r="Q15">
            <v>0</v>
          </cell>
          <cell r="R15">
            <v>0</v>
          </cell>
          <cell r="S15">
            <v>0</v>
          </cell>
          <cell r="T15" t="str">
            <v>n/a</v>
          </cell>
          <cell r="U15">
            <v>-10.75092857609078</v>
          </cell>
          <cell r="V15">
            <v>0</v>
          </cell>
          <cell r="X15">
            <v>0</v>
          </cell>
          <cell r="Y15">
            <v>0</v>
          </cell>
          <cell r="Z15">
            <v>0</v>
          </cell>
          <cell r="AA15" t="str">
            <v>n/a</v>
          </cell>
          <cell r="AB15">
            <v>-18.818708034812801</v>
          </cell>
          <cell r="AC15">
            <v>0</v>
          </cell>
          <cell r="AD15">
            <v>0</v>
          </cell>
          <cell r="AE15">
            <v>0</v>
          </cell>
          <cell r="AH15">
            <v>142876</v>
          </cell>
          <cell r="AI15">
            <v>50936</v>
          </cell>
          <cell r="AJ15">
            <v>-193812</v>
          </cell>
          <cell r="AK15">
            <v>502128.13</v>
          </cell>
          <cell r="AL15">
            <v>-321825.13</v>
          </cell>
          <cell r="AM15">
            <v>-180303</v>
          </cell>
          <cell r="AN15">
            <v>0</v>
          </cell>
          <cell r="AO15">
            <v>0</v>
          </cell>
          <cell r="AW15">
            <v>91886</v>
          </cell>
          <cell r="AX15">
            <v>-33830</v>
          </cell>
          <cell r="AY15">
            <v>-58056</v>
          </cell>
          <cell r="AZ15">
            <v>117900.97</v>
          </cell>
          <cell r="BA15">
            <v>-82013.97</v>
          </cell>
          <cell r="BB15">
            <v>-35887</v>
          </cell>
          <cell r="BC15">
            <v>0</v>
          </cell>
          <cell r="BD15">
            <v>0</v>
          </cell>
          <cell r="BL15">
            <v>0</v>
          </cell>
          <cell r="BM15">
            <v>0</v>
          </cell>
          <cell r="BN15">
            <v>0</v>
          </cell>
          <cell r="BO15">
            <v>41625</v>
          </cell>
          <cell r="BP15">
            <v>-41625</v>
          </cell>
          <cell r="BQ15">
            <v>0</v>
          </cell>
          <cell r="BR15">
            <v>0</v>
          </cell>
          <cell r="BS15">
            <v>0</v>
          </cell>
          <cell r="CP15">
            <v>67326.599999999991</v>
          </cell>
          <cell r="CQ15">
            <v>-92876</v>
          </cell>
          <cell r="CR15">
            <v>0</v>
          </cell>
          <cell r="CS15">
            <v>0</v>
          </cell>
          <cell r="CT15">
            <v>0</v>
          </cell>
          <cell r="CU15">
            <v>-216190</v>
          </cell>
          <cell r="CV15">
            <v>60000</v>
          </cell>
          <cell r="CW15">
            <v>0</v>
          </cell>
          <cell r="DE15">
            <v>-67326.599999999991</v>
          </cell>
          <cell r="DF15">
            <v>-41886</v>
          </cell>
          <cell r="DG15">
            <v>0</v>
          </cell>
          <cell r="DH15">
            <v>0</v>
          </cell>
          <cell r="DI15">
            <v>0</v>
          </cell>
          <cell r="DJ15">
            <v>0</v>
          </cell>
          <cell r="DK15">
            <v>0</v>
          </cell>
          <cell r="DL15">
            <v>0</v>
          </cell>
          <cell r="DT15">
            <v>0</v>
          </cell>
          <cell r="DU15">
            <v>0</v>
          </cell>
          <cell r="DV15">
            <v>0</v>
          </cell>
          <cell r="DW15">
            <v>0</v>
          </cell>
          <cell r="DX15">
            <v>0</v>
          </cell>
          <cell r="DY15">
            <v>0</v>
          </cell>
          <cell r="DZ15">
            <v>20000</v>
          </cell>
          <cell r="EA15">
            <v>0</v>
          </cell>
          <cell r="EX15">
            <v>0</v>
          </cell>
          <cell r="EY15">
            <v>0</v>
          </cell>
          <cell r="EZ15">
            <v>0</v>
          </cell>
          <cell r="FA15">
            <v>0</v>
          </cell>
          <cell r="FB15">
            <v>0</v>
          </cell>
          <cell r="FC15">
            <v>0</v>
          </cell>
          <cell r="FD15">
            <v>33000</v>
          </cell>
          <cell r="FE15">
            <v>72000</v>
          </cell>
          <cell r="FF15">
            <v>-105000</v>
          </cell>
          <cell r="FG15">
            <v>52294.5</v>
          </cell>
          <cell r="FH15">
            <v>-25294.5</v>
          </cell>
          <cell r="FI15">
            <v>-27000</v>
          </cell>
          <cell r="FM15">
            <v>0</v>
          </cell>
          <cell r="FN15">
            <v>0</v>
          </cell>
          <cell r="FO15">
            <v>0</v>
          </cell>
          <cell r="FP15">
            <v>0</v>
          </cell>
          <cell r="FQ15">
            <v>0</v>
          </cell>
          <cell r="FR15">
            <v>0</v>
          </cell>
          <cell r="FS15">
            <v>0</v>
          </cell>
          <cell r="FT15">
            <v>0</v>
          </cell>
          <cell r="FU15">
            <v>0</v>
          </cell>
          <cell r="FV15">
            <v>0</v>
          </cell>
          <cell r="FW15">
            <v>0</v>
          </cell>
          <cell r="FX15">
            <v>0</v>
          </cell>
          <cell r="GB15">
            <v>0</v>
          </cell>
          <cell r="GC15">
            <v>0</v>
          </cell>
          <cell r="GD15">
            <v>0</v>
          </cell>
          <cell r="GE15">
            <v>0</v>
          </cell>
          <cell r="GF15">
            <v>0</v>
          </cell>
          <cell r="GG15">
            <v>0</v>
          </cell>
          <cell r="GH15">
            <v>55000</v>
          </cell>
          <cell r="GI15">
            <v>-55000</v>
          </cell>
          <cell r="GJ15">
            <v>0</v>
          </cell>
          <cell r="GK15">
            <v>0</v>
          </cell>
          <cell r="GL15">
            <v>70000</v>
          </cell>
          <cell r="GM15">
            <v>-70000</v>
          </cell>
        </row>
        <row r="16">
          <cell r="A16" t="str">
            <v>WIP Change</v>
          </cell>
          <cell r="C16">
            <v>0</v>
          </cell>
          <cell r="D16">
            <v>0</v>
          </cell>
          <cell r="E16">
            <v>0</v>
          </cell>
          <cell r="F16" t="str">
            <v>n/a</v>
          </cell>
          <cell r="G16">
            <v>0</v>
          </cell>
          <cell r="H16">
            <v>0</v>
          </cell>
          <cell r="J16">
            <v>0</v>
          </cell>
          <cell r="K16">
            <v>0</v>
          </cell>
          <cell r="L16">
            <v>0</v>
          </cell>
          <cell r="M16" t="str">
            <v>n/a</v>
          </cell>
          <cell r="N16">
            <v>0</v>
          </cell>
          <cell r="O16">
            <v>0</v>
          </cell>
          <cell r="Q16">
            <v>0</v>
          </cell>
          <cell r="R16">
            <v>0</v>
          </cell>
          <cell r="S16">
            <v>0</v>
          </cell>
          <cell r="T16" t="str">
            <v>n/a</v>
          </cell>
          <cell r="U16">
            <v>0</v>
          </cell>
          <cell r="V16">
            <v>0</v>
          </cell>
          <cell r="X16">
            <v>0</v>
          </cell>
          <cell r="Y16">
            <v>0</v>
          </cell>
          <cell r="Z16">
            <v>0</v>
          </cell>
          <cell r="AA16" t="str">
            <v>n/a</v>
          </cell>
          <cell r="AB16">
            <v>0</v>
          </cell>
          <cell r="AC16">
            <v>0</v>
          </cell>
          <cell r="AD16">
            <v>0</v>
          </cell>
          <cell r="AE16">
            <v>0</v>
          </cell>
          <cell r="AH16">
            <v>0</v>
          </cell>
          <cell r="AI16">
            <v>0</v>
          </cell>
          <cell r="AJ16">
            <v>0</v>
          </cell>
          <cell r="AK16">
            <v>0</v>
          </cell>
          <cell r="AL16">
            <v>0</v>
          </cell>
          <cell r="AM16">
            <v>0</v>
          </cell>
          <cell r="AN16">
            <v>0</v>
          </cell>
          <cell r="AO16">
            <v>0</v>
          </cell>
          <cell r="AW16">
            <v>0</v>
          </cell>
          <cell r="AX16">
            <v>0</v>
          </cell>
          <cell r="AY16">
            <v>0</v>
          </cell>
          <cell r="AZ16">
            <v>0</v>
          </cell>
          <cell r="BA16">
            <v>0</v>
          </cell>
          <cell r="BB16">
            <v>0</v>
          </cell>
          <cell r="BC16">
            <v>0</v>
          </cell>
          <cell r="BD16">
            <v>0</v>
          </cell>
          <cell r="BL16">
            <v>0</v>
          </cell>
          <cell r="BM16">
            <v>0</v>
          </cell>
          <cell r="BN16">
            <v>0</v>
          </cell>
          <cell r="BO16">
            <v>0</v>
          </cell>
          <cell r="BP16">
            <v>0</v>
          </cell>
          <cell r="BQ16">
            <v>0</v>
          </cell>
          <cell r="BR16">
            <v>0</v>
          </cell>
          <cell r="BS16">
            <v>0</v>
          </cell>
          <cell r="EX16">
            <v>0</v>
          </cell>
          <cell r="EY16">
            <v>0</v>
          </cell>
          <cell r="EZ16">
            <v>0</v>
          </cell>
          <cell r="FA16">
            <v>0</v>
          </cell>
          <cell r="FB16">
            <v>0</v>
          </cell>
          <cell r="FC16">
            <v>0</v>
          </cell>
          <cell r="FD16">
            <v>0</v>
          </cell>
          <cell r="FE16">
            <v>0</v>
          </cell>
          <cell r="FF16">
            <v>0</v>
          </cell>
          <cell r="FG16">
            <v>0</v>
          </cell>
          <cell r="FH16">
            <v>0</v>
          </cell>
          <cell r="FI16">
            <v>0</v>
          </cell>
          <cell r="FM16">
            <v>0</v>
          </cell>
          <cell r="FN16">
            <v>0</v>
          </cell>
          <cell r="FO16">
            <v>0</v>
          </cell>
          <cell r="FP16">
            <v>0</v>
          </cell>
          <cell r="FQ16">
            <v>0</v>
          </cell>
          <cell r="FR16">
            <v>0</v>
          </cell>
          <cell r="FS16">
            <v>0</v>
          </cell>
          <cell r="FT16">
            <v>0</v>
          </cell>
          <cell r="FU16">
            <v>0</v>
          </cell>
          <cell r="FV16">
            <v>0</v>
          </cell>
          <cell r="FW16">
            <v>0</v>
          </cell>
          <cell r="FX16">
            <v>0</v>
          </cell>
          <cell r="GB16">
            <v>0</v>
          </cell>
          <cell r="GC16">
            <v>0</v>
          </cell>
          <cell r="GD16">
            <v>0</v>
          </cell>
          <cell r="GE16">
            <v>0</v>
          </cell>
          <cell r="GF16">
            <v>0</v>
          </cell>
          <cell r="GG16">
            <v>0</v>
          </cell>
          <cell r="GH16">
            <v>0</v>
          </cell>
          <cell r="GI16">
            <v>0</v>
          </cell>
          <cell r="GJ16">
            <v>0</v>
          </cell>
          <cell r="GK16">
            <v>0</v>
          </cell>
          <cell r="GL16">
            <v>0</v>
          </cell>
          <cell r="GM16">
            <v>0</v>
          </cell>
        </row>
        <row r="17">
          <cell r="A17" t="str">
            <v>Intercompany Revenue</v>
          </cell>
          <cell r="C17">
            <v>0</v>
          </cell>
          <cell r="D17">
            <v>0</v>
          </cell>
          <cell r="E17">
            <v>0</v>
          </cell>
          <cell r="F17" t="str">
            <v>n/a</v>
          </cell>
          <cell r="G17">
            <v>0</v>
          </cell>
          <cell r="H17">
            <v>0</v>
          </cell>
          <cell r="J17">
            <v>0</v>
          </cell>
          <cell r="K17">
            <v>0</v>
          </cell>
          <cell r="L17">
            <v>0</v>
          </cell>
          <cell r="M17" t="str">
            <v>n/a</v>
          </cell>
          <cell r="N17">
            <v>0</v>
          </cell>
          <cell r="O17">
            <v>0</v>
          </cell>
          <cell r="Q17">
            <v>0</v>
          </cell>
          <cell r="R17">
            <v>0</v>
          </cell>
          <cell r="S17">
            <v>0</v>
          </cell>
          <cell r="T17" t="str">
            <v>n/a</v>
          </cell>
          <cell r="U17">
            <v>0</v>
          </cell>
          <cell r="V17">
            <v>0</v>
          </cell>
          <cell r="X17">
            <v>0</v>
          </cell>
          <cell r="Y17">
            <v>0</v>
          </cell>
          <cell r="Z17">
            <v>0</v>
          </cell>
          <cell r="AA17" t="str">
            <v>n/a</v>
          </cell>
          <cell r="AB17">
            <v>0</v>
          </cell>
          <cell r="AC17">
            <v>0</v>
          </cell>
          <cell r="AD17">
            <v>0</v>
          </cell>
          <cell r="AE17">
            <v>0</v>
          </cell>
        </row>
        <row r="18">
          <cell r="A18" t="str">
            <v>Revenue</v>
          </cell>
          <cell r="C18">
            <v>0</v>
          </cell>
          <cell r="D18">
            <v>0</v>
          </cell>
          <cell r="E18">
            <v>0</v>
          </cell>
          <cell r="F18" t="str">
            <v>n/a</v>
          </cell>
          <cell r="G18">
            <v>1217.4850000000001</v>
          </cell>
          <cell r="H18">
            <v>733.03157999999996</v>
          </cell>
          <cell r="J18">
            <v>0</v>
          </cell>
          <cell r="K18">
            <v>0</v>
          </cell>
          <cell r="L18">
            <v>0</v>
          </cell>
          <cell r="M18" t="str">
            <v>n/a</v>
          </cell>
          <cell r="N18">
            <v>863.39313544067545</v>
          </cell>
          <cell r="O18">
            <v>533.97176999999999</v>
          </cell>
          <cell r="Q18">
            <v>0</v>
          </cell>
          <cell r="R18">
            <v>0</v>
          </cell>
          <cell r="S18">
            <v>0</v>
          </cell>
          <cell r="T18" t="str">
            <v>n/a</v>
          </cell>
          <cell r="U18">
            <v>201.68339763437976</v>
          </cell>
          <cell r="V18">
            <v>86.891300000000001</v>
          </cell>
          <cell r="X18">
            <v>0</v>
          </cell>
          <cell r="Y18">
            <v>0</v>
          </cell>
          <cell r="Z18">
            <v>0</v>
          </cell>
          <cell r="AA18" t="str">
            <v>n/a</v>
          </cell>
          <cell r="AB18">
            <v>152.40846692494475</v>
          </cell>
          <cell r="AC18">
            <v>112.16851</v>
          </cell>
          <cell r="AD18">
            <v>15401.061459999999</v>
          </cell>
          <cell r="AE18">
            <v>13234.14206</v>
          </cell>
          <cell r="AH18">
            <v>665205.16</v>
          </cell>
          <cell r="AI18">
            <v>838111.42999999993</v>
          </cell>
          <cell r="AJ18">
            <v>1544451.16</v>
          </cell>
          <cell r="AK18">
            <v>1141569.06</v>
          </cell>
          <cell r="AL18">
            <v>1182349.3399999999</v>
          </cell>
          <cell r="AM18">
            <v>1473799.1099999999</v>
          </cell>
          <cell r="AN18">
            <v>808367.84</v>
          </cell>
          <cell r="AO18">
            <v>771122.21</v>
          </cell>
          <cell r="AP18">
            <v>0</v>
          </cell>
          <cell r="AQ18">
            <v>0</v>
          </cell>
          <cell r="AR18">
            <v>0</v>
          </cell>
          <cell r="AS18">
            <v>0</v>
          </cell>
          <cell r="AW18">
            <v>213108</v>
          </cell>
          <cell r="AX18">
            <v>200567.44</v>
          </cell>
          <cell r="AY18">
            <v>302970.14</v>
          </cell>
          <cell r="AZ18">
            <v>316675.08999999997</v>
          </cell>
          <cell r="BA18">
            <v>283641.41000000003</v>
          </cell>
          <cell r="BB18">
            <v>222721.56</v>
          </cell>
          <cell r="BC18">
            <v>157917.94</v>
          </cell>
          <cell r="BD18">
            <v>161509.85</v>
          </cell>
          <cell r="BE18">
            <v>0</v>
          </cell>
          <cell r="BF18">
            <v>0</v>
          </cell>
          <cell r="BG18">
            <v>0</v>
          </cell>
          <cell r="BH18">
            <v>0</v>
          </cell>
          <cell r="BL18">
            <v>261898.78</v>
          </cell>
          <cell r="BM18">
            <v>162349.42000000001</v>
          </cell>
          <cell r="BN18">
            <v>187563.92</v>
          </cell>
          <cell r="BO18">
            <v>105600.76999999999</v>
          </cell>
          <cell r="BP18">
            <v>302692.19</v>
          </cell>
          <cell r="BQ18">
            <v>540699.56999999995</v>
          </cell>
          <cell r="BR18">
            <v>170942.31</v>
          </cell>
          <cell r="BS18">
            <v>188929.76</v>
          </cell>
          <cell r="BT18">
            <v>0</v>
          </cell>
          <cell r="BU18">
            <v>0</v>
          </cell>
          <cell r="BV18">
            <v>0</v>
          </cell>
          <cell r="BW18">
            <v>0</v>
          </cell>
          <cell r="CP18">
            <v>851826.6</v>
          </cell>
          <cell r="CQ18">
            <v>918424</v>
          </cell>
          <cell r="CR18">
            <v>1420218</v>
          </cell>
          <cell r="CS18">
            <v>1131000</v>
          </cell>
          <cell r="CT18">
            <v>894000</v>
          </cell>
          <cell r="CU18">
            <v>968594</v>
          </cell>
          <cell r="CV18">
            <v>641800</v>
          </cell>
          <cell r="CW18">
            <v>737465</v>
          </cell>
          <cell r="CX18">
            <v>0</v>
          </cell>
          <cell r="CY18">
            <v>0</v>
          </cell>
          <cell r="CZ18">
            <v>0</v>
          </cell>
          <cell r="DA18">
            <v>0</v>
          </cell>
          <cell r="DE18">
            <v>134673.40000000002</v>
          </cell>
          <cell r="DF18">
            <v>264614</v>
          </cell>
          <cell r="DG18">
            <v>304000</v>
          </cell>
          <cell r="DH18">
            <v>276000</v>
          </cell>
          <cell r="DI18">
            <v>191000</v>
          </cell>
          <cell r="DJ18">
            <v>358000</v>
          </cell>
          <cell r="DK18">
            <v>186000</v>
          </cell>
          <cell r="DL18">
            <v>221000</v>
          </cell>
          <cell r="DM18">
            <v>0</v>
          </cell>
          <cell r="DN18">
            <v>0</v>
          </cell>
          <cell r="DO18">
            <v>0</v>
          </cell>
          <cell r="DP18">
            <v>0</v>
          </cell>
          <cell r="DT18">
            <v>257970.00000000003</v>
          </cell>
          <cell r="DU18">
            <v>176470</v>
          </cell>
          <cell r="DV18">
            <v>167387</v>
          </cell>
          <cell r="DW18">
            <v>244687</v>
          </cell>
          <cell r="DX18">
            <v>448887</v>
          </cell>
          <cell r="DY18">
            <v>398618</v>
          </cell>
          <cell r="DZ18">
            <v>215831.99999999997</v>
          </cell>
          <cell r="EA18">
            <v>207432</v>
          </cell>
          <cell r="EB18">
            <v>0</v>
          </cell>
          <cell r="EC18">
            <v>0</v>
          </cell>
          <cell r="ED18">
            <v>0</v>
          </cell>
          <cell r="EE18">
            <v>0</v>
          </cell>
          <cell r="EX18">
            <v>784555.65</v>
          </cell>
          <cell r="EY18">
            <v>823052.48</v>
          </cell>
          <cell r="EZ18">
            <v>1431206.7100000002</v>
          </cell>
          <cell r="FA18">
            <v>749353.80999999994</v>
          </cell>
          <cell r="FB18">
            <v>1074485.3399999999</v>
          </cell>
          <cell r="FC18">
            <v>1338148.2</v>
          </cell>
          <cell r="FD18">
            <v>337959.93</v>
          </cell>
          <cell r="FE18">
            <v>489214.99000000005</v>
          </cell>
          <cell r="FF18">
            <v>533971.77</v>
          </cell>
          <cell r="FG18">
            <v>713554.24000000011</v>
          </cell>
          <cell r="FH18">
            <v>717471.98</v>
          </cell>
          <cell r="FI18">
            <v>724555.67</v>
          </cell>
          <cell r="FM18">
            <v>86378.5</v>
          </cell>
          <cell r="FN18">
            <v>66707</v>
          </cell>
          <cell r="FO18">
            <v>126767.43</v>
          </cell>
          <cell r="FP18">
            <v>54758.5</v>
          </cell>
          <cell r="FQ18">
            <v>27650</v>
          </cell>
          <cell r="FR18">
            <v>15636.5</v>
          </cell>
          <cell r="FS18">
            <v>21124.400000000001</v>
          </cell>
          <cell r="FT18">
            <v>54662</v>
          </cell>
          <cell r="FU18">
            <v>86891.3</v>
          </cell>
          <cell r="FV18">
            <v>104673.9</v>
          </cell>
          <cell r="FW18">
            <v>88646.5</v>
          </cell>
          <cell r="FX18">
            <v>110496.06</v>
          </cell>
          <cell r="GB18">
            <v>124532.41</v>
          </cell>
          <cell r="GC18">
            <v>179964.91</v>
          </cell>
          <cell r="GD18">
            <v>332409.81</v>
          </cell>
          <cell r="GE18">
            <v>235550.41</v>
          </cell>
          <cell r="GF18">
            <v>297897.82</v>
          </cell>
          <cell r="GG18">
            <v>369223.1</v>
          </cell>
          <cell r="GH18">
            <v>242179.15</v>
          </cell>
          <cell r="GI18">
            <v>186105.08</v>
          </cell>
          <cell r="GJ18">
            <v>112168.51</v>
          </cell>
          <cell r="GK18">
            <v>185219.36</v>
          </cell>
          <cell r="GL18">
            <v>211823.78</v>
          </cell>
          <cell r="GM18">
            <v>195144.86</v>
          </cell>
        </row>
        <row r="20">
          <cell r="A20" t="str">
            <v>Materials</v>
          </cell>
          <cell r="C20">
            <v>0</v>
          </cell>
          <cell r="D20">
            <v>0</v>
          </cell>
          <cell r="E20">
            <v>0</v>
          </cell>
          <cell r="F20" t="str">
            <v>n/a</v>
          </cell>
          <cell r="G20">
            <v>32.273143557501534</v>
          </cell>
          <cell r="H20">
            <v>12.6441</v>
          </cell>
          <cell r="J20">
            <v>0</v>
          </cell>
          <cell r="K20">
            <v>0</v>
          </cell>
          <cell r="L20">
            <v>0</v>
          </cell>
          <cell r="M20" t="str">
            <v>n/a</v>
          </cell>
          <cell r="N20">
            <v>32.919067238989392</v>
          </cell>
          <cell r="O20">
            <v>12.6441</v>
          </cell>
          <cell r="Q20">
            <v>0</v>
          </cell>
          <cell r="R20">
            <v>0</v>
          </cell>
          <cell r="S20">
            <v>0</v>
          </cell>
          <cell r="T20" t="str">
            <v>n/a</v>
          </cell>
          <cell r="U20">
            <v>-0.30635908597511552</v>
          </cell>
          <cell r="V20">
            <v>0</v>
          </cell>
          <cell r="X20">
            <v>0</v>
          </cell>
          <cell r="Y20">
            <v>0</v>
          </cell>
          <cell r="Z20">
            <v>0</v>
          </cell>
          <cell r="AA20" t="str">
            <v>n/a</v>
          </cell>
          <cell r="AB20">
            <v>-0.3395645955127416</v>
          </cell>
          <cell r="AC20">
            <v>0</v>
          </cell>
          <cell r="AD20">
            <v>385.30838999999992</v>
          </cell>
          <cell r="AE20">
            <v>449.01467000000002</v>
          </cell>
          <cell r="AH20">
            <v>31811.33</v>
          </cell>
          <cell r="AI20">
            <v>33239.81</v>
          </cell>
          <cell r="AJ20">
            <v>28360.579999999994</v>
          </cell>
          <cell r="AK20">
            <v>58761.19</v>
          </cell>
          <cell r="AL20">
            <v>56797.440000000002</v>
          </cell>
          <cell r="AM20">
            <v>28950.33</v>
          </cell>
          <cell r="AN20">
            <v>19435.459999999995</v>
          </cell>
          <cell r="AO20">
            <v>34404.980000000003</v>
          </cell>
          <cell r="AW20">
            <v>0</v>
          </cell>
          <cell r="AX20">
            <v>0</v>
          </cell>
          <cell r="AY20">
            <v>1366.08</v>
          </cell>
          <cell r="AZ20">
            <v>0</v>
          </cell>
          <cell r="BA20">
            <v>0</v>
          </cell>
          <cell r="BB20">
            <v>18.43</v>
          </cell>
          <cell r="BC20">
            <v>99.77</v>
          </cell>
          <cell r="BD20">
            <v>0</v>
          </cell>
          <cell r="BL20">
            <v>0</v>
          </cell>
          <cell r="BM20">
            <v>0</v>
          </cell>
          <cell r="BN20">
            <v>0</v>
          </cell>
          <cell r="BO20">
            <v>0</v>
          </cell>
          <cell r="BP20">
            <v>949.67</v>
          </cell>
          <cell r="BQ20">
            <v>-949.67</v>
          </cell>
          <cell r="BR20">
            <v>40.590000000000003</v>
          </cell>
          <cell r="BS20">
            <v>0</v>
          </cell>
          <cell r="CP20">
            <v>29439.127295999999</v>
          </cell>
          <cell r="CQ20">
            <v>31740.73344</v>
          </cell>
          <cell r="CR20">
            <v>49082.734079999995</v>
          </cell>
          <cell r="CS20">
            <v>53157</v>
          </cell>
          <cell r="CT20">
            <v>42018</v>
          </cell>
          <cell r="CU20">
            <v>304.70799999999872</v>
          </cell>
          <cell r="CV20">
            <v>25672</v>
          </cell>
          <cell r="CW20">
            <v>29498.6</v>
          </cell>
          <cell r="DE20">
            <v>0</v>
          </cell>
          <cell r="DF20">
            <v>0</v>
          </cell>
          <cell r="DG20">
            <v>0</v>
          </cell>
          <cell r="DH20">
            <v>0</v>
          </cell>
          <cell r="DI20">
            <v>0</v>
          </cell>
          <cell r="DJ20">
            <v>0</v>
          </cell>
          <cell r="DK20">
            <v>0</v>
          </cell>
          <cell r="DL20">
            <v>0</v>
          </cell>
          <cell r="DT20">
            <v>0</v>
          </cell>
          <cell r="DU20">
            <v>0</v>
          </cell>
          <cell r="DV20">
            <v>0</v>
          </cell>
          <cell r="DW20">
            <v>0</v>
          </cell>
          <cell r="DX20">
            <v>0</v>
          </cell>
          <cell r="DY20">
            <v>0</v>
          </cell>
          <cell r="DZ20">
            <v>0</v>
          </cell>
          <cell r="EA20">
            <v>0</v>
          </cell>
          <cell r="EX20">
            <v>38691.22</v>
          </cell>
          <cell r="EY20">
            <v>107233.36</v>
          </cell>
          <cell r="EZ20">
            <v>41014.559999999998</v>
          </cell>
          <cell r="FA20">
            <v>-18123.989999999998</v>
          </cell>
          <cell r="FB20">
            <v>87646.46</v>
          </cell>
          <cell r="FC20">
            <v>104645.01000000001</v>
          </cell>
          <cell r="FD20">
            <v>-8362.93</v>
          </cell>
          <cell r="FE20">
            <v>33669.82</v>
          </cell>
          <cell r="FF20">
            <v>12644.1</v>
          </cell>
          <cell r="FG20">
            <v>20503.37</v>
          </cell>
          <cell r="FH20">
            <v>24509.93</v>
          </cell>
          <cell r="FI20">
            <v>4862.5</v>
          </cell>
          <cell r="FM20">
            <v>57.26</v>
          </cell>
          <cell r="FN20">
            <v>0</v>
          </cell>
          <cell r="FO20">
            <v>0</v>
          </cell>
          <cell r="FP20">
            <v>0</v>
          </cell>
          <cell r="FQ20">
            <v>0</v>
          </cell>
          <cell r="FR20">
            <v>24</v>
          </cell>
          <cell r="FS20">
            <v>0</v>
          </cell>
          <cell r="FT20">
            <v>0</v>
          </cell>
          <cell r="FU20">
            <v>0</v>
          </cell>
          <cell r="FV20">
            <v>0</v>
          </cell>
          <cell r="FW20">
            <v>0</v>
          </cell>
          <cell r="FX20">
            <v>0</v>
          </cell>
          <cell r="GB20">
            <v>0</v>
          </cell>
          <cell r="GC20">
            <v>0</v>
          </cell>
          <cell r="GD20">
            <v>0</v>
          </cell>
          <cell r="GE20">
            <v>0</v>
          </cell>
          <cell r="GF20">
            <v>0</v>
          </cell>
          <cell r="GG20">
            <v>0</v>
          </cell>
          <cell r="GH20">
            <v>0</v>
          </cell>
          <cell r="GI20">
            <v>0</v>
          </cell>
          <cell r="GJ20">
            <v>0</v>
          </cell>
          <cell r="GK20">
            <v>0</v>
          </cell>
          <cell r="GL20">
            <v>0</v>
          </cell>
          <cell r="GM20">
            <v>0</v>
          </cell>
        </row>
        <row r="22">
          <cell r="A22" t="str">
            <v>Subcontract - Delhi</v>
          </cell>
          <cell r="C22">
            <v>0</v>
          </cell>
          <cell r="D22">
            <v>0</v>
          </cell>
          <cell r="E22">
            <v>0</v>
          </cell>
          <cell r="F22" t="str">
            <v>n/a</v>
          </cell>
          <cell r="G22">
            <v>42.089620209602238</v>
          </cell>
          <cell r="H22">
            <v>0.91500000000000004</v>
          </cell>
          <cell r="J22">
            <v>0</v>
          </cell>
          <cell r="K22">
            <v>0</v>
          </cell>
          <cell r="L22">
            <v>0</v>
          </cell>
          <cell r="M22" t="str">
            <v>n/a</v>
          </cell>
          <cell r="N22">
            <v>34.604800930760788</v>
          </cell>
          <cell r="O22">
            <v>0</v>
          </cell>
          <cell r="Q22">
            <v>0</v>
          </cell>
          <cell r="R22">
            <v>0</v>
          </cell>
          <cell r="S22">
            <v>0</v>
          </cell>
          <cell r="T22" t="str">
            <v>n/a</v>
          </cell>
          <cell r="U22">
            <v>-0.51059847662519253</v>
          </cell>
          <cell r="V22">
            <v>0.91500000000000004</v>
          </cell>
          <cell r="X22">
            <v>0</v>
          </cell>
          <cell r="Y22">
            <v>0</v>
          </cell>
          <cell r="Z22">
            <v>0</v>
          </cell>
          <cell r="AA22" t="str">
            <v>n/a</v>
          </cell>
          <cell r="AB22">
            <v>7.995417755466641</v>
          </cell>
          <cell r="AC22">
            <v>0</v>
          </cell>
          <cell r="AD22">
            <v>196.32271714285716</v>
          </cell>
          <cell r="AE22">
            <v>21.397860000000001</v>
          </cell>
          <cell r="AH22">
            <v>10580</v>
          </cell>
          <cell r="AI22">
            <v>26279.91</v>
          </cell>
          <cell r="AJ22">
            <v>34205.15</v>
          </cell>
          <cell r="AK22">
            <v>36250.5</v>
          </cell>
          <cell r="AL22">
            <v>8465.48</v>
          </cell>
          <cell r="AM22">
            <v>7494.72</v>
          </cell>
          <cell r="AN22">
            <v>7250.5</v>
          </cell>
          <cell r="AO22">
            <v>6368</v>
          </cell>
          <cell r="AW22">
            <v>0</v>
          </cell>
          <cell r="AX22">
            <v>0</v>
          </cell>
          <cell r="AY22">
            <v>0</v>
          </cell>
          <cell r="AZ22">
            <v>0</v>
          </cell>
          <cell r="BA22">
            <v>0</v>
          </cell>
          <cell r="BB22">
            <v>0</v>
          </cell>
          <cell r="BC22">
            <v>0</v>
          </cell>
          <cell r="BD22">
            <v>0</v>
          </cell>
          <cell r="BL22">
            <v>0</v>
          </cell>
          <cell r="BM22">
            <v>0</v>
          </cell>
          <cell r="BN22">
            <v>0</v>
          </cell>
          <cell r="BO22">
            <v>0</v>
          </cell>
          <cell r="BP22">
            <v>0</v>
          </cell>
          <cell r="BQ22">
            <v>0</v>
          </cell>
          <cell r="BR22">
            <v>0</v>
          </cell>
          <cell r="BS22">
            <v>0</v>
          </cell>
          <cell r="CP22">
            <v>0</v>
          </cell>
          <cell r="CQ22">
            <v>0</v>
          </cell>
          <cell r="CR22">
            <v>32415.748571428565</v>
          </cell>
          <cell r="CS22">
            <v>30518.857142857138</v>
          </cell>
          <cell r="CT22">
            <v>16714.285714285714</v>
          </cell>
          <cell r="CU22">
            <v>24642.857142857141</v>
          </cell>
          <cell r="CV22">
            <v>7071.4285714285725</v>
          </cell>
          <cell r="CW22">
            <v>11643.680952380955</v>
          </cell>
          <cell r="DE22">
            <v>0</v>
          </cell>
          <cell r="DF22">
            <v>0</v>
          </cell>
          <cell r="DG22">
            <v>0</v>
          </cell>
          <cell r="DH22">
            <v>0</v>
          </cell>
          <cell r="DI22">
            <v>0</v>
          </cell>
          <cell r="DJ22">
            <v>0</v>
          </cell>
          <cell r="DK22">
            <v>0</v>
          </cell>
          <cell r="DL22">
            <v>0</v>
          </cell>
          <cell r="DT22">
            <v>0</v>
          </cell>
          <cell r="DU22">
            <v>0</v>
          </cell>
          <cell r="DV22">
            <v>3347.7400000000002</v>
          </cell>
          <cell r="DW22">
            <v>4893.74</v>
          </cell>
          <cell r="DX22">
            <v>0</v>
          </cell>
          <cell r="DY22">
            <v>0</v>
          </cell>
          <cell r="DZ22">
            <v>0</v>
          </cell>
          <cell r="EA22">
            <v>0</v>
          </cell>
          <cell r="EX22">
            <v>0</v>
          </cell>
          <cell r="EY22">
            <v>0</v>
          </cell>
          <cell r="EZ22">
            <v>0</v>
          </cell>
          <cell r="FA22">
            <v>0</v>
          </cell>
          <cell r="FB22">
            <v>0</v>
          </cell>
          <cell r="FC22">
            <v>0</v>
          </cell>
          <cell r="FD22">
            <v>0</v>
          </cell>
          <cell r="FE22">
            <v>0</v>
          </cell>
          <cell r="FF22">
            <v>0</v>
          </cell>
          <cell r="FG22">
            <v>5568</v>
          </cell>
          <cell r="FH22">
            <v>2412</v>
          </cell>
          <cell r="FI22">
            <v>12502.86</v>
          </cell>
          <cell r="FM22">
            <v>0</v>
          </cell>
          <cell r="FN22">
            <v>0</v>
          </cell>
          <cell r="FO22">
            <v>0</v>
          </cell>
          <cell r="FP22">
            <v>0</v>
          </cell>
          <cell r="FQ22">
            <v>0</v>
          </cell>
          <cell r="FR22">
            <v>0</v>
          </cell>
          <cell r="FS22">
            <v>0</v>
          </cell>
          <cell r="FT22">
            <v>0</v>
          </cell>
          <cell r="FU22">
            <v>915</v>
          </cell>
          <cell r="FV22">
            <v>0</v>
          </cell>
          <cell r="FW22">
            <v>0</v>
          </cell>
          <cell r="FX22">
            <v>0</v>
          </cell>
          <cell r="GB22">
            <v>0</v>
          </cell>
          <cell r="GC22">
            <v>0</v>
          </cell>
          <cell r="GD22">
            <v>0</v>
          </cell>
          <cell r="GE22">
            <v>0</v>
          </cell>
          <cell r="GF22">
            <v>0</v>
          </cell>
          <cell r="GG22">
            <v>0</v>
          </cell>
          <cell r="GH22">
            <v>0</v>
          </cell>
          <cell r="GI22">
            <v>0</v>
          </cell>
          <cell r="GJ22">
            <v>0</v>
          </cell>
          <cell r="GK22">
            <v>0</v>
          </cell>
          <cell r="GL22">
            <v>0</v>
          </cell>
          <cell r="GM22">
            <v>0</v>
          </cell>
        </row>
        <row r="23">
          <cell r="A23" t="str">
            <v>Subcontract - Other</v>
          </cell>
          <cell r="C23">
            <v>0</v>
          </cell>
          <cell r="D23">
            <v>0</v>
          </cell>
          <cell r="E23">
            <v>0</v>
          </cell>
          <cell r="F23" t="str">
            <v>n/a</v>
          </cell>
          <cell r="G23">
            <v>55.972294383900248</v>
          </cell>
          <cell r="H23">
            <v>62.61215</v>
          </cell>
          <cell r="J23">
            <v>0</v>
          </cell>
          <cell r="K23">
            <v>0</v>
          </cell>
          <cell r="L23">
            <v>0</v>
          </cell>
          <cell r="M23" t="str">
            <v>n/a</v>
          </cell>
          <cell r="N23">
            <v>32.045923681487857</v>
          </cell>
          <cell r="O23">
            <v>20.706189999999999</v>
          </cell>
          <cell r="Q23">
            <v>0</v>
          </cell>
          <cell r="R23">
            <v>0</v>
          </cell>
          <cell r="S23">
            <v>0</v>
          </cell>
          <cell r="T23" t="str">
            <v>n/a</v>
          </cell>
          <cell r="U23">
            <v>-0.30635908597511552</v>
          </cell>
          <cell r="V23">
            <v>11.90835</v>
          </cell>
          <cell r="X23">
            <v>0</v>
          </cell>
          <cell r="Y23">
            <v>0</v>
          </cell>
          <cell r="Z23">
            <v>0</v>
          </cell>
          <cell r="AA23" t="str">
            <v>n/a</v>
          </cell>
          <cell r="AB23">
            <v>24.232729788387505</v>
          </cell>
          <cell r="AC23">
            <v>29.997610000000002</v>
          </cell>
          <cell r="AD23">
            <v>2193.9083000000001</v>
          </cell>
          <cell r="AE23">
            <v>1107.9917799999998</v>
          </cell>
          <cell r="AH23">
            <v>28469.57</v>
          </cell>
          <cell r="AI23">
            <v>75481.570000000007</v>
          </cell>
          <cell r="AJ23">
            <v>103421.59</v>
          </cell>
          <cell r="AK23">
            <v>98638.91</v>
          </cell>
          <cell r="AL23">
            <v>82931.23000000001</v>
          </cell>
          <cell r="AM23">
            <v>21130.11</v>
          </cell>
          <cell r="AN23">
            <v>-19495.010000000002</v>
          </cell>
          <cell r="AO23">
            <v>8986.84</v>
          </cell>
          <cell r="AW23">
            <v>47540.990000000005</v>
          </cell>
          <cell r="AX23">
            <v>110517.61</v>
          </cell>
          <cell r="AY23">
            <v>90609.040000000008</v>
          </cell>
          <cell r="AZ23">
            <v>86199.17</v>
          </cell>
          <cell r="BA23">
            <v>106745.36</v>
          </cell>
          <cell r="BB23">
            <v>175535.2</v>
          </cell>
          <cell r="BC23">
            <v>89047.06</v>
          </cell>
          <cell r="BD23">
            <v>56080.14</v>
          </cell>
          <cell r="BL23">
            <v>60801.86</v>
          </cell>
          <cell r="BM23">
            <v>70553.819999999992</v>
          </cell>
          <cell r="BN23">
            <v>174520.87</v>
          </cell>
          <cell r="BO23">
            <v>105729.16</v>
          </cell>
          <cell r="BP23">
            <v>111484.14</v>
          </cell>
          <cell r="BQ23">
            <v>173064.76</v>
          </cell>
          <cell r="BR23">
            <v>67323.760000000009</v>
          </cell>
          <cell r="BS23">
            <v>50872.75</v>
          </cell>
          <cell r="CP23">
            <v>20240</v>
          </cell>
          <cell r="CQ23">
            <v>57600</v>
          </cell>
          <cell r="CR23">
            <v>109112</v>
          </cell>
          <cell r="CS23">
            <v>43688</v>
          </cell>
          <cell r="CT23">
            <v>46552</v>
          </cell>
          <cell r="CU23">
            <v>84336</v>
          </cell>
          <cell r="CV23">
            <v>9680</v>
          </cell>
          <cell r="CW23">
            <v>33120</v>
          </cell>
          <cell r="DE23">
            <v>16560</v>
          </cell>
          <cell r="DF23">
            <v>27360</v>
          </cell>
          <cell r="DG23">
            <v>53544</v>
          </cell>
          <cell r="DH23">
            <v>32852</v>
          </cell>
          <cell r="DI23">
            <v>25944</v>
          </cell>
          <cell r="DJ23">
            <v>207460.00000000003</v>
          </cell>
          <cell r="DK23">
            <v>69900</v>
          </cell>
          <cell r="DL23">
            <v>68300</v>
          </cell>
          <cell r="DT23">
            <v>64492.500000000007</v>
          </cell>
          <cell r="DU23">
            <v>110794.00000000001</v>
          </cell>
          <cell r="DV23">
            <v>154477.4</v>
          </cell>
          <cell r="DW23">
            <v>207203.05</v>
          </cell>
          <cell r="DX23">
            <v>109833.05</v>
          </cell>
          <cell r="DY23">
            <v>82396.349999999991</v>
          </cell>
          <cell r="DZ23">
            <v>64291.600000000006</v>
          </cell>
          <cell r="EA23">
            <v>64243.200000000004</v>
          </cell>
          <cell r="EX23">
            <v>35395.760000000002</v>
          </cell>
          <cell r="EY23">
            <v>39675.229999999996</v>
          </cell>
          <cell r="EZ23">
            <v>80506.790000000008</v>
          </cell>
          <cell r="FA23">
            <v>71550.53</v>
          </cell>
          <cell r="FB23">
            <v>37217.399999999994</v>
          </cell>
          <cell r="FC23">
            <v>4760.8599999999997</v>
          </cell>
          <cell r="FD23">
            <v>15227.6</v>
          </cell>
          <cell r="FE23">
            <v>23472.199999999997</v>
          </cell>
          <cell r="FF23">
            <v>20706.189999999999</v>
          </cell>
          <cell r="FG23">
            <v>48151.850000000006</v>
          </cell>
          <cell r="FH23">
            <v>20850.22</v>
          </cell>
          <cell r="FI23">
            <v>24732.73</v>
          </cell>
          <cell r="FM23">
            <v>6132.54</v>
          </cell>
          <cell r="FN23">
            <v>8993.74</v>
          </cell>
          <cell r="FO23">
            <v>5081.3099999999995</v>
          </cell>
          <cell r="FP23">
            <v>9194.07</v>
          </cell>
          <cell r="FQ23">
            <v>7073.9699999999993</v>
          </cell>
          <cell r="FR23">
            <v>3400.82</v>
          </cell>
          <cell r="FS23">
            <v>1268.27</v>
          </cell>
          <cell r="FT23">
            <v>6943.94</v>
          </cell>
          <cell r="FU23">
            <v>11908.35</v>
          </cell>
          <cell r="FV23">
            <v>27827.67</v>
          </cell>
          <cell r="FW23">
            <v>23121.73</v>
          </cell>
          <cell r="FX23">
            <v>18534.14</v>
          </cell>
          <cell r="GB23">
            <v>7665</v>
          </cell>
          <cell r="GC23">
            <v>13777.55</v>
          </cell>
          <cell r="GD23">
            <v>77718.86</v>
          </cell>
          <cell r="GE23">
            <v>29283.25</v>
          </cell>
          <cell r="GF23">
            <v>42679.48</v>
          </cell>
          <cell r="GG23">
            <v>75117.69</v>
          </cell>
          <cell r="GH23">
            <v>50171.26</v>
          </cell>
          <cell r="GI23">
            <v>66861.09</v>
          </cell>
          <cell r="GJ23">
            <v>29997.61</v>
          </cell>
          <cell r="GK23">
            <v>100425.68</v>
          </cell>
          <cell r="GL23">
            <v>28690.17</v>
          </cell>
          <cell r="GM23">
            <v>33876.230000000003</v>
          </cell>
        </row>
        <row r="24">
          <cell r="A24" t="str">
            <v>Subcontract</v>
          </cell>
          <cell r="C24">
            <v>0</v>
          </cell>
          <cell r="D24">
            <v>0</v>
          </cell>
          <cell r="E24">
            <v>0</v>
          </cell>
          <cell r="F24" t="str">
            <v>n/a</v>
          </cell>
          <cell r="G24">
            <v>98.061914593502479</v>
          </cell>
          <cell r="H24">
            <v>63.527149999999999</v>
          </cell>
          <cell r="J24">
            <v>0</v>
          </cell>
          <cell r="K24">
            <v>0</v>
          </cell>
          <cell r="L24">
            <v>0</v>
          </cell>
          <cell r="M24" t="str">
            <v>n/a</v>
          </cell>
          <cell r="N24">
            <v>66.650724612248638</v>
          </cell>
          <cell r="O24">
            <v>20.706189999999999</v>
          </cell>
          <cell r="Q24">
            <v>0</v>
          </cell>
          <cell r="R24">
            <v>0</v>
          </cell>
          <cell r="S24">
            <v>0</v>
          </cell>
          <cell r="T24" t="str">
            <v>n/a</v>
          </cell>
          <cell r="U24">
            <v>-0.81695756260030805</v>
          </cell>
          <cell r="V24">
            <v>12.823350000000001</v>
          </cell>
          <cell r="X24">
            <v>0</v>
          </cell>
          <cell r="Y24">
            <v>0</v>
          </cell>
          <cell r="Z24">
            <v>0</v>
          </cell>
          <cell r="AA24" t="str">
            <v>n/a</v>
          </cell>
          <cell r="AB24">
            <v>32.228147543854149</v>
          </cell>
          <cell r="AC24">
            <v>29.997610000000002</v>
          </cell>
          <cell r="AD24">
            <v>2390.2310171428571</v>
          </cell>
          <cell r="AE24">
            <v>1129.3896399999999</v>
          </cell>
          <cell r="AH24">
            <v>39049.57</v>
          </cell>
          <cell r="AI24">
            <v>101761.48000000001</v>
          </cell>
          <cell r="AJ24">
            <v>137626.74</v>
          </cell>
          <cell r="AK24">
            <v>134889.41</v>
          </cell>
          <cell r="AL24">
            <v>91396.71</v>
          </cell>
          <cell r="AM24">
            <v>28624.83</v>
          </cell>
          <cell r="AN24">
            <v>-12244.510000000002</v>
          </cell>
          <cell r="AO24">
            <v>15354.84</v>
          </cell>
          <cell r="AP24">
            <v>0</v>
          </cell>
          <cell r="AQ24">
            <v>0</v>
          </cell>
          <cell r="AR24">
            <v>0</v>
          </cell>
          <cell r="AS24">
            <v>0</v>
          </cell>
          <cell r="AW24">
            <v>47540.990000000005</v>
          </cell>
          <cell r="AX24">
            <v>110517.61</v>
          </cell>
          <cell r="AY24">
            <v>90609.040000000008</v>
          </cell>
          <cell r="AZ24">
            <v>86199.17</v>
          </cell>
          <cell r="BA24">
            <v>106745.36</v>
          </cell>
          <cell r="BB24">
            <v>175535.2</v>
          </cell>
          <cell r="BC24">
            <v>89047.06</v>
          </cell>
          <cell r="BD24">
            <v>56080.14</v>
          </cell>
          <cell r="BE24">
            <v>0</v>
          </cell>
          <cell r="BF24">
            <v>0</v>
          </cell>
          <cell r="BG24">
            <v>0</v>
          </cell>
          <cell r="BH24">
            <v>0</v>
          </cell>
          <cell r="BL24">
            <v>60801.86</v>
          </cell>
          <cell r="BM24">
            <v>70553.819999999992</v>
          </cell>
          <cell r="BN24">
            <v>174520.87</v>
          </cell>
          <cell r="BO24">
            <v>105729.16</v>
          </cell>
          <cell r="BP24">
            <v>111484.14</v>
          </cell>
          <cell r="BQ24">
            <v>173064.76</v>
          </cell>
          <cell r="BR24">
            <v>67323.760000000009</v>
          </cell>
          <cell r="BS24">
            <v>50872.75</v>
          </cell>
          <cell r="BT24">
            <v>0</v>
          </cell>
          <cell r="BU24">
            <v>0</v>
          </cell>
          <cell r="BV24">
            <v>0</v>
          </cell>
          <cell r="BW24">
            <v>0</v>
          </cell>
          <cell r="CP24">
            <v>20240</v>
          </cell>
          <cell r="CQ24">
            <v>57600</v>
          </cell>
          <cell r="CR24">
            <v>141527.74857142856</v>
          </cell>
          <cell r="CS24">
            <v>74206.85714285713</v>
          </cell>
          <cell r="CT24">
            <v>63266.28571428571</v>
          </cell>
          <cell r="CU24">
            <v>108978.85714285714</v>
          </cell>
          <cell r="CV24">
            <v>16751.428571428572</v>
          </cell>
          <cell r="CW24">
            <v>44763.680952380957</v>
          </cell>
          <cell r="CX24">
            <v>0</v>
          </cell>
          <cell r="CY24">
            <v>0</v>
          </cell>
          <cell r="CZ24">
            <v>0</v>
          </cell>
          <cell r="DA24">
            <v>0</v>
          </cell>
          <cell r="DE24">
            <v>16560</v>
          </cell>
          <cell r="DF24">
            <v>27360</v>
          </cell>
          <cell r="DG24">
            <v>53544</v>
          </cell>
          <cell r="DH24">
            <v>32852</v>
          </cell>
          <cell r="DI24">
            <v>25944</v>
          </cell>
          <cell r="DJ24">
            <v>207460.00000000003</v>
          </cell>
          <cell r="DK24">
            <v>69900</v>
          </cell>
          <cell r="DL24">
            <v>68300</v>
          </cell>
          <cell r="DM24">
            <v>0</v>
          </cell>
          <cell r="DN24">
            <v>0</v>
          </cell>
          <cell r="DO24">
            <v>0</v>
          </cell>
          <cell r="DP24">
            <v>0</v>
          </cell>
          <cell r="DT24">
            <v>64492.500000000007</v>
          </cell>
          <cell r="DU24">
            <v>110794.00000000001</v>
          </cell>
          <cell r="DV24">
            <v>157825.13999999998</v>
          </cell>
          <cell r="DW24">
            <v>212096.78999999998</v>
          </cell>
          <cell r="DX24">
            <v>109833.05</v>
          </cell>
          <cell r="DY24">
            <v>82396.349999999991</v>
          </cell>
          <cell r="DZ24">
            <v>64291.600000000006</v>
          </cell>
          <cell r="EA24">
            <v>64243.200000000004</v>
          </cell>
          <cell r="EB24">
            <v>0</v>
          </cell>
          <cell r="EC24">
            <v>0</v>
          </cell>
          <cell r="ED24">
            <v>0</v>
          </cell>
          <cell r="EE24">
            <v>0</v>
          </cell>
          <cell r="EX24">
            <v>35395.760000000002</v>
          </cell>
          <cell r="EY24">
            <v>39675.229999999996</v>
          </cell>
          <cell r="EZ24">
            <v>80506.790000000008</v>
          </cell>
          <cell r="FA24">
            <v>71550.53</v>
          </cell>
          <cell r="FB24">
            <v>37217.399999999994</v>
          </cell>
          <cell r="FC24">
            <v>4760.8599999999997</v>
          </cell>
          <cell r="FD24">
            <v>15227.6</v>
          </cell>
          <cell r="FE24">
            <v>23472.199999999997</v>
          </cell>
          <cell r="FF24">
            <v>20706.189999999999</v>
          </cell>
          <cell r="FG24">
            <v>53719.850000000006</v>
          </cell>
          <cell r="FH24">
            <v>23262.22</v>
          </cell>
          <cell r="FI24">
            <v>37235.589999999997</v>
          </cell>
          <cell r="FM24">
            <v>6132.54</v>
          </cell>
          <cell r="FN24">
            <v>8993.74</v>
          </cell>
          <cell r="FO24">
            <v>5081.3099999999995</v>
          </cell>
          <cell r="FP24">
            <v>9194.07</v>
          </cell>
          <cell r="FQ24">
            <v>7073.9699999999993</v>
          </cell>
          <cell r="FR24">
            <v>3400.82</v>
          </cell>
          <cell r="FS24">
            <v>1268.27</v>
          </cell>
          <cell r="FT24">
            <v>6943.94</v>
          </cell>
          <cell r="FU24">
            <v>12823.35</v>
          </cell>
          <cell r="FV24">
            <v>27827.67</v>
          </cell>
          <cell r="FW24">
            <v>23121.73</v>
          </cell>
          <cell r="FX24">
            <v>18534.14</v>
          </cell>
          <cell r="GB24">
            <v>7665</v>
          </cell>
          <cell r="GC24">
            <v>13777.55</v>
          </cell>
          <cell r="GD24">
            <v>77718.86</v>
          </cell>
          <cell r="GE24">
            <v>29283.25</v>
          </cell>
          <cell r="GF24">
            <v>42679.48</v>
          </cell>
          <cell r="GG24">
            <v>75117.69</v>
          </cell>
          <cell r="GH24">
            <v>50171.26</v>
          </cell>
          <cell r="GI24">
            <v>66861.09</v>
          </cell>
          <cell r="GJ24">
            <v>29997.61</v>
          </cell>
          <cell r="GK24">
            <v>100425.68</v>
          </cell>
          <cell r="GL24">
            <v>28690.17</v>
          </cell>
          <cell r="GM24">
            <v>33876.230000000003</v>
          </cell>
        </row>
        <row r="26">
          <cell r="A26" t="str">
            <v>Value-Added</v>
          </cell>
          <cell r="C26">
            <v>0</v>
          </cell>
          <cell r="D26">
            <v>0</v>
          </cell>
          <cell r="E26">
            <v>0</v>
          </cell>
          <cell r="F26" t="str">
            <v>n/a</v>
          </cell>
          <cell r="G26">
            <v>1087.1499418489961</v>
          </cell>
          <cell r="H26">
            <v>656.86032999999998</v>
          </cell>
          <cell r="J26">
            <v>0</v>
          </cell>
          <cell r="K26">
            <v>0</v>
          </cell>
          <cell r="L26">
            <v>0</v>
          </cell>
          <cell r="M26" t="str">
            <v>n/a</v>
          </cell>
          <cell r="N26">
            <v>763.8233435894374</v>
          </cell>
          <cell r="O26">
            <v>500.62148000000002</v>
          </cell>
          <cell r="Q26">
            <v>0</v>
          </cell>
          <cell r="R26">
            <v>0</v>
          </cell>
          <cell r="S26">
            <v>0</v>
          </cell>
          <cell r="T26" t="str">
            <v>n/a</v>
          </cell>
          <cell r="U26">
            <v>202.80671428295517</v>
          </cell>
          <cell r="V26">
            <v>74.067949999999996</v>
          </cell>
          <cell r="X26">
            <v>0</v>
          </cell>
          <cell r="Y26">
            <v>0</v>
          </cell>
          <cell r="Z26">
            <v>0</v>
          </cell>
          <cell r="AA26" t="str">
            <v>n/a</v>
          </cell>
          <cell r="AB26">
            <v>120.51988397660334</v>
          </cell>
          <cell r="AC26">
            <v>82.170899999999989</v>
          </cell>
          <cell r="AD26">
            <v>12625.522052857141</v>
          </cell>
          <cell r="AE26">
            <v>11655.73775</v>
          </cell>
          <cell r="AH26">
            <v>594344.26000000013</v>
          </cell>
          <cell r="AI26">
            <v>703110.1399999999</v>
          </cell>
          <cell r="AJ26">
            <v>1378463.8399999999</v>
          </cell>
          <cell r="AK26">
            <v>947918.46000000008</v>
          </cell>
          <cell r="AL26">
            <v>1034155.19</v>
          </cell>
          <cell r="AM26">
            <v>1416223.9499999997</v>
          </cell>
          <cell r="AN26">
            <v>801176.89</v>
          </cell>
          <cell r="AO26">
            <v>721362.39</v>
          </cell>
          <cell r="AP26">
            <v>0</v>
          </cell>
          <cell r="AQ26">
            <v>0</v>
          </cell>
          <cell r="AR26">
            <v>0</v>
          </cell>
          <cell r="AS26">
            <v>0</v>
          </cell>
          <cell r="AW26">
            <v>165567.01</v>
          </cell>
          <cell r="AX26">
            <v>90049.83</v>
          </cell>
          <cell r="AY26">
            <v>210995.02</v>
          </cell>
          <cell r="AZ26">
            <v>230475.91999999998</v>
          </cell>
          <cell r="BA26">
            <v>176896.05000000005</v>
          </cell>
          <cell r="BB26">
            <v>47167.929999999993</v>
          </cell>
          <cell r="BC26">
            <v>68771.110000000015</v>
          </cell>
          <cell r="BD26">
            <v>105429.71</v>
          </cell>
          <cell r="BE26">
            <v>0</v>
          </cell>
          <cell r="BF26">
            <v>0</v>
          </cell>
          <cell r="BG26">
            <v>0</v>
          </cell>
          <cell r="BH26">
            <v>0</v>
          </cell>
          <cell r="BL26">
            <v>201096.91999999998</v>
          </cell>
          <cell r="BM26">
            <v>91795.60000000002</v>
          </cell>
          <cell r="BN26">
            <v>13043.050000000017</v>
          </cell>
          <cell r="BO26">
            <v>-128.39000000001397</v>
          </cell>
          <cell r="BP26">
            <v>190258.38</v>
          </cell>
          <cell r="BQ26">
            <v>368584.48</v>
          </cell>
          <cell r="BR26">
            <v>103577.95999999999</v>
          </cell>
          <cell r="BS26">
            <v>138057.01</v>
          </cell>
          <cell r="BT26">
            <v>0</v>
          </cell>
          <cell r="BU26">
            <v>0</v>
          </cell>
          <cell r="BV26">
            <v>0</v>
          </cell>
          <cell r="BW26">
            <v>0</v>
          </cell>
          <cell r="CP26">
            <v>802147.47270399996</v>
          </cell>
          <cell r="CQ26">
            <v>829083.26656000002</v>
          </cell>
          <cell r="CR26">
            <v>1229607.5173485714</v>
          </cell>
          <cell r="CS26">
            <v>1003636.1428571428</v>
          </cell>
          <cell r="CT26">
            <v>788715.71428571432</v>
          </cell>
          <cell r="CU26">
            <v>859310.43485714286</v>
          </cell>
          <cell r="CV26">
            <v>599376.57142857148</v>
          </cell>
          <cell r="CW26">
            <v>663202.71904761903</v>
          </cell>
          <cell r="CX26">
            <v>0</v>
          </cell>
          <cell r="CY26">
            <v>0</v>
          </cell>
          <cell r="CZ26">
            <v>0</v>
          </cell>
          <cell r="DA26">
            <v>0</v>
          </cell>
          <cell r="DE26">
            <v>118113.40000000002</v>
          </cell>
          <cell r="DF26">
            <v>237254</v>
          </cell>
          <cell r="DG26">
            <v>250456</v>
          </cell>
          <cell r="DH26">
            <v>243148</v>
          </cell>
          <cell r="DI26">
            <v>165056</v>
          </cell>
          <cell r="DJ26">
            <v>150539.99999999997</v>
          </cell>
          <cell r="DK26">
            <v>116100</v>
          </cell>
          <cell r="DL26">
            <v>152700</v>
          </cell>
          <cell r="DM26">
            <v>0</v>
          </cell>
          <cell r="DN26">
            <v>0</v>
          </cell>
          <cell r="DO26">
            <v>0</v>
          </cell>
          <cell r="DP26">
            <v>0</v>
          </cell>
          <cell r="DT26">
            <v>193477.50000000003</v>
          </cell>
          <cell r="DU26">
            <v>65675.999999999985</v>
          </cell>
          <cell r="DV26">
            <v>9561.8600000000151</v>
          </cell>
          <cell r="DW26">
            <v>32590.210000000021</v>
          </cell>
          <cell r="DX26">
            <v>339053.95</v>
          </cell>
          <cell r="DY26">
            <v>316221.65000000002</v>
          </cell>
          <cell r="DZ26">
            <v>151540.39999999997</v>
          </cell>
          <cell r="EA26">
            <v>143188.79999999999</v>
          </cell>
          <cell r="EB26">
            <v>0</v>
          </cell>
          <cell r="EC26">
            <v>0</v>
          </cell>
          <cell r="ED26">
            <v>0</v>
          </cell>
          <cell r="EE26">
            <v>0</v>
          </cell>
          <cell r="EX26">
            <v>710468.67</v>
          </cell>
          <cell r="EY26">
            <v>676143.89</v>
          </cell>
          <cell r="EZ26">
            <v>1309685.3600000001</v>
          </cell>
          <cell r="FA26">
            <v>695927.2699999999</v>
          </cell>
          <cell r="FB26">
            <v>949621.47999999986</v>
          </cell>
          <cell r="FC26">
            <v>1228742.3299999998</v>
          </cell>
          <cell r="FD26">
            <v>331095.26</v>
          </cell>
          <cell r="FE26">
            <v>432072.97000000003</v>
          </cell>
          <cell r="FF26">
            <v>500621.48000000004</v>
          </cell>
          <cell r="FG26">
            <v>639331.02000000014</v>
          </cell>
          <cell r="FH26">
            <v>669699.82999999996</v>
          </cell>
          <cell r="FI26">
            <v>682457.58000000007</v>
          </cell>
          <cell r="FM26">
            <v>80188.700000000012</v>
          </cell>
          <cell r="FN26">
            <v>57713.26</v>
          </cell>
          <cell r="FO26">
            <v>121686.12</v>
          </cell>
          <cell r="FP26">
            <v>45564.43</v>
          </cell>
          <cell r="FQ26">
            <v>20576.03</v>
          </cell>
          <cell r="FR26">
            <v>12211.68</v>
          </cell>
          <cell r="FS26">
            <v>19856.13</v>
          </cell>
          <cell r="FT26">
            <v>47718.06</v>
          </cell>
          <cell r="FU26">
            <v>74067.95</v>
          </cell>
          <cell r="FV26">
            <v>76846.23</v>
          </cell>
          <cell r="FW26">
            <v>65524.770000000004</v>
          </cell>
          <cell r="FX26">
            <v>91961.919999999998</v>
          </cell>
          <cell r="GB26">
            <v>116867.41</v>
          </cell>
          <cell r="GC26">
            <v>166187.36000000002</v>
          </cell>
          <cell r="GD26">
            <v>254690.95</v>
          </cell>
          <cell r="GE26">
            <v>206267.16</v>
          </cell>
          <cell r="GF26">
            <v>255218.34</v>
          </cell>
          <cell r="GG26">
            <v>294105.40999999997</v>
          </cell>
          <cell r="GH26">
            <v>192007.88999999998</v>
          </cell>
          <cell r="GI26">
            <v>119243.98999999999</v>
          </cell>
          <cell r="GJ26">
            <v>82170.899999999994</v>
          </cell>
          <cell r="GK26">
            <v>84793.68</v>
          </cell>
          <cell r="GL26">
            <v>183133.61</v>
          </cell>
          <cell r="GM26">
            <v>161268.62999999998</v>
          </cell>
        </row>
        <row r="28">
          <cell r="A28" t="str">
            <v>Labor - Direct</v>
          </cell>
          <cell r="C28">
            <v>0</v>
          </cell>
          <cell r="D28">
            <v>0</v>
          </cell>
          <cell r="E28">
            <v>0</v>
          </cell>
          <cell r="F28" t="str">
            <v>n/a</v>
          </cell>
          <cell r="G28">
            <v>277.19621766221536</v>
          </cell>
          <cell r="H28">
            <v>252.71532999999999</v>
          </cell>
          <cell r="J28">
            <v>0</v>
          </cell>
          <cell r="K28">
            <v>0</v>
          </cell>
          <cell r="L28">
            <v>0</v>
          </cell>
          <cell r="M28" t="str">
            <v>n/a</v>
          </cell>
          <cell r="N28">
            <v>225.55257369119997</v>
          </cell>
          <cell r="O28">
            <v>207.68746999999999</v>
          </cell>
          <cell r="Q28">
            <v>0</v>
          </cell>
          <cell r="R28">
            <v>0</v>
          </cell>
          <cell r="S28">
            <v>0</v>
          </cell>
          <cell r="T28" t="str">
            <v>n/a</v>
          </cell>
          <cell r="U28">
            <v>25.600413591415386</v>
          </cell>
          <cell r="V28">
            <v>11.990310000000001</v>
          </cell>
          <cell r="X28">
            <v>0</v>
          </cell>
          <cell r="Y28">
            <v>0</v>
          </cell>
          <cell r="Z28">
            <v>0</v>
          </cell>
          <cell r="AA28" t="str">
            <v>n/a</v>
          </cell>
          <cell r="AB28">
            <v>26.043230379600001</v>
          </cell>
          <cell r="AC28">
            <v>33.037550000000003</v>
          </cell>
          <cell r="AD28">
            <v>3332.8038575398182</v>
          </cell>
          <cell r="AE28">
            <v>3267.4444009999997</v>
          </cell>
          <cell r="AH28">
            <v>212272.5</v>
          </cell>
          <cell r="AI28">
            <v>208092.22</v>
          </cell>
          <cell r="AJ28">
            <v>240544.58999999997</v>
          </cell>
          <cell r="AK28">
            <v>238376.41399999999</v>
          </cell>
          <cell r="AL28">
            <v>247264.22</v>
          </cell>
          <cell r="AM28">
            <v>217194.78400000004</v>
          </cell>
          <cell r="AN28">
            <v>192576.09050000008</v>
          </cell>
          <cell r="AO28">
            <v>209583.56600000002</v>
          </cell>
          <cell r="AW28">
            <v>31140.58</v>
          </cell>
          <cell r="AX28">
            <v>31738.829999999998</v>
          </cell>
          <cell r="AY28">
            <v>34425.94</v>
          </cell>
          <cell r="AZ28">
            <v>27493.108</v>
          </cell>
          <cell r="BA28">
            <v>39998.71</v>
          </cell>
          <cell r="BB28">
            <v>20761.118000000002</v>
          </cell>
          <cell r="BC28">
            <v>26550.806</v>
          </cell>
          <cell r="BD28">
            <v>28186.452000000001</v>
          </cell>
          <cell r="BL28">
            <v>30832.55</v>
          </cell>
          <cell r="BM28">
            <v>24286.86</v>
          </cell>
          <cell r="BN28">
            <v>29193.58</v>
          </cell>
          <cell r="BO28">
            <v>27523.318000000003</v>
          </cell>
          <cell r="BP28">
            <v>32723.149999999998</v>
          </cell>
          <cell r="BQ28">
            <v>30595.828000000001</v>
          </cell>
          <cell r="BR28">
            <v>31815.006000000001</v>
          </cell>
          <cell r="BS28">
            <v>25464.892</v>
          </cell>
          <cell r="CP28">
            <v>266340.6597448801</v>
          </cell>
          <cell r="CQ28">
            <v>220571.97494400002</v>
          </cell>
          <cell r="CR28">
            <v>259065.0396204</v>
          </cell>
          <cell r="CS28">
            <v>269659.90376997006</v>
          </cell>
          <cell r="CT28">
            <v>293789.75755080004</v>
          </cell>
          <cell r="CU28">
            <v>257868.82211159996</v>
          </cell>
          <cell r="CV28">
            <v>222409.84187839995</v>
          </cell>
          <cell r="CW28">
            <v>219144.86530140002</v>
          </cell>
          <cell r="DE28">
            <v>39148.77563012769</v>
          </cell>
          <cell r="DF28">
            <v>32421.346277538461</v>
          </cell>
          <cell r="DG28">
            <v>32663.304711476929</v>
          </cell>
          <cell r="DH28">
            <v>24987.690761540773</v>
          </cell>
          <cell r="DI28">
            <v>33018.920096092304</v>
          </cell>
          <cell r="DJ28">
            <v>30230.18149910769</v>
          </cell>
          <cell r="DK28">
            <v>27151.349542646156</v>
          </cell>
          <cell r="DL28">
            <v>27856.801322876927</v>
          </cell>
          <cell r="DT28">
            <v>29949.71493654</v>
          </cell>
          <cell r="DU28">
            <v>24803.076551999999</v>
          </cell>
          <cell r="DV28">
            <v>29145.011623199996</v>
          </cell>
          <cell r="DW28">
            <v>29738.968560000005</v>
          </cell>
          <cell r="DX28">
            <v>33679.175999999999</v>
          </cell>
          <cell r="DY28">
            <v>30750.552000000003</v>
          </cell>
          <cell r="DZ28">
            <v>30130.495999999999</v>
          </cell>
          <cell r="EA28">
            <v>22589.591799600003</v>
          </cell>
          <cell r="EX28">
            <v>190244.77</v>
          </cell>
          <cell r="EY28">
            <v>214537.45299999998</v>
          </cell>
          <cell r="EZ28">
            <v>269958.06799999997</v>
          </cell>
          <cell r="FA28">
            <v>215823.59999999998</v>
          </cell>
          <cell r="FB28">
            <v>210183.66</v>
          </cell>
          <cell r="FC28">
            <v>235428.73</v>
          </cell>
          <cell r="FD28">
            <v>239961.53</v>
          </cell>
          <cell r="FE28">
            <v>205954.13</v>
          </cell>
          <cell r="FF28">
            <v>207687.47</v>
          </cell>
          <cell r="FG28">
            <v>219208.31</v>
          </cell>
          <cell r="FH28">
            <v>229058.655</v>
          </cell>
          <cell r="FI28">
            <v>205719.58000000002</v>
          </cell>
          <cell r="FM28">
            <v>17083.2</v>
          </cell>
          <cell r="FN28">
            <v>15743.930000000002</v>
          </cell>
          <cell r="FO28">
            <v>24488.159999999996</v>
          </cell>
          <cell r="FP28">
            <v>25647.5</v>
          </cell>
          <cell r="FQ28">
            <v>18168.300000000003</v>
          </cell>
          <cell r="FR28">
            <v>22136.25</v>
          </cell>
          <cell r="FS28">
            <v>16299.99</v>
          </cell>
          <cell r="FT28">
            <v>15455.83</v>
          </cell>
          <cell r="FU28">
            <v>11990.310000000001</v>
          </cell>
          <cell r="FV28">
            <v>14868.25</v>
          </cell>
          <cell r="FW28">
            <v>19130.866999999998</v>
          </cell>
          <cell r="FX28">
            <v>27789.870000000003</v>
          </cell>
          <cell r="GB28">
            <v>29271.48</v>
          </cell>
          <cell r="GC28">
            <v>27414.799999999999</v>
          </cell>
          <cell r="GD28">
            <v>40080.910000000003</v>
          </cell>
          <cell r="GE28">
            <v>37790.049999999996</v>
          </cell>
          <cell r="GF28">
            <v>38182.22</v>
          </cell>
          <cell r="GG28">
            <v>32240.199999999997</v>
          </cell>
          <cell r="GH28">
            <v>24632.85</v>
          </cell>
          <cell r="GI28">
            <v>38815.859999999993</v>
          </cell>
          <cell r="GJ28">
            <v>33037.550000000003</v>
          </cell>
          <cell r="GK28">
            <v>35125.43</v>
          </cell>
          <cell r="GL28">
            <v>35554.048000000003</v>
          </cell>
          <cell r="GM28">
            <v>22730.59</v>
          </cell>
        </row>
        <row r="29">
          <cell r="A29" t="str">
            <v>Labor - Supervisory Direct</v>
          </cell>
          <cell r="C29">
            <v>0</v>
          </cell>
          <cell r="D29">
            <v>0</v>
          </cell>
          <cell r="E29">
            <v>0</v>
          </cell>
          <cell r="F29" t="str">
            <v>n/a</v>
          </cell>
          <cell r="G29">
            <v>72.101254629599993</v>
          </cell>
          <cell r="H29">
            <v>74.661709999999999</v>
          </cell>
          <cell r="J29">
            <v>0</v>
          </cell>
          <cell r="K29">
            <v>0</v>
          </cell>
          <cell r="L29">
            <v>0</v>
          </cell>
          <cell r="M29" t="str">
            <v>n/a</v>
          </cell>
          <cell r="N29">
            <v>48.966927836399996</v>
          </cell>
          <cell r="O29">
            <v>50.260390000000001</v>
          </cell>
          <cell r="Q29">
            <v>0</v>
          </cell>
          <cell r="R29">
            <v>0</v>
          </cell>
          <cell r="S29">
            <v>0</v>
          </cell>
          <cell r="T29" t="str">
            <v>n/a</v>
          </cell>
          <cell r="U29">
            <v>13.7994232068</v>
          </cell>
          <cell r="V29">
            <v>14.24953</v>
          </cell>
          <cell r="X29">
            <v>0</v>
          </cell>
          <cell r="Y29">
            <v>0</v>
          </cell>
          <cell r="Z29">
            <v>0</v>
          </cell>
          <cell r="AA29" t="str">
            <v>n/a</v>
          </cell>
          <cell r="AB29">
            <v>9.3349035863999994</v>
          </cell>
          <cell r="AC29">
            <v>10.15179</v>
          </cell>
          <cell r="AD29">
            <v>889.24860085216005</v>
          </cell>
          <cell r="AE29">
            <v>887.29453999999998</v>
          </cell>
          <cell r="AH29">
            <v>60614.49</v>
          </cell>
          <cell r="AI29">
            <v>48556.74</v>
          </cell>
          <cell r="AJ29">
            <v>59640.33</v>
          </cell>
          <cell r="AK29">
            <v>40724.449999999997</v>
          </cell>
          <cell r="AL29">
            <v>58844.92</v>
          </cell>
          <cell r="AM29">
            <v>45985.01</v>
          </cell>
          <cell r="AN29">
            <v>48299.89</v>
          </cell>
          <cell r="AO29">
            <v>46071.64</v>
          </cell>
          <cell r="AW29">
            <v>15469.6</v>
          </cell>
          <cell r="AX29">
            <v>13831.75</v>
          </cell>
          <cell r="AY29">
            <v>15352.28</v>
          </cell>
          <cell r="AZ29">
            <v>14485.83</v>
          </cell>
          <cell r="BA29">
            <v>15982.3</v>
          </cell>
          <cell r="BB29">
            <v>14485.83</v>
          </cell>
          <cell r="BC29">
            <v>13601.26</v>
          </cell>
          <cell r="BD29">
            <v>15982.3</v>
          </cell>
          <cell r="BL29">
            <v>9520.7800000000007</v>
          </cell>
          <cell r="BM29">
            <v>8081.31</v>
          </cell>
          <cell r="BN29">
            <v>10599.1</v>
          </cell>
          <cell r="BO29">
            <v>9714.4500000000007</v>
          </cell>
          <cell r="BP29">
            <v>10811.96</v>
          </cell>
          <cell r="BQ29">
            <v>9246.7000000000007</v>
          </cell>
          <cell r="BR29">
            <v>10241.92</v>
          </cell>
          <cell r="BS29">
            <v>10811.96</v>
          </cell>
          <cell r="CP29">
            <v>56311.967011860012</v>
          </cell>
          <cell r="CQ29">
            <v>46635.169367999995</v>
          </cell>
          <cell r="CR29">
            <v>53630.444773199997</v>
          </cell>
          <cell r="CS29">
            <v>53155.754487990002</v>
          </cell>
          <cell r="CT29">
            <v>54156.471903599995</v>
          </cell>
          <cell r="CU29">
            <v>49732.813090799995</v>
          </cell>
          <cell r="CV29">
            <v>48731.323132800011</v>
          </cell>
          <cell r="CW29">
            <v>50778.503501399995</v>
          </cell>
          <cell r="DE29">
            <v>15869.336687819998</v>
          </cell>
          <cell r="DF29">
            <v>13142.307816</v>
          </cell>
          <cell r="DG29">
            <v>18793.653988400001</v>
          </cell>
          <cell r="DH29">
            <v>14834.379947310001</v>
          </cell>
          <cell r="DI29">
            <v>15113.653988400001</v>
          </cell>
          <cell r="DJ29">
            <v>13799.423206799998</v>
          </cell>
          <cell r="DK29">
            <v>13521.5385888</v>
          </cell>
          <cell r="DL29">
            <v>13872.980899800001</v>
          </cell>
          <cell r="DT29">
            <v>10735.139124359999</v>
          </cell>
          <cell r="DU29">
            <v>8890.3843679999991</v>
          </cell>
          <cell r="DV29">
            <v>10223.942023199999</v>
          </cell>
          <cell r="DW29">
            <v>10035.02135538</v>
          </cell>
          <cell r="DX29">
            <v>10223.942023199999</v>
          </cell>
          <cell r="DY29">
            <v>9334.9035863999998</v>
          </cell>
          <cell r="DZ29">
            <v>9146.922822399998</v>
          </cell>
          <cell r="EA29">
            <v>9384.6632003999985</v>
          </cell>
          <cell r="EX29">
            <v>43520.23</v>
          </cell>
          <cell r="EY29">
            <v>47575.519999999997</v>
          </cell>
          <cell r="EZ29">
            <v>55377.67</v>
          </cell>
          <cell r="FA29">
            <v>45848.32</v>
          </cell>
          <cell r="FB29">
            <v>46309.56</v>
          </cell>
          <cell r="FC29">
            <v>52650.43</v>
          </cell>
          <cell r="FD29">
            <v>60091.65</v>
          </cell>
          <cell r="FE29">
            <v>48228.61</v>
          </cell>
          <cell r="FF29">
            <v>50260.39</v>
          </cell>
          <cell r="FG29">
            <v>48943.91</v>
          </cell>
          <cell r="FH29">
            <v>51107.63</v>
          </cell>
          <cell r="FI29">
            <v>47598.83</v>
          </cell>
          <cell r="FM29">
            <v>12713.2</v>
          </cell>
          <cell r="FN29">
            <v>11142.17</v>
          </cell>
          <cell r="FO29">
            <v>15376.77</v>
          </cell>
          <cell r="FP29">
            <v>14731.23</v>
          </cell>
          <cell r="FQ29">
            <v>12267.23</v>
          </cell>
          <cell r="FR29">
            <v>16713.689999999999</v>
          </cell>
          <cell r="FS29">
            <v>12988.99</v>
          </cell>
          <cell r="FT29">
            <v>17496.810000000001</v>
          </cell>
          <cell r="FU29">
            <v>14249.53</v>
          </cell>
          <cell r="FV29">
            <v>14830.77</v>
          </cell>
          <cell r="FW29">
            <v>14384.61</v>
          </cell>
          <cell r="FX29">
            <v>13413.88</v>
          </cell>
          <cell r="GB29">
            <v>13559.35</v>
          </cell>
          <cell r="GC29">
            <v>7256.71</v>
          </cell>
          <cell r="GD29">
            <v>10425.85</v>
          </cell>
          <cell r="GE29">
            <v>10677.36</v>
          </cell>
          <cell r="GF29">
            <v>8759.61</v>
          </cell>
          <cell r="GG29">
            <v>9718.14</v>
          </cell>
          <cell r="GH29">
            <v>7627.21</v>
          </cell>
          <cell r="GI29">
            <v>11948.87</v>
          </cell>
          <cell r="GJ29">
            <v>10151.790000000001</v>
          </cell>
          <cell r="GK29">
            <v>10543.14</v>
          </cell>
          <cell r="GL29">
            <v>9730.7800000000007</v>
          </cell>
          <cell r="GM29">
            <v>9074.1</v>
          </cell>
        </row>
        <row r="30">
          <cell r="A30" t="str">
            <v>Labor - Indirect</v>
          </cell>
          <cell r="C30">
            <v>0</v>
          </cell>
          <cell r="D30">
            <v>0</v>
          </cell>
          <cell r="E30">
            <v>0</v>
          </cell>
          <cell r="F30" t="str">
            <v>n/a</v>
          </cell>
          <cell r="G30">
            <v>97.999410376097359</v>
          </cell>
          <cell r="H30">
            <v>67.245269999999991</v>
          </cell>
          <cell r="J30">
            <v>0</v>
          </cell>
          <cell r="K30">
            <v>0</v>
          </cell>
          <cell r="L30">
            <v>0</v>
          </cell>
          <cell r="M30" t="str">
            <v>n/a</v>
          </cell>
          <cell r="N30">
            <v>50.749299799265579</v>
          </cell>
          <cell r="O30">
            <v>23.366869999999999</v>
          </cell>
          <cell r="Q30">
            <v>0</v>
          </cell>
          <cell r="R30">
            <v>0</v>
          </cell>
          <cell r="S30">
            <v>0</v>
          </cell>
          <cell r="T30" t="str">
            <v>n/a</v>
          </cell>
          <cell r="U30">
            <v>12.772176480037942</v>
          </cell>
          <cell r="V30">
            <v>7.6339899999999998</v>
          </cell>
          <cell r="X30">
            <v>0</v>
          </cell>
          <cell r="Y30">
            <v>0</v>
          </cell>
          <cell r="Z30">
            <v>0</v>
          </cell>
          <cell r="AA30" t="str">
            <v>n/a</v>
          </cell>
          <cell r="AB30">
            <v>34.477934096793838</v>
          </cell>
          <cell r="AC30">
            <v>36.244409999999995</v>
          </cell>
          <cell r="AD30">
            <v>1056.3430772880454</v>
          </cell>
          <cell r="AE30">
            <v>772.35941999999989</v>
          </cell>
          <cell r="AH30">
            <v>46514.11</v>
          </cell>
          <cell r="AI30">
            <v>36578.74</v>
          </cell>
          <cell r="AJ30">
            <v>46407.72</v>
          </cell>
          <cell r="AK30">
            <v>31829.020000000004</v>
          </cell>
          <cell r="AL30">
            <v>35791.25</v>
          </cell>
          <cell r="AM30">
            <v>47490.549999999988</v>
          </cell>
          <cell r="AN30">
            <v>52876.32</v>
          </cell>
          <cell r="AO30">
            <v>31101.06</v>
          </cell>
          <cell r="AW30">
            <v>8455.6899999999987</v>
          </cell>
          <cell r="AX30">
            <v>8184.47</v>
          </cell>
          <cell r="AY30">
            <v>12193.47</v>
          </cell>
          <cell r="AZ30">
            <v>19349.43</v>
          </cell>
          <cell r="BA30">
            <v>25757.03</v>
          </cell>
          <cell r="BB30">
            <v>13304.359999999999</v>
          </cell>
          <cell r="BC30">
            <v>11143.06</v>
          </cell>
          <cell r="BD30">
            <v>12148.93</v>
          </cell>
          <cell r="BL30">
            <v>33468.840000000004</v>
          </cell>
          <cell r="BM30">
            <v>34936.699999999997</v>
          </cell>
          <cell r="BN30">
            <v>39668.42</v>
          </cell>
          <cell r="BO30">
            <v>43207.39</v>
          </cell>
          <cell r="BP30">
            <v>43762.9</v>
          </cell>
          <cell r="BQ30">
            <v>37309.079999999994</v>
          </cell>
          <cell r="BR30">
            <v>31173.85</v>
          </cell>
          <cell r="BS30">
            <v>34114.94</v>
          </cell>
          <cell r="CP30">
            <v>46728.017329108596</v>
          </cell>
          <cell r="CQ30">
            <v>36243.073563856677</v>
          </cell>
          <cell r="CR30">
            <v>51406.771051674034</v>
          </cell>
          <cell r="CS30">
            <v>38999.81375752297</v>
          </cell>
          <cell r="CT30">
            <v>40313.470614505692</v>
          </cell>
          <cell r="CU30">
            <v>36807.951430635636</v>
          </cell>
          <cell r="CV30">
            <v>36183.744760545655</v>
          </cell>
          <cell r="CW30">
            <v>37383.517308403279</v>
          </cell>
          <cell r="DE30">
            <v>14375.502952043633</v>
          </cell>
          <cell r="DF30">
            <v>12373.067879051801</v>
          </cell>
          <cell r="DG30">
            <v>17746.680324819637</v>
          </cell>
          <cell r="DH30">
            <v>15587.395547139062</v>
          </cell>
          <cell r="DI30">
            <v>15934.008419424888</v>
          </cell>
          <cell r="DJ30">
            <v>14729.601890199536</v>
          </cell>
          <cell r="DK30">
            <v>14470.922943690846</v>
          </cell>
          <cell r="DL30">
            <v>14791.683946975383</v>
          </cell>
          <cell r="DT30">
            <v>39649.624211312919</v>
          </cell>
          <cell r="DU30">
            <v>32834.020095338186</v>
          </cell>
          <cell r="DV30">
            <v>41300.684301292262</v>
          </cell>
          <cell r="DW30">
            <v>40031.379887871313</v>
          </cell>
          <cell r="DX30">
            <v>40870.438787402745</v>
          </cell>
          <cell r="DY30">
            <v>37316.487588498159</v>
          </cell>
          <cell r="DZ30">
            <v>29127.63399149683</v>
          </cell>
          <cell r="EA30">
            <v>27232.345750754666</v>
          </cell>
          <cell r="EX30">
            <v>20932.48</v>
          </cell>
          <cell r="EY30">
            <v>24213.71</v>
          </cell>
          <cell r="EZ30">
            <v>26714.41</v>
          </cell>
          <cell r="FA30">
            <v>22595.07</v>
          </cell>
          <cell r="FB30">
            <v>23099.67</v>
          </cell>
          <cell r="FC30">
            <v>25057.129999999997</v>
          </cell>
          <cell r="FD30">
            <v>26725.39</v>
          </cell>
          <cell r="FE30">
            <v>25744.03</v>
          </cell>
          <cell r="FF30">
            <v>23366.87</v>
          </cell>
          <cell r="FG30">
            <v>23120.18</v>
          </cell>
          <cell r="FH30">
            <v>30324.07</v>
          </cell>
          <cell r="FI30">
            <v>34512.36</v>
          </cell>
          <cell r="FM30">
            <v>293.22000000000003</v>
          </cell>
          <cell r="FN30">
            <v>256.99</v>
          </cell>
          <cell r="FO30">
            <v>354.66</v>
          </cell>
          <cell r="FP30">
            <v>318.20999999999998</v>
          </cell>
          <cell r="FQ30">
            <v>303.5</v>
          </cell>
          <cell r="FR30">
            <v>366.57</v>
          </cell>
          <cell r="FS30">
            <v>275.17</v>
          </cell>
          <cell r="FT30">
            <v>588.72</v>
          </cell>
          <cell r="FU30">
            <v>7633.99</v>
          </cell>
          <cell r="FV30">
            <v>11216.859999999999</v>
          </cell>
          <cell r="FW30">
            <v>10879.44</v>
          </cell>
          <cell r="FX30">
            <v>10145.25</v>
          </cell>
          <cell r="GB30">
            <v>29533.279999999999</v>
          </cell>
          <cell r="GC30">
            <v>25515.440000000002</v>
          </cell>
          <cell r="GD30">
            <v>36758.269999999997</v>
          </cell>
          <cell r="GE30">
            <v>37644.980000000003</v>
          </cell>
          <cell r="GF30">
            <v>30883.589999999997</v>
          </cell>
          <cell r="GG30">
            <v>36621.64</v>
          </cell>
          <cell r="GH30">
            <v>22713.510000000002</v>
          </cell>
          <cell r="GI30">
            <v>43019.41</v>
          </cell>
          <cell r="GJ30">
            <v>36244.409999999996</v>
          </cell>
          <cell r="GK30">
            <v>46248.03</v>
          </cell>
          <cell r="GL30">
            <v>43162.11</v>
          </cell>
          <cell r="GM30">
            <v>34976.800000000003</v>
          </cell>
        </row>
        <row r="31">
          <cell r="A31" t="str">
            <v>Overtime</v>
          </cell>
          <cell r="C31">
            <v>0</v>
          </cell>
          <cell r="D31">
            <v>0</v>
          </cell>
          <cell r="E31">
            <v>0</v>
          </cell>
          <cell r="F31" t="str">
            <v>n/a</v>
          </cell>
          <cell r="G31">
            <v>20.36449329043019</v>
          </cell>
          <cell r="H31">
            <v>35.038119999999999</v>
          </cell>
          <cell r="J31">
            <v>0</v>
          </cell>
          <cell r="K31">
            <v>0</v>
          </cell>
          <cell r="L31">
            <v>0</v>
          </cell>
          <cell r="M31" t="str">
            <v>n/a</v>
          </cell>
          <cell r="N31">
            <v>20.427010290066708</v>
          </cell>
          <cell r="O31">
            <v>32.857410000000002</v>
          </cell>
          <cell r="Q31">
            <v>0</v>
          </cell>
          <cell r="R31">
            <v>0</v>
          </cell>
          <cell r="S31">
            <v>0</v>
          </cell>
          <cell r="T31" t="str">
            <v>n/a</v>
          </cell>
          <cell r="U31">
            <v>6.1994665797372644E-2</v>
          </cell>
          <cell r="V31">
            <v>1.65262</v>
          </cell>
          <cell r="X31">
            <v>0</v>
          </cell>
          <cell r="Y31">
            <v>0</v>
          </cell>
          <cell r="Z31">
            <v>0</v>
          </cell>
          <cell r="AA31" t="str">
            <v>n/a</v>
          </cell>
          <cell r="AB31">
            <v>-0.12451166543388777</v>
          </cell>
          <cell r="AC31">
            <v>0.52809000000000006</v>
          </cell>
          <cell r="AD31">
            <v>462.28888903322832</v>
          </cell>
          <cell r="AE31">
            <v>411.16758899999996</v>
          </cell>
          <cell r="AH31">
            <v>14632.41</v>
          </cell>
          <cell r="AI31">
            <v>35980.980000000003</v>
          </cell>
          <cell r="AJ31">
            <v>94921.88</v>
          </cell>
          <cell r="AK31">
            <v>73053.47600000001</v>
          </cell>
          <cell r="AL31">
            <v>101938.9</v>
          </cell>
          <cell r="AM31">
            <v>51975.245999999977</v>
          </cell>
          <cell r="AN31">
            <v>5345.1294999999282</v>
          </cell>
          <cell r="AO31">
            <v>21148.07399999999</v>
          </cell>
          <cell r="AW31">
            <v>207.51</v>
          </cell>
          <cell r="AX31">
            <v>1378.49</v>
          </cell>
          <cell r="AY31">
            <v>3343.86</v>
          </cell>
          <cell r="AZ31">
            <v>329.89199999999965</v>
          </cell>
          <cell r="BA31">
            <v>1469.26</v>
          </cell>
          <cell r="BB31">
            <v>369.10199999999969</v>
          </cell>
          <cell r="BC31">
            <v>-87.02600000000092</v>
          </cell>
          <cell r="BD31">
            <v>67.378000000000071</v>
          </cell>
          <cell r="BL31">
            <v>0</v>
          </cell>
          <cell r="BM31">
            <v>284.52</v>
          </cell>
          <cell r="BN31">
            <v>371.28</v>
          </cell>
          <cell r="BO31">
            <v>232.99200000000002</v>
          </cell>
          <cell r="BP31">
            <v>305.62</v>
          </cell>
          <cell r="BQ31">
            <v>223.92199999999991</v>
          </cell>
          <cell r="BR31">
            <v>107.6040000000001</v>
          </cell>
          <cell r="BS31">
            <v>128.71800000000007</v>
          </cell>
          <cell r="CP31">
            <v>22978.89824820037</v>
          </cell>
          <cell r="CQ31">
            <v>50099.488411714221</v>
          </cell>
          <cell r="CR31">
            <v>70443.002692671434</v>
          </cell>
          <cell r="CS31">
            <v>44700.093679730446</v>
          </cell>
          <cell r="CT31">
            <v>39794.06120777662</v>
          </cell>
          <cell r="CU31">
            <v>64607.487347421906</v>
          </cell>
          <cell r="CV31">
            <v>25282.381939799165</v>
          </cell>
          <cell r="CW31">
            <v>35422.440134649485</v>
          </cell>
          <cell r="DE31">
            <v>465.08420710336247</v>
          </cell>
          <cell r="DF31">
            <v>437.96198356421911</v>
          </cell>
          <cell r="DG31">
            <v>1146.6900934493792</v>
          </cell>
          <cell r="DH31">
            <v>436.14805021641206</v>
          </cell>
          <cell r="DI31">
            <v>614.71531493605335</v>
          </cell>
          <cell r="DJ31">
            <v>631.26919292480693</v>
          </cell>
          <cell r="DK31">
            <v>236.82963782386975</v>
          </cell>
          <cell r="DL31">
            <v>270.28271738627075</v>
          </cell>
          <cell r="DT31">
            <v>271.52627328947096</v>
          </cell>
          <cell r="DU31">
            <v>245.32318624608632</v>
          </cell>
          <cell r="DV31">
            <v>396.43035245276855</v>
          </cell>
          <cell r="DW31">
            <v>423.20100573978289</v>
          </cell>
          <cell r="DX31">
            <v>363.85836205865064</v>
          </cell>
          <cell r="DY31">
            <v>373.65682776197093</v>
          </cell>
          <cell r="DZ31">
            <v>229.7431629052696</v>
          </cell>
          <cell r="EA31">
            <v>262.86818814838375</v>
          </cell>
          <cell r="EX31">
            <v>28671.57</v>
          </cell>
          <cell r="EY31">
            <v>34415.887000000002</v>
          </cell>
          <cell r="EZ31">
            <v>74716.982000000004</v>
          </cell>
          <cell r="FA31">
            <v>49768.119999999995</v>
          </cell>
          <cell r="FB31">
            <v>37681.269999999997</v>
          </cell>
          <cell r="FC31">
            <v>12897.799999999997</v>
          </cell>
          <cell r="FD31">
            <v>18046.55</v>
          </cell>
          <cell r="FE31">
            <v>18641.900000000001</v>
          </cell>
          <cell r="FF31">
            <v>32857.410000000003</v>
          </cell>
          <cell r="FG31">
            <v>44791.990000000005</v>
          </cell>
          <cell r="FH31">
            <v>29768.615000000002</v>
          </cell>
          <cell r="FI31">
            <v>6492.0199999999995</v>
          </cell>
          <cell r="FM31">
            <v>1718.37</v>
          </cell>
          <cell r="FN31">
            <v>2081.4</v>
          </cell>
          <cell r="FO31">
            <v>4241.01</v>
          </cell>
          <cell r="FP31">
            <v>1181.44</v>
          </cell>
          <cell r="FQ31">
            <v>881.26</v>
          </cell>
          <cell r="FR31">
            <v>1178.2</v>
          </cell>
          <cell r="FS31">
            <v>498.72</v>
          </cell>
          <cell r="FT31">
            <v>804.17000000000007</v>
          </cell>
          <cell r="FU31">
            <v>1652.62</v>
          </cell>
          <cell r="FV31">
            <v>1538.25</v>
          </cell>
          <cell r="FW31">
            <v>970.77300000000002</v>
          </cell>
          <cell r="FX31">
            <v>206.03</v>
          </cell>
          <cell r="GB31">
            <v>850.23</v>
          </cell>
          <cell r="GC31">
            <v>317.12</v>
          </cell>
          <cell r="GD31">
            <v>361.06</v>
          </cell>
          <cell r="GE31">
            <v>329.3</v>
          </cell>
          <cell r="GF31">
            <v>288.83</v>
          </cell>
          <cell r="GG31">
            <v>502.58</v>
          </cell>
          <cell r="GH31">
            <v>170.07</v>
          </cell>
          <cell r="GI31">
            <v>795.41</v>
          </cell>
          <cell r="GJ31">
            <v>528.09</v>
          </cell>
          <cell r="GK31">
            <v>633.75</v>
          </cell>
          <cell r="GL31">
            <v>421.35200000000009</v>
          </cell>
          <cell r="GM31">
            <v>267.44</v>
          </cell>
        </row>
        <row r="32">
          <cell r="A32" t="str">
            <v>Payroll Taxes &amp; Employee Benefits</v>
          </cell>
          <cell r="C32">
            <v>0</v>
          </cell>
          <cell r="D32">
            <v>0</v>
          </cell>
          <cell r="E32">
            <v>0</v>
          </cell>
          <cell r="F32" t="str">
            <v>n/a</v>
          </cell>
          <cell r="G32">
            <v>68.303070193430926</v>
          </cell>
          <cell r="H32">
            <v>42.33044402575505</v>
          </cell>
          <cell r="J32">
            <v>0</v>
          </cell>
          <cell r="K32">
            <v>0</v>
          </cell>
          <cell r="L32">
            <v>0</v>
          </cell>
          <cell r="M32" t="str">
            <v>n/a</v>
          </cell>
          <cell r="N32">
            <v>51.746395150682773</v>
          </cell>
          <cell r="O32">
            <v>32.0165737908425</v>
          </cell>
          <cell r="Q32">
            <v>0</v>
          </cell>
          <cell r="R32">
            <v>0</v>
          </cell>
          <cell r="S32">
            <v>0</v>
          </cell>
          <cell r="T32" t="str">
            <v>n/a</v>
          </cell>
          <cell r="U32">
            <v>7.0356406921543275</v>
          </cell>
          <cell r="V32">
            <v>3.9554043068044185</v>
          </cell>
          <cell r="X32">
            <v>0</v>
          </cell>
          <cell r="Y32">
            <v>0</v>
          </cell>
          <cell r="Z32">
            <v>0</v>
          </cell>
          <cell r="AA32" t="str">
            <v>n/a</v>
          </cell>
          <cell r="AB32">
            <v>9.521034350593828</v>
          </cell>
          <cell r="AC32">
            <v>6.3584659281081333</v>
          </cell>
          <cell r="AD32">
            <v>755.35887703209721</v>
          </cell>
          <cell r="AE32">
            <v>656.79798806825681</v>
          </cell>
          <cell r="AH32">
            <v>59501.070000000007</v>
          </cell>
          <cell r="AI32">
            <v>45739.18</v>
          </cell>
          <cell r="AJ32">
            <v>52223.35</v>
          </cell>
          <cell r="AK32">
            <v>49072.5</v>
          </cell>
          <cell r="AL32">
            <v>51901.469999999994</v>
          </cell>
          <cell r="AM32">
            <v>44665.599999999999</v>
          </cell>
          <cell r="AN32">
            <v>38549.69</v>
          </cell>
          <cell r="AO32">
            <v>41016.9</v>
          </cell>
          <cell r="AW32">
            <v>6806.09</v>
          </cell>
          <cell r="AX32">
            <v>6572.15</v>
          </cell>
          <cell r="AY32">
            <v>7670.42</v>
          </cell>
          <cell r="AZ32">
            <v>5244.1100000000006</v>
          </cell>
          <cell r="BA32">
            <v>7225.82</v>
          </cell>
          <cell r="BB32">
            <v>5834.2300000000005</v>
          </cell>
          <cell r="BC32">
            <v>5365.01</v>
          </cell>
          <cell r="BD32">
            <v>5882.57</v>
          </cell>
          <cell r="BL32">
            <v>10730.49</v>
          </cell>
          <cell r="BM32">
            <v>8489.5400000000009</v>
          </cell>
          <cell r="BN32">
            <v>8907.6899999999987</v>
          </cell>
          <cell r="BO32">
            <v>7928.32</v>
          </cell>
          <cell r="BP32">
            <v>9476.369999999999</v>
          </cell>
          <cell r="BQ32">
            <v>8304.36</v>
          </cell>
          <cell r="BR32">
            <v>7679.3099999999995</v>
          </cell>
          <cell r="BS32">
            <v>8824.9500000000007</v>
          </cell>
          <cell r="CP32">
            <v>56704.884523641012</v>
          </cell>
          <cell r="CQ32">
            <v>52485.830211157721</v>
          </cell>
          <cell r="CR32">
            <v>60700.007625093043</v>
          </cell>
          <cell r="CS32">
            <v>57098.679872830588</v>
          </cell>
          <cell r="CT32">
            <v>60118.141457619204</v>
          </cell>
          <cell r="CU32">
            <v>57316.908786148895</v>
          </cell>
          <cell r="CV32">
            <v>52056.420170380792</v>
          </cell>
          <cell r="CW32">
            <v>52797.87859030145</v>
          </cell>
          <cell r="DE32">
            <v>9140.5098906585335</v>
          </cell>
          <cell r="DF32">
            <v>7966.6789269105211</v>
          </cell>
          <cell r="DG32">
            <v>9182.0705661944339</v>
          </cell>
          <cell r="DH32">
            <v>7068.2549505468323</v>
          </cell>
          <cell r="DI32">
            <v>8273.8977537860192</v>
          </cell>
          <cell r="DJ32">
            <v>7731.2469436170486</v>
          </cell>
          <cell r="DK32">
            <v>7726.726807772342</v>
          </cell>
          <cell r="DL32">
            <v>7993.7067177796034</v>
          </cell>
          <cell r="DT32">
            <v>10597.707022100672</v>
          </cell>
          <cell r="DU32">
            <v>9181.6538882809818</v>
          </cell>
          <cell r="DV32">
            <v>10640.099388398197</v>
          </cell>
          <cell r="DW32">
            <v>10335.011557595901</v>
          </cell>
          <cell r="DX32">
            <v>10990.413903878381</v>
          </cell>
          <cell r="DY32">
            <v>10235.744131734296</v>
          </cell>
          <cell r="DZ32">
            <v>9877.4508996143832</v>
          </cell>
          <cell r="EA32">
            <v>8662.3947077563025</v>
          </cell>
          <cell r="EX32">
            <v>45025.25331054502</v>
          </cell>
          <cell r="EY32">
            <v>44189.865187088755</v>
          </cell>
          <cell r="EZ32">
            <v>52248.772952719635</v>
          </cell>
          <cell r="FA32">
            <v>45648.552166841808</v>
          </cell>
          <cell r="FB32">
            <v>38872.245043748168</v>
          </cell>
          <cell r="FC32">
            <v>48013.031437858983</v>
          </cell>
          <cell r="FD32">
            <v>42347.44609928289</v>
          </cell>
          <cell r="FE32">
            <v>39209.076384593209</v>
          </cell>
          <cell r="FF32">
            <v>32016.5737908425</v>
          </cell>
          <cell r="FG32">
            <v>41605.194686866889</v>
          </cell>
          <cell r="FH32">
            <v>40255.357791289745</v>
          </cell>
          <cell r="FI32">
            <v>36156.397122511458</v>
          </cell>
          <cell r="FM32">
            <v>4355.4329825899758</v>
          </cell>
          <cell r="FN32">
            <v>4328.7398440797197</v>
          </cell>
          <cell r="FO32">
            <v>4927.744242708698</v>
          </cell>
          <cell r="FP32">
            <v>4048.6720185605245</v>
          </cell>
          <cell r="FQ32">
            <v>3429.1626926124409</v>
          </cell>
          <cell r="FR32">
            <v>5552.6949910761869</v>
          </cell>
          <cell r="FS32">
            <v>4272.5593139756093</v>
          </cell>
          <cell r="FT32">
            <v>3404.9861626261363</v>
          </cell>
          <cell r="FU32">
            <v>3955.4043068044184</v>
          </cell>
          <cell r="FV32">
            <v>4194.5075969011668</v>
          </cell>
          <cell r="FW32">
            <v>4375.4009964395518</v>
          </cell>
          <cell r="FX32">
            <v>5797.6872832145636</v>
          </cell>
          <cell r="GB32">
            <v>9130.3787057288155</v>
          </cell>
          <cell r="GC32">
            <v>8555.7112467038005</v>
          </cell>
          <cell r="GD32">
            <v>9626.3168412937739</v>
          </cell>
          <cell r="GE32">
            <v>7101.0005460775037</v>
          </cell>
          <cell r="GF32">
            <v>8078.0499153359378</v>
          </cell>
          <cell r="GG32">
            <v>11027.040012458867</v>
          </cell>
          <cell r="GH32">
            <v>9252.589009637144</v>
          </cell>
          <cell r="GI32">
            <v>7211.1459508343096</v>
          </cell>
          <cell r="GJ32">
            <v>6358.4659281081331</v>
          </cell>
          <cell r="GK32">
            <v>7326.3518905745595</v>
          </cell>
          <cell r="GL32">
            <v>8235.1931397510016</v>
          </cell>
          <cell r="GM32">
            <v>6664.9864759748743</v>
          </cell>
        </row>
        <row r="33">
          <cell r="A33" t="str">
            <v>Other Cost of Sales</v>
          </cell>
          <cell r="C33">
            <v>0</v>
          </cell>
          <cell r="D33">
            <v>0</v>
          </cell>
          <cell r="E33">
            <v>0</v>
          </cell>
          <cell r="F33" t="str">
            <v>n/a</v>
          </cell>
          <cell r="G33">
            <v>126.65130981562564</v>
          </cell>
          <cell r="H33">
            <v>108.04859999999999</v>
          </cell>
          <cell r="J33">
            <v>0</v>
          </cell>
          <cell r="K33">
            <v>0</v>
          </cell>
          <cell r="L33">
            <v>0</v>
          </cell>
          <cell r="M33" t="str">
            <v>n/a</v>
          </cell>
          <cell r="N33">
            <v>97.152636017445616</v>
          </cell>
          <cell r="O33">
            <v>84.605249999999998</v>
          </cell>
          <cell r="Q33">
            <v>0</v>
          </cell>
          <cell r="R33">
            <v>0</v>
          </cell>
          <cell r="S33">
            <v>0</v>
          </cell>
          <cell r="T33" t="str">
            <v>n/a</v>
          </cell>
          <cell r="U33">
            <v>16.049854785327842</v>
          </cell>
          <cell r="V33">
            <v>8.4641500000000001</v>
          </cell>
          <cell r="X33">
            <v>0</v>
          </cell>
          <cell r="Y33">
            <v>0</v>
          </cell>
          <cell r="Z33">
            <v>0</v>
          </cell>
          <cell r="AA33" t="str">
            <v>n/a</v>
          </cell>
          <cell r="AB33">
            <v>13.448819012852184</v>
          </cell>
          <cell r="AC33">
            <v>14.979199999999997</v>
          </cell>
          <cell r="AD33">
            <v>1318.5819820000002</v>
          </cell>
          <cell r="AE33">
            <v>1234.9669209999997</v>
          </cell>
          <cell r="AH33">
            <v>65114.654999999999</v>
          </cell>
          <cell r="AI33">
            <v>75510.78</v>
          </cell>
          <cell r="AJ33">
            <v>90736.511000000013</v>
          </cell>
          <cell r="AK33">
            <v>69234.511000000013</v>
          </cell>
          <cell r="AL33">
            <v>78966.005000000005</v>
          </cell>
          <cell r="AM33">
            <v>100326.545</v>
          </cell>
          <cell r="AN33">
            <v>115427.79199999999</v>
          </cell>
          <cell r="AO33">
            <v>69883.538</v>
          </cell>
          <cell r="AW33">
            <v>12834.455</v>
          </cell>
          <cell r="AX33">
            <v>12454.59</v>
          </cell>
          <cell r="AY33">
            <v>8180.9790000000012</v>
          </cell>
          <cell r="AZ33">
            <v>14787.329</v>
          </cell>
          <cell r="BA33">
            <v>12694.615</v>
          </cell>
          <cell r="BB33">
            <v>16153.224999999999</v>
          </cell>
          <cell r="BC33">
            <v>15690.418000000001</v>
          </cell>
          <cell r="BD33">
            <v>12506.372000000001</v>
          </cell>
          <cell r="BL33">
            <v>10009.16</v>
          </cell>
          <cell r="BM33">
            <v>9079.56</v>
          </cell>
          <cell r="BN33">
            <v>14758.869999999999</v>
          </cell>
          <cell r="BO33">
            <v>9962.31</v>
          </cell>
          <cell r="BP33">
            <v>7801.64</v>
          </cell>
          <cell r="BQ33">
            <v>11921.480000000001</v>
          </cell>
          <cell r="BR33">
            <v>11708.089999999998</v>
          </cell>
          <cell r="BS33">
            <v>10107.359999999997</v>
          </cell>
          <cell r="CP33">
            <v>93108.58770435481</v>
          </cell>
          <cell r="CQ33">
            <v>92965.452313862217</v>
          </cell>
          <cell r="CR33">
            <v>100264.07300561902</v>
          </cell>
          <cell r="CS33">
            <v>94564.458937808507</v>
          </cell>
          <cell r="CT33">
            <v>94009.086029565296</v>
          </cell>
          <cell r="CU33">
            <v>93449.982688349352</v>
          </cell>
          <cell r="CV33">
            <v>89844.546776077812</v>
          </cell>
          <cell r="CW33">
            <v>93455.304776077814</v>
          </cell>
          <cell r="DE33">
            <v>15461.397413361301</v>
          </cell>
          <cell r="DF33">
            <v>16708.855425097794</v>
          </cell>
          <cell r="DG33">
            <v>17173.336016499379</v>
          </cell>
          <cell r="DH33">
            <v>16707.323446628587</v>
          </cell>
          <cell r="DI33">
            <v>16771.804038030172</v>
          </cell>
          <cell r="DJ33">
            <v>16544.206995038105</v>
          </cell>
          <cell r="DK33">
            <v>15595.99609171812</v>
          </cell>
          <cell r="DL33">
            <v>15745.99609171812</v>
          </cell>
          <cell r="DT33">
            <v>12516.91792228389</v>
          </cell>
          <cell r="DU33">
            <v>12475.664527706675</v>
          </cell>
          <cell r="DV33">
            <v>12492.563511214948</v>
          </cell>
          <cell r="DW33">
            <v>12040.57761556293</v>
          </cell>
          <cell r="DX33">
            <v>12107.476599071204</v>
          </cell>
          <cell r="DY33">
            <v>11641.971516612568</v>
          </cell>
          <cell r="DZ33">
            <v>10682.817132204087</v>
          </cell>
          <cell r="EA33">
            <v>10832.817132204087</v>
          </cell>
          <cell r="EX33">
            <v>81077.152999999991</v>
          </cell>
          <cell r="EY33">
            <v>58243.320999999996</v>
          </cell>
          <cell r="EZ33">
            <v>90576.197999999989</v>
          </cell>
          <cell r="FA33">
            <v>72767.016999999993</v>
          </cell>
          <cell r="FB33">
            <v>88281.475999999995</v>
          </cell>
          <cell r="FC33">
            <v>126708.35600000003</v>
          </cell>
          <cell r="FD33">
            <v>60447.929999999993</v>
          </cell>
          <cell r="FE33">
            <v>71662.220000000016</v>
          </cell>
          <cell r="FF33">
            <v>84605.25</v>
          </cell>
          <cell r="FG33">
            <v>79901.040999999983</v>
          </cell>
          <cell r="FH33">
            <v>88078.69</v>
          </cell>
          <cell r="FI33">
            <v>90985.189999999988</v>
          </cell>
          <cell r="FM33">
            <v>7993.2599999999993</v>
          </cell>
          <cell r="FN33">
            <v>-19773.68</v>
          </cell>
          <cell r="FO33">
            <v>4334.29</v>
          </cell>
          <cell r="FP33">
            <v>2577.1599999999994</v>
          </cell>
          <cell r="FQ33">
            <v>1934.7900000000002</v>
          </cell>
          <cell r="FR33">
            <v>2147.85</v>
          </cell>
          <cell r="FS33">
            <v>4089.16</v>
          </cell>
          <cell r="FT33">
            <v>4786.37</v>
          </cell>
          <cell r="FU33">
            <v>8464.15</v>
          </cell>
          <cell r="FV33">
            <v>10966.779</v>
          </cell>
          <cell r="FW33">
            <v>11731.65</v>
          </cell>
          <cell r="FX33">
            <v>18996.96</v>
          </cell>
          <cell r="GB33">
            <v>16652.089999999997</v>
          </cell>
          <cell r="GC33">
            <v>19349.280000000002</v>
          </cell>
          <cell r="GD33">
            <v>13601.59</v>
          </cell>
          <cell r="GE33">
            <v>17949.32</v>
          </cell>
          <cell r="GF33">
            <v>18005</v>
          </cell>
          <cell r="GG33">
            <v>27337.549999999996</v>
          </cell>
          <cell r="GH33">
            <v>7756.87</v>
          </cell>
          <cell r="GI33">
            <v>10843.08</v>
          </cell>
          <cell r="GJ33">
            <v>14979.199999999997</v>
          </cell>
          <cell r="GK33">
            <v>6978.0599999999995</v>
          </cell>
          <cell r="GL33">
            <v>11926.96</v>
          </cell>
          <cell r="GM33">
            <v>18005.340000000004</v>
          </cell>
        </row>
        <row r="34">
          <cell r="A34" t="str">
            <v>Cost of Sales</v>
          </cell>
          <cell r="C34">
            <v>0</v>
          </cell>
          <cell r="D34">
            <v>0</v>
          </cell>
          <cell r="E34">
            <v>0</v>
          </cell>
          <cell r="F34" t="str">
            <v>n/a</v>
          </cell>
          <cell r="G34">
            <v>662.61575596739931</v>
          </cell>
          <cell r="H34">
            <v>580.039474025755</v>
          </cell>
          <cell r="J34">
            <v>0</v>
          </cell>
          <cell r="K34">
            <v>0</v>
          </cell>
          <cell r="L34">
            <v>0</v>
          </cell>
          <cell r="M34" t="str">
            <v>n/a</v>
          </cell>
          <cell r="N34">
            <v>494.59484278506068</v>
          </cell>
          <cell r="O34">
            <v>430.7939637908425</v>
          </cell>
          <cell r="Q34">
            <v>0</v>
          </cell>
          <cell r="R34">
            <v>0</v>
          </cell>
          <cell r="S34">
            <v>0</v>
          </cell>
          <cell r="T34" t="str">
            <v>n/a</v>
          </cell>
          <cell r="U34">
            <v>75.319503421532872</v>
          </cell>
          <cell r="V34">
            <v>47.946004306804411</v>
          </cell>
          <cell r="X34">
            <v>0</v>
          </cell>
          <cell r="Y34">
            <v>0</v>
          </cell>
          <cell r="Z34">
            <v>0</v>
          </cell>
          <cell r="AA34" t="str">
            <v>n/a</v>
          </cell>
          <cell r="AB34">
            <v>92.701409760805959</v>
          </cell>
          <cell r="AC34">
            <v>101.29950592810813</v>
          </cell>
          <cell r="AD34">
            <v>7814.6252837453503</v>
          </cell>
          <cell r="AE34">
            <v>7230.0308590682562</v>
          </cell>
          <cell r="AH34">
            <v>458649.23499999999</v>
          </cell>
          <cell r="AI34">
            <v>450458.64</v>
          </cell>
          <cell r="AJ34">
            <v>584474.38100000005</v>
          </cell>
          <cell r="AK34">
            <v>502290.37100000004</v>
          </cell>
          <cell r="AL34">
            <v>574706.76500000001</v>
          </cell>
          <cell r="AM34">
            <v>507637.73499999999</v>
          </cell>
          <cell r="AN34">
            <v>453074.91200000001</v>
          </cell>
          <cell r="AO34">
            <v>418804.77799999999</v>
          </cell>
          <cell r="AP34">
            <v>0</v>
          </cell>
          <cell r="AQ34">
            <v>0</v>
          </cell>
          <cell r="AR34">
            <v>0</v>
          </cell>
          <cell r="AS34">
            <v>0</v>
          </cell>
          <cell r="AW34">
            <v>74913.925000000003</v>
          </cell>
          <cell r="AX34">
            <v>74160.28</v>
          </cell>
          <cell r="AY34">
            <v>81166.949000000008</v>
          </cell>
          <cell r="AZ34">
            <v>81689.698999999993</v>
          </cell>
          <cell r="BA34">
            <v>103127.735</v>
          </cell>
          <cell r="BB34">
            <v>70907.865000000005</v>
          </cell>
          <cell r="BC34">
            <v>72263.528000000006</v>
          </cell>
          <cell r="BD34">
            <v>74774.001999999993</v>
          </cell>
          <cell r="BE34">
            <v>0</v>
          </cell>
          <cell r="BF34">
            <v>0</v>
          </cell>
          <cell r="BG34">
            <v>0</v>
          </cell>
          <cell r="BH34">
            <v>0</v>
          </cell>
          <cell r="BL34">
            <v>94561.820000000022</v>
          </cell>
          <cell r="BM34">
            <v>85158.489999999991</v>
          </cell>
          <cell r="BN34">
            <v>103498.94</v>
          </cell>
          <cell r="BO34">
            <v>98568.78</v>
          </cell>
          <cell r="BP34">
            <v>104881.64</v>
          </cell>
          <cell r="BQ34">
            <v>97601.37000000001</v>
          </cell>
          <cell r="BR34">
            <v>92725.78</v>
          </cell>
          <cell r="BS34">
            <v>89452.819999999992</v>
          </cell>
          <cell r="BT34">
            <v>0</v>
          </cell>
          <cell r="BU34">
            <v>0</v>
          </cell>
          <cell r="BV34">
            <v>0</v>
          </cell>
          <cell r="BW34">
            <v>0</v>
          </cell>
          <cell r="CP34">
            <v>542173.01456204487</v>
          </cell>
          <cell r="CQ34">
            <v>499000.98881259083</v>
          </cell>
          <cell r="CR34">
            <v>595509.33876865753</v>
          </cell>
          <cell r="CS34">
            <v>558178.70450585254</v>
          </cell>
          <cell r="CT34">
            <v>582180.98876386683</v>
          </cell>
          <cell r="CU34">
            <v>559783.9654549557</v>
          </cell>
          <cell r="CV34">
            <v>474508.25865800341</v>
          </cell>
          <cell r="CW34">
            <v>488982.50961223198</v>
          </cell>
          <cell r="CX34">
            <v>0</v>
          </cell>
          <cell r="CY34">
            <v>0</v>
          </cell>
          <cell r="CZ34">
            <v>0</v>
          </cell>
          <cell r="DA34">
            <v>0</v>
          </cell>
          <cell r="DE34">
            <v>94460.606781114533</v>
          </cell>
          <cell r="DF34">
            <v>83050.218308162803</v>
          </cell>
          <cell r="DG34">
            <v>96705.735700839767</v>
          </cell>
          <cell r="DH34">
            <v>79621.192703381676</v>
          </cell>
          <cell r="DI34">
            <v>89726.999610669431</v>
          </cell>
          <cell r="DJ34">
            <v>83665.92972768718</v>
          </cell>
          <cell r="DK34">
            <v>78703.363612451329</v>
          </cell>
          <cell r="DL34">
            <v>80531.4516965363</v>
          </cell>
          <cell r="DM34">
            <v>0</v>
          </cell>
          <cell r="DN34">
            <v>0</v>
          </cell>
          <cell r="DO34">
            <v>0</v>
          </cell>
          <cell r="DP34">
            <v>0</v>
          </cell>
          <cell r="DT34">
            <v>103720.62948988695</v>
          </cell>
          <cell r="DU34">
            <v>88430.12261757192</v>
          </cell>
          <cell r="DV34">
            <v>104198.73119975817</v>
          </cell>
          <cell r="DW34">
            <v>102604.15998214994</v>
          </cell>
          <cell r="DX34">
            <v>108235.30567561099</v>
          </cell>
          <cell r="DY34">
            <v>99653.315651006997</v>
          </cell>
          <cell r="DZ34">
            <v>89195.064008620568</v>
          </cell>
          <cell r="EA34">
            <v>78964.680778863447</v>
          </cell>
          <cell r="EB34">
            <v>0</v>
          </cell>
          <cell r="EC34">
            <v>0</v>
          </cell>
          <cell r="ED34">
            <v>0</v>
          </cell>
          <cell r="EE34">
            <v>0</v>
          </cell>
          <cell r="EX34">
            <v>409471.45631054498</v>
          </cell>
          <cell r="EY34">
            <v>423175.75618708867</v>
          </cell>
          <cell r="EZ34">
            <v>569592.10095271957</v>
          </cell>
          <cell r="FA34">
            <v>452450.67916684179</v>
          </cell>
          <cell r="FB34">
            <v>444427.88104374823</v>
          </cell>
          <cell r="FC34">
            <v>500755.47743785905</v>
          </cell>
          <cell r="FD34">
            <v>447620.49609928287</v>
          </cell>
          <cell r="FE34">
            <v>409439.96638459328</v>
          </cell>
          <cell r="FF34">
            <v>430793.96379084251</v>
          </cell>
          <cell r="FG34">
            <v>457570.62568686681</v>
          </cell>
          <cell r="FH34">
            <v>468593.01779128972</v>
          </cell>
          <cell r="FI34">
            <v>421464.37712251151</v>
          </cell>
          <cell r="FM34">
            <v>44156.682982589977</v>
          </cell>
          <cell r="FN34">
            <v>13779.549844079724</v>
          </cell>
          <cell r="FO34">
            <v>53722.6342427087</v>
          </cell>
          <cell r="FP34">
            <v>48504.212018560516</v>
          </cell>
          <cell r="FQ34">
            <v>36984.242692612439</v>
          </cell>
          <cell r="FR34">
            <v>48095.254991076181</v>
          </cell>
          <cell r="FS34">
            <v>38424.589313975608</v>
          </cell>
          <cell r="FT34">
            <v>42536.886162626135</v>
          </cell>
          <cell r="FU34">
            <v>47946.004306804425</v>
          </cell>
          <cell r="FV34">
            <v>57615.416596901166</v>
          </cell>
          <cell r="FW34">
            <v>61472.740996439556</v>
          </cell>
          <cell r="FX34">
            <v>76349.677283214551</v>
          </cell>
          <cell r="GB34">
            <v>98996.808705728807</v>
          </cell>
          <cell r="GC34">
            <v>88409.061246703801</v>
          </cell>
          <cell r="GD34">
            <v>110853.99684129376</v>
          </cell>
          <cell r="GE34">
            <v>111492.01054607751</v>
          </cell>
          <cell r="GF34">
            <v>104197.29991533594</v>
          </cell>
          <cell r="GG34">
            <v>117447.15001245885</v>
          </cell>
          <cell r="GH34">
            <v>72153.099009637139</v>
          </cell>
          <cell r="GI34">
            <v>112633.77595083432</v>
          </cell>
          <cell r="GJ34">
            <v>101299.50592810813</v>
          </cell>
          <cell r="GK34">
            <v>106854.76189057456</v>
          </cell>
          <cell r="GL34">
            <v>109030.44313975101</v>
          </cell>
          <cell r="GM34">
            <v>91719.256475974893</v>
          </cell>
        </row>
        <row r="36">
          <cell r="A36" t="str">
            <v>Labor - Sales &amp; Marketing</v>
          </cell>
          <cell r="C36">
            <v>0</v>
          </cell>
          <cell r="D36">
            <v>0</v>
          </cell>
          <cell r="E36">
            <v>0</v>
          </cell>
          <cell r="F36" t="str">
            <v>n/a</v>
          </cell>
          <cell r="G36">
            <v>68.507956411563413</v>
          </cell>
          <cell r="H36">
            <v>50.71069</v>
          </cell>
          <cell r="J36">
            <v>0</v>
          </cell>
          <cell r="K36">
            <v>0</v>
          </cell>
          <cell r="L36">
            <v>0</v>
          </cell>
          <cell r="M36" t="str">
            <v>n/a</v>
          </cell>
          <cell r="N36">
            <v>59.943563304333473</v>
          </cell>
          <cell r="O36">
            <v>41.972160000000002</v>
          </cell>
          <cell r="Q36">
            <v>0</v>
          </cell>
          <cell r="R36">
            <v>0</v>
          </cell>
          <cell r="S36">
            <v>0</v>
          </cell>
          <cell r="T36" t="str">
            <v>n/a</v>
          </cell>
          <cell r="U36">
            <v>4.0620582887111087</v>
          </cell>
          <cell r="V36">
            <v>1.67642</v>
          </cell>
          <cell r="X36">
            <v>0</v>
          </cell>
          <cell r="Y36">
            <v>0</v>
          </cell>
          <cell r="Z36">
            <v>0</v>
          </cell>
          <cell r="AA36" t="str">
            <v>n/a</v>
          </cell>
          <cell r="AB36">
            <v>4.5023348185188317</v>
          </cell>
          <cell r="AC36">
            <v>7.0621099999999997</v>
          </cell>
          <cell r="AD36">
            <v>893.48853541513574</v>
          </cell>
          <cell r="AE36">
            <v>767.36950000000002</v>
          </cell>
          <cell r="AH36">
            <v>55409.639999999992</v>
          </cell>
          <cell r="AI36">
            <v>58397.13</v>
          </cell>
          <cell r="AJ36">
            <v>79452.17</v>
          </cell>
          <cell r="AK36">
            <v>50383.17</v>
          </cell>
          <cell r="AL36">
            <v>70930.58</v>
          </cell>
          <cell r="AM36">
            <v>62316.15</v>
          </cell>
          <cell r="AN36">
            <v>65045.43</v>
          </cell>
          <cell r="AO36">
            <v>47165.479999999996</v>
          </cell>
          <cell r="AW36">
            <v>6746.74</v>
          </cell>
          <cell r="AX36">
            <v>6539.63</v>
          </cell>
          <cell r="AY36">
            <v>5899.37</v>
          </cell>
          <cell r="AZ36">
            <v>6282.5100000000011</v>
          </cell>
          <cell r="BA36">
            <v>6155.18</v>
          </cell>
          <cell r="BB36">
            <v>5140.79</v>
          </cell>
          <cell r="BC36">
            <v>7678.4</v>
          </cell>
          <cell r="BD36">
            <v>4707.93</v>
          </cell>
          <cell r="BL36">
            <v>8681.9699999999993</v>
          </cell>
          <cell r="BM36">
            <v>7837.01</v>
          </cell>
          <cell r="BN36">
            <v>18209.11</v>
          </cell>
          <cell r="BO36">
            <v>17726.95</v>
          </cell>
          <cell r="BP36">
            <v>17173.509999999998</v>
          </cell>
          <cell r="BQ36">
            <v>23973.8</v>
          </cell>
          <cell r="BR36">
            <v>18409.760000000002</v>
          </cell>
          <cell r="BS36">
            <v>9231.2999999999993</v>
          </cell>
          <cell r="CP36">
            <v>62540.966929095746</v>
          </cell>
          <cell r="CQ36">
            <v>52431.233839182285</v>
          </cell>
          <cell r="CR36">
            <v>63601.294113770375</v>
          </cell>
          <cell r="CS36">
            <v>59421.156632303115</v>
          </cell>
          <cell r="CT36">
            <v>58623.962972085967</v>
          </cell>
          <cell r="CU36">
            <v>61412.459824593221</v>
          </cell>
          <cell r="CV36">
            <v>50780.535040852781</v>
          </cell>
          <cell r="CW36">
            <v>45562.829172504833</v>
          </cell>
          <cell r="DE36">
            <v>4231.7546611823636</v>
          </cell>
          <cell r="DF36">
            <v>4038.5159952766439</v>
          </cell>
          <cell r="DG36">
            <v>5545.1861741235061</v>
          </cell>
          <cell r="DH36">
            <v>4914.8895625159048</v>
          </cell>
          <cell r="DI36">
            <v>5007.4179374469904</v>
          </cell>
          <cell r="DJ36">
            <v>5303.9854556714572</v>
          </cell>
          <cell r="DK36">
            <v>4479.3380558018343</v>
          </cell>
          <cell r="DL36">
            <v>4595.586052424399</v>
          </cell>
          <cell r="DT36">
            <v>4690.424164375092</v>
          </cell>
          <cell r="DU36">
            <v>3734.2253088763628</v>
          </cell>
          <cell r="DV36">
            <v>18351.538844481904</v>
          </cell>
          <cell r="DW36">
            <v>17846.500622032643</v>
          </cell>
          <cell r="DX36">
            <v>18111.883247253631</v>
          </cell>
          <cell r="DY36">
            <v>17539.865247027734</v>
          </cell>
          <cell r="DZ36">
            <v>17428.744415078709</v>
          </cell>
          <cell r="EA36">
            <v>4249.3217226707702</v>
          </cell>
          <cell r="EX36">
            <v>59897.17</v>
          </cell>
          <cell r="EY36">
            <v>67937.89</v>
          </cell>
          <cell r="EZ36">
            <v>33378.51</v>
          </cell>
          <cell r="FA36">
            <v>32250.74</v>
          </cell>
          <cell r="FB36">
            <v>41038.36</v>
          </cell>
          <cell r="FC36">
            <v>40420.400000000001</v>
          </cell>
          <cell r="FD36">
            <v>41120.050000000003</v>
          </cell>
          <cell r="FE36">
            <v>52588.06</v>
          </cell>
          <cell r="FF36">
            <v>41972.160000000003</v>
          </cell>
          <cell r="FG36">
            <v>46497.93</v>
          </cell>
          <cell r="FH36">
            <v>65122.44</v>
          </cell>
          <cell r="FI36">
            <v>53365.23</v>
          </cell>
          <cell r="FM36">
            <v>3223.41</v>
          </cell>
          <cell r="FN36">
            <v>2498</v>
          </cell>
          <cell r="FO36">
            <v>868.04</v>
          </cell>
          <cell r="FP36">
            <v>1384.66</v>
          </cell>
          <cell r="FQ36">
            <v>742.83</v>
          </cell>
          <cell r="FR36">
            <v>1896.95</v>
          </cell>
          <cell r="FS36">
            <v>1322.95</v>
          </cell>
          <cell r="FT36">
            <v>2058.4499999999998</v>
          </cell>
          <cell r="FU36">
            <v>1676.42</v>
          </cell>
          <cell r="FV36">
            <v>1744.79</v>
          </cell>
          <cell r="FW36">
            <v>1988.66</v>
          </cell>
          <cell r="FX36">
            <v>1689.99</v>
          </cell>
          <cell r="GB36">
            <v>23856.89</v>
          </cell>
          <cell r="GC36">
            <v>18835.86</v>
          </cell>
          <cell r="GD36">
            <v>17279.689999999999</v>
          </cell>
          <cell r="GE36">
            <v>38806.17</v>
          </cell>
          <cell r="GF36">
            <v>9303.27</v>
          </cell>
          <cell r="GG36">
            <v>20620.48</v>
          </cell>
          <cell r="GH36">
            <v>4559.7299999999996</v>
          </cell>
          <cell r="GI36">
            <v>8312.25</v>
          </cell>
          <cell r="GJ36">
            <v>7062.11</v>
          </cell>
          <cell r="GK36">
            <v>7334.35</v>
          </cell>
          <cell r="GL36">
            <v>7954.66</v>
          </cell>
          <cell r="GM36">
            <v>6759.95</v>
          </cell>
        </row>
        <row r="37">
          <cell r="A37" t="str">
            <v>Payroll Taxes &amp; Employee Benefits</v>
          </cell>
          <cell r="C37">
            <v>0</v>
          </cell>
          <cell r="D37">
            <v>0</v>
          </cell>
          <cell r="E37">
            <v>0</v>
          </cell>
          <cell r="F37" t="str">
            <v>n/a</v>
          </cell>
          <cell r="G37">
            <v>8.0719045707362831</v>
          </cell>
          <cell r="H37">
            <v>5.0255056802351525</v>
          </cell>
          <cell r="J37">
            <v>0</v>
          </cell>
          <cell r="K37">
            <v>0</v>
          </cell>
          <cell r="L37">
            <v>0</v>
          </cell>
          <cell r="M37" t="str">
            <v>n/a</v>
          </cell>
          <cell r="N37">
            <v>7.0918664978903863</v>
          </cell>
          <cell r="O37">
            <v>4.2772881064535131</v>
          </cell>
          <cell r="Q37">
            <v>0</v>
          </cell>
          <cell r="R37">
            <v>0</v>
          </cell>
          <cell r="S37">
            <v>0</v>
          </cell>
          <cell r="T37" t="str">
            <v>n/a</v>
          </cell>
          <cell r="U37">
            <v>0.46482824027489533</v>
          </cell>
          <cell r="V37">
            <v>0.18664738210581305</v>
          </cell>
          <cell r="X37">
            <v>0</v>
          </cell>
          <cell r="Y37">
            <v>0</v>
          </cell>
          <cell r="Z37">
            <v>0</v>
          </cell>
          <cell r="AA37" t="str">
            <v>n/a</v>
          </cell>
          <cell r="AB37">
            <v>0.5152098325710015</v>
          </cell>
          <cell r="AC37">
            <v>0.56157019167582589</v>
          </cell>
          <cell r="AD37">
            <v>85.137447887913424</v>
          </cell>
          <cell r="AE37">
            <v>94.116948055821581</v>
          </cell>
          <cell r="AH37">
            <v>8112.7900000000009</v>
          </cell>
          <cell r="AI37">
            <v>5332.16</v>
          </cell>
          <cell r="AJ37">
            <v>6911.7199999999993</v>
          </cell>
          <cell r="AK37">
            <v>5660.5300000000007</v>
          </cell>
          <cell r="AL37">
            <v>6857.37</v>
          </cell>
          <cell r="AM37">
            <v>3621.08</v>
          </cell>
          <cell r="AN37">
            <v>3208.37</v>
          </cell>
          <cell r="AO37">
            <v>5884.88</v>
          </cell>
          <cell r="AW37">
            <v>879.3</v>
          </cell>
          <cell r="AX37">
            <v>489.23</v>
          </cell>
          <cell r="AY37">
            <v>579.39</v>
          </cell>
          <cell r="AZ37">
            <v>698.07999999999993</v>
          </cell>
          <cell r="BA37">
            <v>305.23</v>
          </cell>
          <cell r="BB37">
            <v>217.7</v>
          </cell>
          <cell r="BC37">
            <v>211.57999999999998</v>
          </cell>
          <cell r="BD37">
            <v>245.82</v>
          </cell>
          <cell r="BL37">
            <v>997.7</v>
          </cell>
          <cell r="BM37">
            <v>551.95000000000005</v>
          </cell>
          <cell r="BN37">
            <v>1666.63</v>
          </cell>
          <cell r="BO37">
            <v>1462.38</v>
          </cell>
          <cell r="BP37">
            <v>1151.78</v>
          </cell>
          <cell r="BQ37">
            <v>1461.99</v>
          </cell>
          <cell r="BR37">
            <v>882.04</v>
          </cell>
          <cell r="BS37">
            <v>764.81000000000006</v>
          </cell>
          <cell r="CP37">
            <v>7414.1615019740238</v>
          </cell>
          <cell r="CQ37">
            <v>6364.3778772132791</v>
          </cell>
          <cell r="CR37">
            <v>7459.5541991404061</v>
          </cell>
          <cell r="CS37">
            <v>6958.2239192983025</v>
          </cell>
          <cell r="CT37">
            <v>6890.6919066807468</v>
          </cell>
          <cell r="CU37">
            <v>7103.0941198787004</v>
          </cell>
          <cell r="CV37">
            <v>6330.3279417513759</v>
          </cell>
          <cell r="CW37">
            <v>5685.282606806506</v>
          </cell>
          <cell r="DE37">
            <v>486.22935486447619</v>
          </cell>
          <cell r="DF37">
            <v>477.82981128068195</v>
          </cell>
          <cell r="DG37">
            <v>623.84833455271462</v>
          </cell>
          <cell r="DH37">
            <v>558.52352166424998</v>
          </cell>
          <cell r="DI37">
            <v>568.00481295214536</v>
          </cell>
          <cell r="DJ37">
            <v>591.09652435604983</v>
          </cell>
          <cell r="DK37">
            <v>551.79585198273594</v>
          </cell>
          <cell r="DL37">
            <v>574.10477266013686</v>
          </cell>
          <cell r="DT37">
            <v>538.93056145358833</v>
          </cell>
          <cell r="DU37">
            <v>441.82669493121819</v>
          </cell>
          <cell r="DV37">
            <v>2081.745221384972</v>
          </cell>
          <cell r="DW37">
            <v>1992.3885988962256</v>
          </cell>
          <cell r="DX37">
            <v>2019.5876668698666</v>
          </cell>
          <cell r="DY37">
            <v>1954.1998835397972</v>
          </cell>
          <cell r="DZ37">
            <v>2054.9802049778873</v>
          </cell>
          <cell r="EA37">
            <v>530.8476119746897</v>
          </cell>
          <cell r="EX37">
            <v>9517.2188064814327</v>
          </cell>
          <cell r="EY37">
            <v>9360.0490891971895</v>
          </cell>
          <cell r="EZ37">
            <v>4086.5054215634705</v>
          </cell>
          <cell r="FA37">
            <v>4407.3198991245317</v>
          </cell>
          <cell r="FB37">
            <v>5027.9959329607973</v>
          </cell>
          <cell r="FC37">
            <v>5952.4632406716582</v>
          </cell>
          <cell r="FD37">
            <v>5049.8905096438957</v>
          </cell>
          <cell r="FE37">
            <v>6906.0469789330891</v>
          </cell>
          <cell r="FF37">
            <v>4277.2881064535131</v>
          </cell>
          <cell r="FG37">
            <v>5756.5022887021996</v>
          </cell>
          <cell r="FH37">
            <v>6992.1482438958392</v>
          </cell>
          <cell r="FI37">
            <v>5755.5237273651728</v>
          </cell>
          <cell r="FM37">
            <v>441.37797548384395</v>
          </cell>
          <cell r="FN37">
            <v>370.00447674231918</v>
          </cell>
          <cell r="FO37">
            <v>96.208308309848675</v>
          </cell>
          <cell r="FP37">
            <v>133.86463844160198</v>
          </cell>
          <cell r="FQ37">
            <v>80.558556640476723</v>
          </cell>
          <cell r="FR37">
            <v>260.75653874782051</v>
          </cell>
          <cell r="FS37">
            <v>188.01872024939843</v>
          </cell>
          <cell r="FT37">
            <v>204.07295407751079</v>
          </cell>
          <cell r="FU37">
            <v>186.64738210581305</v>
          </cell>
          <cell r="FV37">
            <v>172.38687755460273</v>
          </cell>
          <cell r="FW37">
            <v>191.80100524381925</v>
          </cell>
          <cell r="FX37">
            <v>190.05000155677882</v>
          </cell>
          <cell r="GB37">
            <v>2975.1335659232154</v>
          </cell>
          <cell r="GC37">
            <v>2663.5262593630191</v>
          </cell>
          <cell r="GD37">
            <v>1898.2904618856735</v>
          </cell>
          <cell r="GE37">
            <v>3187.844133556116</v>
          </cell>
          <cell r="GF37">
            <v>962.08155920139257</v>
          </cell>
          <cell r="GG37">
            <v>2875.259197933246</v>
          </cell>
          <cell r="GH37">
            <v>765.08021024569268</v>
          </cell>
          <cell r="GI37">
            <v>633.76118759100132</v>
          </cell>
          <cell r="GJ37">
            <v>561.57019167582587</v>
          </cell>
          <cell r="GK37">
            <v>580.5923909378572</v>
          </cell>
          <cell r="GL37">
            <v>737.13763887041932</v>
          </cell>
          <cell r="GM37">
            <v>671.97157849150392</v>
          </cell>
        </row>
        <row r="38">
          <cell r="A38" t="str">
            <v>Other Sales &amp; Marketing Expense</v>
          </cell>
          <cell r="C38">
            <v>0</v>
          </cell>
          <cell r="D38">
            <v>0</v>
          </cell>
          <cell r="E38">
            <v>0</v>
          </cell>
          <cell r="F38" t="str">
            <v>n/a</v>
          </cell>
          <cell r="G38">
            <v>29.500000000000004</v>
          </cell>
          <cell r="H38">
            <v>22.777090000000001</v>
          </cell>
          <cell r="J38">
            <v>0</v>
          </cell>
          <cell r="K38">
            <v>0</v>
          </cell>
          <cell r="L38">
            <v>0</v>
          </cell>
          <cell r="M38" t="str">
            <v>n/a</v>
          </cell>
          <cell r="N38">
            <v>26.441072074734116</v>
          </cell>
          <cell r="O38">
            <v>18.126249999999999</v>
          </cell>
          <cell r="Q38">
            <v>0</v>
          </cell>
          <cell r="R38">
            <v>0</v>
          </cell>
          <cell r="S38">
            <v>0</v>
          </cell>
          <cell r="T38" t="str">
            <v>n/a</v>
          </cell>
          <cell r="U38">
            <v>1.1121650251128394</v>
          </cell>
          <cell r="V38">
            <v>1.4460900000000001</v>
          </cell>
          <cell r="X38">
            <v>0</v>
          </cell>
          <cell r="Y38">
            <v>0</v>
          </cell>
          <cell r="Z38">
            <v>0</v>
          </cell>
          <cell r="AA38" t="str">
            <v>n/a</v>
          </cell>
          <cell r="AB38">
            <v>1.9467629001530482</v>
          </cell>
          <cell r="AC38">
            <v>3.2047499999999998</v>
          </cell>
          <cell r="AD38">
            <v>313.99666999999999</v>
          </cell>
          <cell r="AE38">
            <v>263.61545399999994</v>
          </cell>
          <cell r="AH38">
            <v>-2152.5270000000005</v>
          </cell>
          <cell r="AI38">
            <v>35441.451000000001</v>
          </cell>
          <cell r="AJ38">
            <v>16800.653999999999</v>
          </cell>
          <cell r="AK38">
            <v>14576.239000000001</v>
          </cell>
          <cell r="AL38">
            <v>13508.694</v>
          </cell>
          <cell r="AM38">
            <v>20799.580999999998</v>
          </cell>
          <cell r="AN38">
            <v>18891.147000000001</v>
          </cell>
          <cell r="AO38">
            <v>19978.995999999999</v>
          </cell>
          <cell r="AW38">
            <v>2182.7230000000009</v>
          </cell>
          <cell r="AX38">
            <v>9176.4860000000008</v>
          </cell>
          <cell r="AY38">
            <v>9322.0090000000018</v>
          </cell>
          <cell r="AZ38">
            <v>1602.5840000000001</v>
          </cell>
          <cell r="BA38">
            <v>4868.0450000000001</v>
          </cell>
          <cell r="BB38">
            <v>2719.549</v>
          </cell>
          <cell r="BC38">
            <v>2776.529</v>
          </cell>
          <cell r="BD38">
            <v>4498.7030000000004</v>
          </cell>
          <cell r="BL38">
            <v>-2167.942</v>
          </cell>
          <cell r="BM38">
            <v>5226.7489999999998</v>
          </cell>
          <cell r="BN38">
            <v>2690.1510000000003</v>
          </cell>
          <cell r="BO38">
            <v>8807.25</v>
          </cell>
          <cell r="BP38">
            <v>9196.0159999999996</v>
          </cell>
          <cell r="BQ38">
            <v>1291.587</v>
          </cell>
          <cell r="BR38">
            <v>5114.7060000000001</v>
          </cell>
          <cell r="BS38">
            <v>1072.0060000000001</v>
          </cell>
          <cell r="CP38">
            <v>23239.107810558584</v>
          </cell>
          <cell r="CQ38">
            <v>31049.648373114469</v>
          </cell>
          <cell r="CR38">
            <v>20568.307160134264</v>
          </cell>
          <cell r="CS38">
            <v>21267.063240999611</v>
          </cell>
          <cell r="CT38">
            <v>21267.063240999611</v>
          </cell>
          <cell r="CU38">
            <v>17982.909660932481</v>
          </cell>
          <cell r="CV38">
            <v>17982.909660932481</v>
          </cell>
          <cell r="CW38">
            <v>19799.675471182381</v>
          </cell>
          <cell r="DE38">
            <v>1149.2371926166009</v>
          </cell>
          <cell r="DF38">
            <v>3391.9337299076651</v>
          </cell>
          <cell r="DG38">
            <v>1306.7285680791824</v>
          </cell>
          <cell r="DH38">
            <v>1445.7422455344145</v>
          </cell>
          <cell r="DI38">
            <v>1445.7422455344145</v>
          </cell>
          <cell r="DJ38">
            <v>792.37796149482347</v>
          </cell>
          <cell r="DK38">
            <v>792.37796149482347</v>
          </cell>
          <cell r="DL38">
            <v>1153.8135228784272</v>
          </cell>
          <cell r="DT38">
            <v>2011.6549968248162</v>
          </cell>
          <cell r="DU38">
            <v>3958.4178969778645</v>
          </cell>
          <cell r="DV38">
            <v>1524.9642717865543</v>
          </cell>
          <cell r="DW38">
            <v>1687.1945134659748</v>
          </cell>
          <cell r="DX38">
            <v>1687.1945134659748</v>
          </cell>
          <cell r="DY38">
            <v>924.71237757269796</v>
          </cell>
          <cell r="DZ38">
            <v>924.71237757269796</v>
          </cell>
          <cell r="EA38">
            <v>1346.5110059391916</v>
          </cell>
          <cell r="EX38">
            <v>10824.996999999999</v>
          </cell>
          <cell r="EY38">
            <v>27572.294000000002</v>
          </cell>
          <cell r="EZ38">
            <v>26685.596999999994</v>
          </cell>
          <cell r="FA38">
            <v>26967.842999999997</v>
          </cell>
          <cell r="FB38">
            <v>362.64900000000034</v>
          </cell>
          <cell r="FC38">
            <v>14786.924000000001</v>
          </cell>
          <cell r="FD38">
            <v>12317.039999999999</v>
          </cell>
          <cell r="FE38">
            <v>13564.32</v>
          </cell>
          <cell r="FF38">
            <v>18126.25</v>
          </cell>
          <cell r="FG38">
            <v>21659.890000000003</v>
          </cell>
          <cell r="FH38">
            <v>17809.989999999998</v>
          </cell>
          <cell r="FI38">
            <v>17074.409999999996</v>
          </cell>
          <cell r="FM38">
            <v>1701.5969999999998</v>
          </cell>
          <cell r="FN38">
            <v>3288.0839999999998</v>
          </cell>
          <cell r="FO38">
            <v>2260.5329999999999</v>
          </cell>
          <cell r="FP38">
            <v>2465.4790000000003</v>
          </cell>
          <cell r="FQ38">
            <v>-210.239</v>
          </cell>
          <cell r="FR38">
            <v>2003.5119999999999</v>
          </cell>
          <cell r="FS38">
            <v>1465.1400000000003</v>
          </cell>
          <cell r="FT38">
            <v>2480.38</v>
          </cell>
          <cell r="FU38">
            <v>1446.0900000000001</v>
          </cell>
          <cell r="FV38">
            <v>3444.39</v>
          </cell>
          <cell r="FW38">
            <v>4250.54</v>
          </cell>
          <cell r="FX38">
            <v>1545.15</v>
          </cell>
          <cell r="GB38">
            <v>2348.3179999999998</v>
          </cell>
          <cell r="GC38">
            <v>6598.0959999999995</v>
          </cell>
          <cell r="GD38">
            <v>5105.652</v>
          </cell>
          <cell r="GE38">
            <v>5319.5460000000012</v>
          </cell>
          <cell r="GF38">
            <v>-1108.7359999999999</v>
          </cell>
          <cell r="GG38">
            <v>608.85800000000017</v>
          </cell>
          <cell r="GH38">
            <v>3144.75</v>
          </cell>
          <cell r="GI38">
            <v>-821.07999999999993</v>
          </cell>
          <cell r="GJ38">
            <v>3204.7499999999995</v>
          </cell>
          <cell r="GK38">
            <v>645.08000000000004</v>
          </cell>
          <cell r="GL38">
            <v>1862.5099999999998</v>
          </cell>
          <cell r="GM38">
            <v>2814.85</v>
          </cell>
        </row>
        <row r="39">
          <cell r="A39" t="str">
            <v>Sales &amp; Marketing Expense</v>
          </cell>
          <cell r="C39">
            <v>0</v>
          </cell>
          <cell r="D39">
            <v>0</v>
          </cell>
          <cell r="E39">
            <v>0</v>
          </cell>
          <cell r="F39" t="str">
            <v>n/a</v>
          </cell>
          <cell r="G39">
            <v>106.07986098229969</v>
          </cell>
          <cell r="H39">
            <v>78.513285680235157</v>
          </cell>
          <cell r="J39">
            <v>0</v>
          </cell>
          <cell r="K39">
            <v>0</v>
          </cell>
          <cell r="L39">
            <v>0</v>
          </cell>
          <cell r="M39" t="str">
            <v>n/a</v>
          </cell>
          <cell r="N39">
            <v>93.476501876957968</v>
          </cell>
          <cell r="O39">
            <v>64.375698106453513</v>
          </cell>
          <cell r="Q39">
            <v>0</v>
          </cell>
          <cell r="R39">
            <v>0</v>
          </cell>
          <cell r="S39">
            <v>0</v>
          </cell>
          <cell r="T39" t="str">
            <v>n/a</v>
          </cell>
          <cell r="U39">
            <v>5.6390515540988435</v>
          </cell>
          <cell r="V39">
            <v>3.3091573821058131</v>
          </cell>
          <cell r="X39">
            <v>0</v>
          </cell>
          <cell r="Y39">
            <v>0</v>
          </cell>
          <cell r="Z39">
            <v>0</v>
          </cell>
          <cell r="AA39" t="str">
            <v>n/a</v>
          </cell>
          <cell r="AB39">
            <v>6.9643075512428823</v>
          </cell>
          <cell r="AC39">
            <v>10.828430191675825</v>
          </cell>
          <cell r="AD39">
            <v>1292.6226533030492</v>
          </cell>
          <cell r="AE39">
            <v>1125.1019020558215</v>
          </cell>
          <cell r="AH39">
            <v>61369.902999999991</v>
          </cell>
          <cell r="AI39">
            <v>99170.740999999995</v>
          </cell>
          <cell r="AJ39">
            <v>103164.54399999999</v>
          </cell>
          <cell r="AK39">
            <v>70619.938999999998</v>
          </cell>
          <cell r="AL39">
            <v>91296.644</v>
          </cell>
          <cell r="AM39">
            <v>86736.810999999987</v>
          </cell>
          <cell r="AN39">
            <v>87144.947</v>
          </cell>
          <cell r="AO39">
            <v>73029.356</v>
          </cell>
          <cell r="AP39">
            <v>0</v>
          </cell>
          <cell r="AQ39">
            <v>0</v>
          </cell>
          <cell r="AR39">
            <v>0</v>
          </cell>
          <cell r="AS39">
            <v>0</v>
          </cell>
          <cell r="AW39">
            <v>9808.7630000000008</v>
          </cell>
          <cell r="AX39">
            <v>16205.346000000001</v>
          </cell>
          <cell r="AY39">
            <v>15800.769000000002</v>
          </cell>
          <cell r="AZ39">
            <v>8583.1740000000009</v>
          </cell>
          <cell r="BA39">
            <v>11328.455</v>
          </cell>
          <cell r="BB39">
            <v>8078.0389999999998</v>
          </cell>
          <cell r="BC39">
            <v>10666.509</v>
          </cell>
          <cell r="BD39">
            <v>9452.4530000000013</v>
          </cell>
          <cell r="BE39">
            <v>0</v>
          </cell>
          <cell r="BF39">
            <v>0</v>
          </cell>
          <cell r="BG39">
            <v>0</v>
          </cell>
          <cell r="BH39">
            <v>0</v>
          </cell>
          <cell r="BL39">
            <v>7511.7280000000001</v>
          </cell>
          <cell r="BM39">
            <v>13615.709000000001</v>
          </cell>
          <cell r="BN39">
            <v>22565.891000000003</v>
          </cell>
          <cell r="BO39">
            <v>27996.58</v>
          </cell>
          <cell r="BP39">
            <v>27521.305999999997</v>
          </cell>
          <cell r="BQ39">
            <v>26727.377</v>
          </cell>
          <cell r="BR39">
            <v>24406.506000000001</v>
          </cell>
          <cell r="BS39">
            <v>11068.115999999998</v>
          </cell>
          <cell r="BT39">
            <v>0</v>
          </cell>
          <cell r="BU39">
            <v>0</v>
          </cell>
          <cell r="BV39">
            <v>0</v>
          </cell>
          <cell r="BW39">
            <v>0</v>
          </cell>
          <cell r="CP39">
            <v>93194.236241628358</v>
          </cell>
          <cell r="CQ39">
            <v>89845.260089510033</v>
          </cell>
          <cell r="CR39">
            <v>91629.155473045044</v>
          </cell>
          <cell r="CS39">
            <v>87646.443792601029</v>
          </cell>
          <cell r="CT39">
            <v>86781.71811976633</v>
          </cell>
          <cell r="CU39">
            <v>86498.463605404395</v>
          </cell>
          <cell r="CV39">
            <v>75093.772643536635</v>
          </cell>
          <cell r="CW39">
            <v>71047.787250493711</v>
          </cell>
          <cell r="CX39">
            <v>0</v>
          </cell>
          <cell r="CY39">
            <v>0</v>
          </cell>
          <cell r="CZ39">
            <v>0</v>
          </cell>
          <cell r="DA39">
            <v>0</v>
          </cell>
          <cell r="DE39">
            <v>5867.2212086634408</v>
          </cell>
          <cell r="DF39">
            <v>7908.279536464991</v>
          </cell>
          <cell r="DG39">
            <v>7475.7630767554037</v>
          </cell>
          <cell r="DH39">
            <v>6919.1553297145692</v>
          </cell>
          <cell r="DI39">
            <v>7021.16499593355</v>
          </cell>
          <cell r="DJ39">
            <v>6687.4599415223302</v>
          </cell>
          <cell r="DK39">
            <v>5823.511869279394</v>
          </cell>
          <cell r="DL39">
            <v>6323.5043479629621</v>
          </cell>
          <cell r="DM39">
            <v>0</v>
          </cell>
          <cell r="DN39">
            <v>0</v>
          </cell>
          <cell r="DO39">
            <v>0</v>
          </cell>
          <cell r="DP39">
            <v>0</v>
          </cell>
          <cell r="DT39">
            <v>7241.0097226534963</v>
          </cell>
          <cell r="DU39">
            <v>8134.4699007854451</v>
          </cell>
          <cell r="DV39">
            <v>21958.248337653429</v>
          </cell>
          <cell r="DW39">
            <v>21526.083734394844</v>
          </cell>
          <cell r="DX39">
            <v>21818.665427589473</v>
          </cell>
          <cell r="DY39">
            <v>20418.777508140229</v>
          </cell>
          <cell r="DZ39">
            <v>20408.436997629295</v>
          </cell>
          <cell r="EA39">
            <v>6126.6803405846513</v>
          </cell>
          <cell r="EB39">
            <v>0</v>
          </cell>
          <cell r="EC39">
            <v>0</v>
          </cell>
          <cell r="ED39">
            <v>0</v>
          </cell>
          <cell r="EE39">
            <v>0</v>
          </cell>
          <cell r="EX39">
            <v>80239.385806481441</v>
          </cell>
          <cell r="EY39">
            <v>104870.23308919719</v>
          </cell>
          <cell r="EZ39">
            <v>64150.61242156347</v>
          </cell>
          <cell r="FA39">
            <v>63625.902899124529</v>
          </cell>
          <cell r="FB39">
            <v>46429.004932960794</v>
          </cell>
          <cell r="FC39">
            <v>61159.787240671656</v>
          </cell>
          <cell r="FD39">
            <v>58486.980509643901</v>
          </cell>
          <cell r="FE39">
            <v>73058.426978933087</v>
          </cell>
          <cell r="FF39">
            <v>64375.698106453514</v>
          </cell>
          <cell r="FG39">
            <v>73914.322288702198</v>
          </cell>
          <cell r="FH39">
            <v>89924.578243895841</v>
          </cell>
          <cell r="FI39">
            <v>76195.163727365172</v>
          </cell>
          <cell r="FM39">
            <v>5366.3849754838429</v>
          </cell>
          <cell r="FN39">
            <v>6156.0884767423195</v>
          </cell>
          <cell r="FO39">
            <v>3224.7813083098486</v>
          </cell>
          <cell r="FP39">
            <v>3984.0036384416026</v>
          </cell>
          <cell r="FQ39">
            <v>613.1495566404767</v>
          </cell>
          <cell r="FR39">
            <v>4161.2185387478203</v>
          </cell>
          <cell r="FS39">
            <v>2976.1087202493991</v>
          </cell>
          <cell r="FT39">
            <v>4742.9029540775109</v>
          </cell>
          <cell r="FU39">
            <v>3309.1573821058132</v>
          </cell>
          <cell r="FV39">
            <v>5361.5668775546028</v>
          </cell>
          <cell r="FW39">
            <v>6431.0010052438192</v>
          </cell>
          <cell r="FX39">
            <v>3425.190001556779</v>
          </cell>
          <cell r="GB39">
            <v>29180.341565923212</v>
          </cell>
          <cell r="GC39">
            <v>28097.482259363016</v>
          </cell>
          <cell r="GD39">
            <v>24283.632461885674</v>
          </cell>
          <cell r="GE39">
            <v>47313.560133556115</v>
          </cell>
          <cell r="GF39">
            <v>9156.6155592013929</v>
          </cell>
          <cell r="GG39">
            <v>24104.597197933246</v>
          </cell>
          <cell r="GH39">
            <v>8469.5602102456924</v>
          </cell>
          <cell r="GI39">
            <v>8124.9311875910007</v>
          </cell>
          <cell r="GJ39">
            <v>10828.430191675825</v>
          </cell>
          <cell r="GK39">
            <v>8560.0223909378583</v>
          </cell>
          <cell r="GL39">
            <v>10554.307638870419</v>
          </cell>
          <cell r="GM39">
            <v>10246.771578491504</v>
          </cell>
        </row>
        <row r="41">
          <cell r="A41" t="str">
            <v>Labor - General &amp; Administrative</v>
          </cell>
          <cell r="C41">
            <v>0</v>
          </cell>
          <cell r="D41">
            <v>0</v>
          </cell>
          <cell r="E41">
            <v>0</v>
          </cell>
          <cell r="F41" t="str">
            <v>n/a</v>
          </cell>
          <cell r="G41">
            <v>71.453792162084369</v>
          </cell>
          <cell r="H41">
            <v>94.858750000000001</v>
          </cell>
          <cell r="J41">
            <v>0</v>
          </cell>
          <cell r="K41">
            <v>0</v>
          </cell>
          <cell r="L41">
            <v>0</v>
          </cell>
          <cell r="M41" t="str">
            <v>n/a</v>
          </cell>
          <cell r="N41">
            <v>56.06922666555046</v>
          </cell>
          <cell r="O41">
            <v>72.656580000000005</v>
          </cell>
          <cell r="Q41">
            <v>0</v>
          </cell>
          <cell r="R41">
            <v>0</v>
          </cell>
          <cell r="S41">
            <v>0</v>
          </cell>
          <cell r="T41" t="str">
            <v>n/a</v>
          </cell>
          <cell r="U41">
            <v>7.2968394854106799</v>
          </cell>
          <cell r="V41">
            <v>4.2593100000000002</v>
          </cell>
          <cell r="X41">
            <v>0</v>
          </cell>
          <cell r="Y41">
            <v>0</v>
          </cell>
          <cell r="Z41">
            <v>0</v>
          </cell>
          <cell r="AA41" t="str">
            <v>n/a</v>
          </cell>
          <cell r="AB41">
            <v>8.0877260111232285</v>
          </cell>
          <cell r="AC41">
            <v>17.94286</v>
          </cell>
          <cell r="AD41">
            <v>892.16716866304535</v>
          </cell>
          <cell r="AE41">
            <v>1097.9114999999999</v>
          </cell>
          <cell r="AH41">
            <v>55471.498</v>
          </cell>
          <cell r="AI41">
            <v>61949.36</v>
          </cell>
          <cell r="AJ41">
            <v>71353.41</v>
          </cell>
          <cell r="AK41">
            <v>52599.849999999991</v>
          </cell>
          <cell r="AL41">
            <v>78061</v>
          </cell>
          <cell r="AM41">
            <v>79133.260000000009</v>
          </cell>
          <cell r="AN41">
            <v>56220.2</v>
          </cell>
          <cell r="AO41">
            <v>55942.59</v>
          </cell>
          <cell r="AW41">
            <v>6028.701</v>
          </cell>
          <cell r="AX41">
            <v>6821.45</v>
          </cell>
          <cell r="AY41">
            <v>7202.77</v>
          </cell>
          <cell r="AZ41">
            <v>11310.289999999999</v>
          </cell>
          <cell r="BA41">
            <v>9119.619999999999</v>
          </cell>
          <cell r="BB41">
            <v>10455.11</v>
          </cell>
          <cell r="BC41">
            <v>7134.85</v>
          </cell>
          <cell r="BD41">
            <v>6344.96</v>
          </cell>
          <cell r="BL41">
            <v>6028.701</v>
          </cell>
          <cell r="BM41">
            <v>6821.45</v>
          </cell>
          <cell r="BN41">
            <v>7202.77</v>
          </cell>
          <cell r="BO41">
            <v>13536.069999999998</v>
          </cell>
          <cell r="BP41">
            <v>9389.619999999999</v>
          </cell>
          <cell r="BQ41">
            <v>10995.11</v>
          </cell>
          <cell r="BR41">
            <v>7434.85</v>
          </cell>
          <cell r="BS41">
            <v>6344.96</v>
          </cell>
          <cell r="CP41">
            <v>58812.356577489882</v>
          </cell>
          <cell r="CQ41">
            <v>46935.880382535834</v>
          </cell>
          <cell r="CR41">
            <v>61650.966481031173</v>
          </cell>
          <cell r="CS41">
            <v>57895.416551411756</v>
          </cell>
          <cell r="CT41">
            <v>57843.767166981408</v>
          </cell>
          <cell r="CU41">
            <v>55871.999071472208</v>
          </cell>
          <cell r="CV41">
            <v>47261.063047758835</v>
          </cell>
          <cell r="CW41">
            <v>49772.169607788666</v>
          </cell>
          <cell r="DE41">
            <v>7653.8299389164149</v>
          </cell>
          <cell r="DF41">
            <v>7483.2530105591359</v>
          </cell>
          <cell r="DG41">
            <v>9829.3624571004857</v>
          </cell>
          <cell r="DH41">
            <v>9230.5938798823918</v>
          </cell>
          <cell r="DI41">
            <v>9222.3591262486716</v>
          </cell>
          <cell r="DJ41">
            <v>8907.9889809230517</v>
          </cell>
          <cell r="DK41">
            <v>7535.0987230221563</v>
          </cell>
          <cell r="DL41">
            <v>7935.4586517595317</v>
          </cell>
          <cell r="DT41">
            <v>8483.4097838461676</v>
          </cell>
          <cell r="DU41">
            <v>6919.4111939727381</v>
          </cell>
          <cell r="DV41">
            <v>9088.7479708767241</v>
          </cell>
          <cell r="DW41">
            <v>8535.0949018229421</v>
          </cell>
          <cell r="DX41">
            <v>8527.480613438951</v>
          </cell>
          <cell r="DY41">
            <v>8236.7973638484909</v>
          </cell>
          <cell r="DZ41">
            <v>6967.3504795574854</v>
          </cell>
          <cell r="EA41">
            <v>7337.5444271113893</v>
          </cell>
          <cell r="EX41">
            <v>78259.69</v>
          </cell>
          <cell r="EY41">
            <v>88964.75</v>
          </cell>
          <cell r="EZ41">
            <v>67719.95</v>
          </cell>
          <cell r="FA41">
            <v>54161.27</v>
          </cell>
          <cell r="FB41">
            <v>58730.03</v>
          </cell>
          <cell r="FC41">
            <v>79660.19</v>
          </cell>
          <cell r="FD41">
            <v>80855.28</v>
          </cell>
          <cell r="FE41">
            <v>73679.64</v>
          </cell>
          <cell r="FF41">
            <v>72656.58</v>
          </cell>
          <cell r="FG41">
            <v>71127.33</v>
          </cell>
          <cell r="FH41">
            <v>69070.3</v>
          </cell>
          <cell r="FI41">
            <v>54879.65</v>
          </cell>
          <cell r="FM41">
            <v>5159.24</v>
          </cell>
          <cell r="FN41">
            <v>4714.72</v>
          </cell>
          <cell r="FO41">
            <v>4058.3</v>
          </cell>
          <cell r="FP41">
            <v>3612.79</v>
          </cell>
          <cell r="FQ41">
            <v>3593.41</v>
          </cell>
          <cell r="FR41">
            <v>5361.73</v>
          </cell>
          <cell r="FS41">
            <v>3844.56</v>
          </cell>
          <cell r="FT41">
            <v>5384.26</v>
          </cell>
          <cell r="FU41">
            <v>4259.3100000000004</v>
          </cell>
          <cell r="FV41">
            <v>4509.7299999999996</v>
          </cell>
          <cell r="FW41">
            <v>4012.79</v>
          </cell>
          <cell r="FX41">
            <v>3140.64</v>
          </cell>
          <cell r="GB41">
            <v>18953.45</v>
          </cell>
          <cell r="GC41">
            <v>16554.62</v>
          </cell>
          <cell r="GD41">
            <v>14834.89</v>
          </cell>
          <cell r="GE41">
            <v>15073.98</v>
          </cell>
          <cell r="GF41">
            <v>12896.59</v>
          </cell>
          <cell r="GG41">
            <v>17675.22</v>
          </cell>
          <cell r="GH41">
            <v>13250.8</v>
          </cell>
          <cell r="GI41">
            <v>21742.27</v>
          </cell>
          <cell r="GJ41">
            <v>17942.86</v>
          </cell>
          <cell r="GK41">
            <v>18956.95</v>
          </cell>
          <cell r="GL41">
            <v>16051.16</v>
          </cell>
          <cell r="GM41">
            <v>12562.57</v>
          </cell>
        </row>
        <row r="42">
          <cell r="A42" t="str">
            <v>Payroll Taxes &amp; Employee Benefits</v>
          </cell>
          <cell r="C42">
            <v>0</v>
          </cell>
          <cell r="D42">
            <v>0</v>
          </cell>
          <cell r="E42">
            <v>0</v>
          </cell>
          <cell r="F42" t="str">
            <v>n/a</v>
          </cell>
          <cell r="G42">
            <v>9.4621467478829473</v>
          </cell>
          <cell r="H42">
            <v>9.3052802940097976</v>
          </cell>
          <cell r="J42">
            <v>0</v>
          </cell>
          <cell r="K42">
            <v>0</v>
          </cell>
          <cell r="L42">
            <v>0</v>
          </cell>
          <cell r="M42" t="str">
            <v>n/a</v>
          </cell>
          <cell r="N42">
            <v>7.4248718604926456</v>
          </cell>
          <cell r="O42">
            <v>7.4042681027039867</v>
          </cell>
          <cell r="Q42">
            <v>0</v>
          </cell>
          <cell r="R42">
            <v>0</v>
          </cell>
          <cell r="S42">
            <v>0</v>
          </cell>
          <cell r="T42" t="str">
            <v>n/a</v>
          </cell>
          <cell r="U42">
            <v>0.9662715430146106</v>
          </cell>
          <cell r="V42">
            <v>0.47421831108976914</v>
          </cell>
          <cell r="X42">
            <v>0</v>
          </cell>
          <cell r="Y42">
            <v>0</v>
          </cell>
          <cell r="Z42">
            <v>0</v>
          </cell>
          <cell r="AA42" t="str">
            <v>n/a</v>
          </cell>
          <cell r="AB42">
            <v>1.0710033443756926</v>
          </cell>
          <cell r="AC42">
            <v>1.4267938802160416</v>
          </cell>
          <cell r="AD42">
            <v>112.64805834345427</v>
          </cell>
          <cell r="AE42">
            <v>137.0261438759216</v>
          </cell>
          <cell r="AH42">
            <v>12399.779999999999</v>
          </cell>
          <cell r="AI42">
            <v>7582.93</v>
          </cell>
          <cell r="AJ42">
            <v>8996.06</v>
          </cell>
          <cell r="AK42">
            <v>8593.52</v>
          </cell>
          <cell r="AL42">
            <v>7807.42</v>
          </cell>
          <cell r="AM42">
            <v>6425.49</v>
          </cell>
          <cell r="AN42">
            <v>6361.4</v>
          </cell>
          <cell r="AO42">
            <v>7049</v>
          </cell>
          <cell r="AW42">
            <v>1371.17</v>
          </cell>
          <cell r="AX42">
            <v>722.52</v>
          </cell>
          <cell r="AY42">
            <v>944.62000000000012</v>
          </cell>
          <cell r="AZ42">
            <v>914</v>
          </cell>
          <cell r="BA42">
            <v>800.42</v>
          </cell>
          <cell r="BB42">
            <v>648.16000000000008</v>
          </cell>
          <cell r="BC42">
            <v>644.31999999999994</v>
          </cell>
          <cell r="BD42">
            <v>767.15</v>
          </cell>
          <cell r="BL42">
            <v>1371.17</v>
          </cell>
          <cell r="BM42">
            <v>722.52</v>
          </cell>
          <cell r="BN42">
            <v>944.62000000000012</v>
          </cell>
          <cell r="BO42">
            <v>914</v>
          </cell>
          <cell r="BP42">
            <v>800.42</v>
          </cell>
          <cell r="BQ42">
            <v>648.16000000000008</v>
          </cell>
          <cell r="BR42">
            <v>644.31999999999994</v>
          </cell>
          <cell r="BS42">
            <v>767.15</v>
          </cell>
          <cell r="CP42">
            <v>7765.5454690208126</v>
          </cell>
          <cell r="CQ42">
            <v>6509.5972364575509</v>
          </cell>
          <cell r="CR42">
            <v>7979.718996424459</v>
          </cell>
          <cell r="CS42">
            <v>7457.0940159554893</v>
          </cell>
          <cell r="CT42">
            <v>7453.2290919049137</v>
          </cell>
          <cell r="CU42">
            <v>7227.3107411822739</v>
          </cell>
          <cell r="CV42">
            <v>6889.1276891601719</v>
          </cell>
          <cell r="CW42">
            <v>7093.16168809997</v>
          </cell>
          <cell r="DE42">
            <v>1010.6067476567855</v>
          </cell>
          <cell r="DF42">
            <v>1037.8619239743459</v>
          </cell>
          <cell r="DG42">
            <v>1272.2517553037756</v>
          </cell>
          <cell r="DH42">
            <v>1188.926697232786</v>
          </cell>
          <cell r="DI42">
            <v>1188.3104905205366</v>
          </cell>
          <cell r="DJ42">
            <v>1152.2910494360822</v>
          </cell>
          <cell r="DK42">
            <v>1098.3726117389783</v>
          </cell>
          <cell r="DL42">
            <v>1130.9029067793326</v>
          </cell>
          <cell r="DT42">
            <v>1120.1439330524636</v>
          </cell>
          <cell r="DU42">
            <v>959.66198181632649</v>
          </cell>
          <cell r="DV42">
            <v>1176.3912064417354</v>
          </cell>
          <cell r="DW42">
            <v>1099.3444543485898</v>
          </cell>
          <cell r="DX42">
            <v>1098.7746770583494</v>
          </cell>
          <cell r="DY42">
            <v>1065.4691983462521</v>
          </cell>
          <cell r="DZ42">
            <v>1015.6133614747168</v>
          </cell>
          <cell r="EA42">
            <v>1045.692591366831</v>
          </cell>
          <cell r="EX42">
            <v>12434.887882973551</v>
          </cell>
          <cell r="EY42">
            <v>12256.99572371405</v>
          </cell>
          <cell r="EZ42">
            <v>8290.9016257168805</v>
          </cell>
          <cell r="FA42">
            <v>7401.5679340336537</v>
          </cell>
          <cell r="FB42">
            <v>7195.5690232910274</v>
          </cell>
          <cell r="FC42">
            <v>11731.065321469358</v>
          </cell>
          <cell r="FD42">
            <v>9929.7133910732082</v>
          </cell>
          <cell r="FE42">
            <v>9675.8666364737073</v>
          </cell>
          <cell r="FF42">
            <v>7404.2681027039871</v>
          </cell>
          <cell r="FG42">
            <v>8805.6530244309088</v>
          </cell>
          <cell r="FH42">
            <v>8171.568964814418</v>
          </cell>
          <cell r="FI42">
            <v>6741.749150123358</v>
          </cell>
          <cell r="FM42">
            <v>706.44904192617992</v>
          </cell>
          <cell r="FN42">
            <v>698.3456791779613</v>
          </cell>
          <cell r="FO42">
            <v>449.79744898145123</v>
          </cell>
          <cell r="FP42">
            <v>349.27334299787327</v>
          </cell>
          <cell r="FQ42">
            <v>389.69875074708267</v>
          </cell>
          <cell r="FR42">
            <v>737.0284701759939</v>
          </cell>
          <cell r="FS42">
            <v>546.3919657749932</v>
          </cell>
          <cell r="FT42">
            <v>533.79088329635329</v>
          </cell>
          <cell r="FU42">
            <v>474.21831108976914</v>
          </cell>
          <cell r="FV42">
            <v>445.56552554423087</v>
          </cell>
          <cell r="FW42">
            <v>387.02299831662799</v>
          </cell>
          <cell r="FX42">
            <v>353.18471522865923</v>
          </cell>
          <cell r="GB42">
            <v>2363.6377283479687</v>
          </cell>
          <cell r="GC42">
            <v>2340.9424939331798</v>
          </cell>
          <cell r="GD42">
            <v>1629.7126968205539</v>
          </cell>
          <cell r="GE42">
            <v>1238.2953203663806</v>
          </cell>
          <cell r="GF42">
            <v>1333.6785254626693</v>
          </cell>
          <cell r="GG42">
            <v>2464.5807896078886</v>
          </cell>
          <cell r="GH42">
            <v>2223.3607801171611</v>
          </cell>
          <cell r="GI42">
            <v>1657.7228615746881</v>
          </cell>
          <cell r="GJ42">
            <v>1426.7938802160415</v>
          </cell>
          <cell r="GK42">
            <v>1500.6457184875842</v>
          </cell>
          <cell r="GL42">
            <v>1487.419221378578</v>
          </cell>
          <cell r="GM42">
            <v>1248.7799455336226</v>
          </cell>
        </row>
        <row r="43">
          <cell r="A43" t="str">
            <v>Other General &amp; Administrative Expense</v>
          </cell>
          <cell r="C43">
            <v>0</v>
          </cell>
          <cell r="D43">
            <v>0</v>
          </cell>
          <cell r="E43">
            <v>0</v>
          </cell>
          <cell r="F43" t="str">
            <v>n/a</v>
          </cell>
          <cell r="G43">
            <v>30.2</v>
          </cell>
          <cell r="H43">
            <v>33.280019999999979</v>
          </cell>
          <cell r="J43">
            <v>0</v>
          </cell>
          <cell r="K43">
            <v>0</v>
          </cell>
          <cell r="L43">
            <v>0</v>
          </cell>
          <cell r="M43" t="str">
            <v>n/a</v>
          </cell>
          <cell r="N43">
            <v>23.630384761495357</v>
          </cell>
          <cell r="O43">
            <v>20.289539999999985</v>
          </cell>
          <cell r="Q43">
            <v>0</v>
          </cell>
          <cell r="R43">
            <v>0</v>
          </cell>
          <cell r="S43">
            <v>0</v>
          </cell>
          <cell r="T43" t="str">
            <v>n/a</v>
          </cell>
          <cell r="U43">
            <v>2.4186452848575497</v>
          </cell>
          <cell r="V43">
            <v>1.7830499999999987</v>
          </cell>
          <cell r="X43">
            <v>0</v>
          </cell>
          <cell r="Y43">
            <v>0</v>
          </cell>
          <cell r="Z43">
            <v>0</v>
          </cell>
          <cell r="AA43" t="str">
            <v>n/a</v>
          </cell>
          <cell r="AB43">
            <v>4.150969953647091</v>
          </cell>
          <cell r="AC43">
            <v>11.207429999999997</v>
          </cell>
          <cell r="AD43">
            <v>342.07297000000023</v>
          </cell>
          <cell r="AE43">
            <v>534.94555500000001</v>
          </cell>
          <cell r="AH43">
            <v>5465.0170000000144</v>
          </cell>
          <cell r="AI43">
            <v>17186.208999999995</v>
          </cell>
          <cell r="AJ43">
            <v>13342.415999999979</v>
          </cell>
          <cell r="AK43">
            <v>11713.041000000003</v>
          </cell>
          <cell r="AL43">
            <v>20205.665999999997</v>
          </cell>
          <cell r="AM43">
            <v>12749.138999999986</v>
          </cell>
          <cell r="AN43">
            <v>11773.522999999996</v>
          </cell>
          <cell r="AO43">
            <v>14729.664000000002</v>
          </cell>
          <cell r="AW43">
            <v>14352.026999999996</v>
          </cell>
          <cell r="AX43">
            <v>3521.9139999999984</v>
          </cell>
          <cell r="AY43">
            <v>3469.4910000000027</v>
          </cell>
          <cell r="AZ43">
            <v>13505.235999999999</v>
          </cell>
          <cell r="BA43">
            <v>16535.075000000004</v>
          </cell>
          <cell r="BB43">
            <v>1673.4509999999991</v>
          </cell>
          <cell r="BC43">
            <v>4962.9209999999994</v>
          </cell>
          <cell r="BD43">
            <v>1821.5769999999982</v>
          </cell>
          <cell r="BL43">
            <v>9018.4419999999973</v>
          </cell>
          <cell r="BM43">
            <v>10429.621000000001</v>
          </cell>
          <cell r="BN43">
            <v>8901.0889999999981</v>
          </cell>
          <cell r="BO43">
            <v>-2293.34</v>
          </cell>
          <cell r="BP43">
            <v>3097.2440000000006</v>
          </cell>
          <cell r="BQ43">
            <v>1692.7829999999994</v>
          </cell>
          <cell r="BR43">
            <v>1947.8740000000016</v>
          </cell>
          <cell r="BS43">
            <v>3794.9740000000011</v>
          </cell>
          <cell r="CP43">
            <v>25076.015943320228</v>
          </cell>
          <cell r="CQ43">
            <v>23293.772441889341</v>
          </cell>
          <cell r="CR43">
            <v>23293.772441889345</v>
          </cell>
          <cell r="CS43">
            <v>27693.772441889341</v>
          </cell>
          <cell r="CT43">
            <v>26493.772441889338</v>
          </cell>
          <cell r="CU43">
            <v>23093.772441889345</v>
          </cell>
          <cell r="CV43">
            <v>27373.772441889341</v>
          </cell>
          <cell r="CW43">
            <v>25373.772441889349</v>
          </cell>
          <cell r="DE43">
            <v>2372.6140841106285</v>
          </cell>
          <cell r="DF43">
            <v>2825.8479527901777</v>
          </cell>
          <cell r="DG43">
            <v>2825.84795279018</v>
          </cell>
          <cell r="DH43">
            <v>3375.84795279018</v>
          </cell>
          <cell r="DI43">
            <v>3225.8479527901818</v>
          </cell>
          <cell r="DJ43">
            <v>2925.84795279018</v>
          </cell>
          <cell r="DK43">
            <v>3585.8479527901777</v>
          </cell>
          <cell r="DL43">
            <v>3335.8479527901795</v>
          </cell>
          <cell r="DT43">
            <v>4151.3699725691376</v>
          </cell>
          <cell r="DU43">
            <v>3980.379605320491</v>
          </cell>
          <cell r="DV43">
            <v>3980.379605320491</v>
          </cell>
          <cell r="DW43">
            <v>4530.3796053204915</v>
          </cell>
          <cell r="DX43">
            <v>4380.3796053204887</v>
          </cell>
          <cell r="DY43">
            <v>4080.3796053204906</v>
          </cell>
          <cell r="DZ43">
            <v>4740.3796053204896</v>
          </cell>
          <cell r="EA43">
            <v>4490.3796053204906</v>
          </cell>
          <cell r="EX43">
            <v>21147.814999999999</v>
          </cell>
          <cell r="EY43">
            <v>35314.095000000016</v>
          </cell>
          <cell r="EZ43">
            <v>21085.210000000039</v>
          </cell>
          <cell r="FA43">
            <v>22362.99500000001</v>
          </cell>
          <cell r="FB43">
            <v>17446.729999999996</v>
          </cell>
          <cell r="FC43">
            <v>30243.360000000004</v>
          </cell>
          <cell r="FD43">
            <v>23813.740000000005</v>
          </cell>
          <cell r="FE43">
            <v>30213.579999999994</v>
          </cell>
          <cell r="FF43">
            <v>20289.539999999986</v>
          </cell>
          <cell r="FG43">
            <v>30421.250000000018</v>
          </cell>
          <cell r="FH43">
            <v>22271.270000000004</v>
          </cell>
          <cell r="FI43">
            <v>24380.93</v>
          </cell>
          <cell r="FM43">
            <v>2061.2399999999989</v>
          </cell>
          <cell r="FN43">
            <v>3671.8299999999986</v>
          </cell>
          <cell r="FO43">
            <v>1907.3000000000006</v>
          </cell>
          <cell r="FP43">
            <v>1935.9699999999993</v>
          </cell>
          <cell r="FQ43">
            <v>1893.3400000000008</v>
          </cell>
          <cell r="FR43">
            <v>1861.3899999999994</v>
          </cell>
          <cell r="FS43">
            <v>9355.42</v>
          </cell>
          <cell r="FT43">
            <v>2641.3000000000011</v>
          </cell>
          <cell r="FU43">
            <v>1783.0499999999986</v>
          </cell>
          <cell r="FV43">
            <v>10343.259999999998</v>
          </cell>
          <cell r="FW43">
            <v>10976.850000000002</v>
          </cell>
          <cell r="FX43">
            <v>5240.9000000000015</v>
          </cell>
          <cell r="GB43">
            <v>4623.7499999999982</v>
          </cell>
          <cell r="GC43">
            <v>24580.899999999998</v>
          </cell>
          <cell r="GD43">
            <v>19457.589999999997</v>
          </cell>
          <cell r="GE43">
            <v>22223.779999999992</v>
          </cell>
          <cell r="GF43">
            <v>9609.9300000000021</v>
          </cell>
          <cell r="GG43">
            <v>15094.520000000008</v>
          </cell>
          <cell r="GH43">
            <v>20075.2</v>
          </cell>
          <cell r="GI43">
            <v>13656.639999999994</v>
          </cell>
          <cell r="GJ43">
            <v>11207.429999999997</v>
          </cell>
          <cell r="GK43">
            <v>19355.64</v>
          </cell>
          <cell r="GL43">
            <v>12262.149999999996</v>
          </cell>
          <cell r="GM43">
            <v>10135.659999999998</v>
          </cell>
        </row>
        <row r="44">
          <cell r="A44" t="str">
            <v>General &amp; Administrative Expense</v>
          </cell>
          <cell r="C44">
            <v>0</v>
          </cell>
          <cell r="D44">
            <v>0</v>
          </cell>
          <cell r="E44">
            <v>0</v>
          </cell>
          <cell r="F44" t="str">
            <v>n/a</v>
          </cell>
          <cell r="G44">
            <v>111.11593890996731</v>
          </cell>
          <cell r="H44">
            <v>137.44405029400977</v>
          </cell>
          <cell r="J44">
            <v>0</v>
          </cell>
          <cell r="K44">
            <v>0</v>
          </cell>
          <cell r="L44">
            <v>0</v>
          </cell>
          <cell r="M44" t="str">
            <v>n/a</v>
          </cell>
          <cell r="N44">
            <v>87.124483287538453</v>
          </cell>
          <cell r="O44">
            <v>100.35038810270397</v>
          </cell>
          <cell r="Q44">
            <v>0</v>
          </cell>
          <cell r="R44">
            <v>0</v>
          </cell>
          <cell r="S44">
            <v>0</v>
          </cell>
          <cell r="T44" t="str">
            <v>n/a</v>
          </cell>
          <cell r="U44">
            <v>10.68175631328284</v>
          </cell>
          <cell r="V44">
            <v>6.5165783110897681</v>
          </cell>
          <cell r="X44">
            <v>0</v>
          </cell>
          <cell r="Y44">
            <v>0</v>
          </cell>
          <cell r="Z44">
            <v>0</v>
          </cell>
          <cell r="AA44" t="str">
            <v>n/a</v>
          </cell>
          <cell r="AB44">
            <v>13.309699309146012</v>
          </cell>
          <cell r="AC44">
            <v>30.577083880216037</v>
          </cell>
          <cell r="AD44">
            <v>1346.8881970064999</v>
          </cell>
          <cell r="AE44">
            <v>1769.8831988759216</v>
          </cell>
          <cell r="AH44">
            <v>73336.295000000013</v>
          </cell>
          <cell r="AI44">
            <v>86718.499000000011</v>
          </cell>
          <cell r="AJ44">
            <v>93691.885999999984</v>
          </cell>
          <cell r="AK44">
            <v>72906.410999999993</v>
          </cell>
          <cell r="AL44">
            <v>106074.086</v>
          </cell>
          <cell r="AM44">
            <v>98307.888999999996</v>
          </cell>
          <cell r="AN44">
            <v>74355.122999999992</v>
          </cell>
          <cell r="AO44">
            <v>77721.254000000001</v>
          </cell>
          <cell r="AP44">
            <v>0</v>
          </cell>
          <cell r="AQ44">
            <v>0</v>
          </cell>
          <cell r="AR44">
            <v>0</v>
          </cell>
          <cell r="AS44">
            <v>0</v>
          </cell>
          <cell r="AW44">
            <v>21751.897999999997</v>
          </cell>
          <cell r="AX44">
            <v>11065.883999999998</v>
          </cell>
          <cell r="AY44">
            <v>11616.881000000003</v>
          </cell>
          <cell r="AZ44">
            <v>25729.525999999998</v>
          </cell>
          <cell r="BA44">
            <v>26455.115000000005</v>
          </cell>
          <cell r="BB44">
            <v>12776.721</v>
          </cell>
          <cell r="BC44">
            <v>12742.091</v>
          </cell>
          <cell r="BD44">
            <v>8933.6869999999981</v>
          </cell>
          <cell r="BE44">
            <v>0</v>
          </cell>
          <cell r="BF44">
            <v>0</v>
          </cell>
          <cell r="BG44">
            <v>0</v>
          </cell>
          <cell r="BH44">
            <v>0</v>
          </cell>
          <cell r="BL44">
            <v>16418.312999999998</v>
          </cell>
          <cell r="BM44">
            <v>17973.591</v>
          </cell>
          <cell r="BN44">
            <v>17048.478999999999</v>
          </cell>
          <cell r="BO44">
            <v>12156.729999999998</v>
          </cell>
          <cell r="BP44">
            <v>13287.284</v>
          </cell>
          <cell r="BQ44">
            <v>13336.053</v>
          </cell>
          <cell r="BR44">
            <v>10027.044000000002</v>
          </cell>
          <cell r="BS44">
            <v>10907.084000000001</v>
          </cell>
          <cell r="BT44">
            <v>0</v>
          </cell>
          <cell r="BU44">
            <v>0</v>
          </cell>
          <cell r="BV44">
            <v>0</v>
          </cell>
          <cell r="BW44">
            <v>0</v>
          </cell>
          <cell r="CP44">
            <v>91653.917989830923</v>
          </cell>
          <cell r="CQ44">
            <v>76739.250060882725</v>
          </cell>
          <cell r="CR44">
            <v>92924.457919344975</v>
          </cell>
          <cell r="CS44">
            <v>93046.283009256586</v>
          </cell>
          <cell r="CT44">
            <v>91790.768700775661</v>
          </cell>
          <cell r="CU44">
            <v>86193.082254543828</v>
          </cell>
          <cell r="CV44">
            <v>81523.96317880835</v>
          </cell>
          <cell r="CW44">
            <v>82239.103737777987</v>
          </cell>
          <cell r="CX44">
            <v>0</v>
          </cell>
          <cell r="CY44">
            <v>0</v>
          </cell>
          <cell r="CZ44">
            <v>0</v>
          </cell>
          <cell r="DA44">
            <v>0</v>
          </cell>
          <cell r="DE44">
            <v>11037.050770683829</v>
          </cell>
          <cell r="DF44">
            <v>11346.96288732366</v>
          </cell>
          <cell r="DG44">
            <v>13927.462165194442</v>
          </cell>
          <cell r="DH44">
            <v>13795.368529905358</v>
          </cell>
          <cell r="DI44">
            <v>13636.51756955939</v>
          </cell>
          <cell r="DJ44">
            <v>12986.127983149314</v>
          </cell>
          <cell r="DK44">
            <v>12219.319287551312</v>
          </cell>
          <cell r="DL44">
            <v>12402.209511329045</v>
          </cell>
          <cell r="DM44">
            <v>0</v>
          </cell>
          <cell r="DN44">
            <v>0</v>
          </cell>
          <cell r="DO44">
            <v>0</v>
          </cell>
          <cell r="DP44">
            <v>0</v>
          </cell>
          <cell r="DT44">
            <v>13754.923689467767</v>
          </cell>
          <cell r="DU44">
            <v>11859.452781109556</v>
          </cell>
          <cell r="DV44">
            <v>14245.51878263895</v>
          </cell>
          <cell r="DW44">
            <v>14164.818961492023</v>
          </cell>
          <cell r="DX44">
            <v>14006.634895817788</v>
          </cell>
          <cell r="DY44">
            <v>13382.646167515235</v>
          </cell>
          <cell r="DZ44">
            <v>12723.343446352692</v>
          </cell>
          <cell r="EA44">
            <v>12873.616623798709</v>
          </cell>
          <cell r="EB44">
            <v>0</v>
          </cell>
          <cell r="EC44">
            <v>0</v>
          </cell>
          <cell r="ED44">
            <v>0</v>
          </cell>
          <cell r="EE44">
            <v>0</v>
          </cell>
          <cell r="EX44">
            <v>111842.39288297355</v>
          </cell>
          <cell r="EY44">
            <v>136535.84072371406</v>
          </cell>
          <cell r="EZ44">
            <v>97096.061625716917</v>
          </cell>
          <cell r="FA44">
            <v>83925.832934033664</v>
          </cell>
          <cell r="FB44">
            <v>83372.329023291022</v>
          </cell>
          <cell r="FC44">
            <v>121634.61532146936</v>
          </cell>
          <cell r="FD44">
            <v>114598.73339107321</v>
          </cell>
          <cell r="FE44">
            <v>113569.08663647369</v>
          </cell>
          <cell r="FF44">
            <v>100350.38810270396</v>
          </cell>
          <cell r="FG44">
            <v>110354.23302443093</v>
          </cell>
          <cell r="FH44">
            <v>99513.138964814425</v>
          </cell>
          <cell r="FI44">
            <v>86002.329150123362</v>
          </cell>
          <cell r="FM44">
            <v>7926.9290419261788</v>
          </cell>
          <cell r="FN44">
            <v>9084.8956791779601</v>
          </cell>
          <cell r="FO44">
            <v>6415.3974489814518</v>
          </cell>
          <cell r="FP44">
            <v>5898.0333429978728</v>
          </cell>
          <cell r="FQ44">
            <v>5876.4487507470831</v>
          </cell>
          <cell r="FR44">
            <v>7960.1484701759928</v>
          </cell>
          <cell r="FS44">
            <v>13746.371965774993</v>
          </cell>
          <cell r="FT44">
            <v>8559.3508832963544</v>
          </cell>
          <cell r="FU44">
            <v>6516.5783110897682</v>
          </cell>
          <cell r="FV44">
            <v>15298.555525544229</v>
          </cell>
          <cell r="FW44">
            <v>15376.662998316631</v>
          </cell>
          <cell r="FX44">
            <v>8734.72471522866</v>
          </cell>
          <cell r="GB44">
            <v>25940.837728347971</v>
          </cell>
          <cell r="GC44">
            <v>43476.462493933177</v>
          </cell>
          <cell r="GD44">
            <v>35922.192696820552</v>
          </cell>
          <cell r="GE44">
            <v>38536.055320366373</v>
          </cell>
          <cell r="GF44">
            <v>23840.198525462671</v>
          </cell>
          <cell r="GG44">
            <v>35234.320789607897</v>
          </cell>
          <cell r="GH44">
            <v>35549.36078011716</v>
          </cell>
          <cell r="GI44">
            <v>37056.632861574682</v>
          </cell>
          <cell r="GJ44">
            <v>30577.08388021604</v>
          </cell>
          <cell r="GK44">
            <v>39813.235718487587</v>
          </cell>
          <cell r="GL44">
            <v>29800.729221378577</v>
          </cell>
          <cell r="GM44">
            <v>23947.00994553362</v>
          </cell>
        </row>
        <row r="47">
          <cell r="A47" t="str">
            <v>Operating Income/(Loss)</v>
          </cell>
          <cell r="C47">
            <v>0</v>
          </cell>
          <cell r="D47">
            <v>0</v>
          </cell>
          <cell r="E47">
            <v>0</v>
          </cell>
          <cell r="F47" t="str">
            <v>n/a</v>
          </cell>
          <cell r="G47">
            <v>207.33838598932982</v>
          </cell>
          <cell r="H47">
            <v>-139.13647999999995</v>
          </cell>
          <cell r="J47">
            <v>0</v>
          </cell>
          <cell r="K47">
            <v>0</v>
          </cell>
          <cell r="L47">
            <v>0</v>
          </cell>
          <cell r="M47" t="str">
            <v>n/a</v>
          </cell>
          <cell r="N47">
            <v>88.627515639880301</v>
          </cell>
          <cell r="O47">
            <v>-94.898569999999964</v>
          </cell>
          <cell r="Q47">
            <v>0</v>
          </cell>
          <cell r="R47">
            <v>0</v>
          </cell>
          <cell r="S47">
            <v>0</v>
          </cell>
          <cell r="T47" t="str">
            <v>n/a</v>
          </cell>
          <cell r="U47">
            <v>111.16640299404062</v>
          </cell>
          <cell r="V47">
            <v>16.296210000000002</v>
          </cell>
          <cell r="X47">
            <v>0</v>
          </cell>
          <cell r="Y47">
            <v>0</v>
          </cell>
          <cell r="Z47">
            <v>0</v>
          </cell>
          <cell r="AA47" t="str">
            <v>n/a</v>
          </cell>
          <cell r="AB47">
            <v>7.5444673554084858</v>
          </cell>
          <cell r="AC47">
            <v>-60.534120000000001</v>
          </cell>
          <cell r="AD47">
            <v>2171.3859188022411</v>
          </cell>
          <cell r="AE47">
            <v>1530.721790000001</v>
          </cell>
          <cell r="AH47">
            <v>988.82700000013574</v>
          </cell>
          <cell r="AI47">
            <v>66762.259999999893</v>
          </cell>
          <cell r="AJ47">
            <v>597133.02899999986</v>
          </cell>
          <cell r="AK47">
            <v>302101.73900000006</v>
          </cell>
          <cell r="AL47">
            <v>262077.69499999995</v>
          </cell>
          <cell r="AM47">
            <v>723541.51499999978</v>
          </cell>
          <cell r="AN47">
            <v>186601.90800000002</v>
          </cell>
          <cell r="AO47">
            <v>151807.00200000004</v>
          </cell>
          <cell r="AP47">
            <v>0</v>
          </cell>
          <cell r="AQ47">
            <v>0</v>
          </cell>
          <cell r="AR47">
            <v>0</v>
          </cell>
          <cell r="AS47">
            <v>0</v>
          </cell>
          <cell r="AW47">
            <v>59092.423999999999</v>
          </cell>
          <cell r="AX47">
            <v>-11381.679999999997</v>
          </cell>
          <cell r="AY47">
            <v>102410.42099999997</v>
          </cell>
          <cell r="AZ47">
            <v>114473.52099999999</v>
          </cell>
          <cell r="BA47">
            <v>35984.745000000039</v>
          </cell>
          <cell r="BB47">
            <v>-44594.695000000014</v>
          </cell>
          <cell r="BC47">
            <v>-26901.017999999989</v>
          </cell>
          <cell r="BD47">
            <v>12269.568000000014</v>
          </cell>
          <cell r="BE47">
            <v>0</v>
          </cell>
          <cell r="BF47">
            <v>0</v>
          </cell>
          <cell r="BG47">
            <v>0</v>
          </cell>
          <cell r="BH47">
            <v>0</v>
          </cell>
          <cell r="BL47">
            <v>82605.058999999965</v>
          </cell>
          <cell r="BM47">
            <v>-24952.189999999973</v>
          </cell>
          <cell r="BN47">
            <v>-130070.25999999998</v>
          </cell>
          <cell r="BO47">
            <v>-138850.48000000001</v>
          </cell>
          <cell r="BP47">
            <v>44568.150000000009</v>
          </cell>
          <cell r="BQ47">
            <v>230919.67999999999</v>
          </cell>
          <cell r="BR47">
            <v>-23581.37000000001</v>
          </cell>
          <cell r="BS47">
            <v>26628.99000000002</v>
          </cell>
          <cell r="BT47">
            <v>0</v>
          </cell>
          <cell r="BU47">
            <v>0</v>
          </cell>
          <cell r="BV47">
            <v>0</v>
          </cell>
          <cell r="BW47">
            <v>0</v>
          </cell>
          <cell r="CP47">
            <v>75126.303910495801</v>
          </cell>
          <cell r="CQ47">
            <v>163497.76759701641</v>
          </cell>
          <cell r="CR47">
            <v>449544.56518752384</v>
          </cell>
          <cell r="CS47">
            <v>264764.71154943272</v>
          </cell>
          <cell r="CT47">
            <v>27962.238701305498</v>
          </cell>
          <cell r="CU47">
            <v>126834.92354223893</v>
          </cell>
          <cell r="CV47">
            <v>-31749.423051776917</v>
          </cell>
          <cell r="CW47">
            <v>20933.318447115351</v>
          </cell>
          <cell r="CX47">
            <v>0</v>
          </cell>
          <cell r="CY47">
            <v>0</v>
          </cell>
          <cell r="CZ47">
            <v>0</v>
          </cell>
          <cell r="DA47">
            <v>0</v>
          </cell>
          <cell r="DE47">
            <v>6748.5212395382223</v>
          </cell>
          <cell r="DF47">
            <v>134948.53926804854</v>
          </cell>
          <cell r="DG47">
            <v>132347.03905721038</v>
          </cell>
          <cell r="DH47">
            <v>142812.2834369984</v>
          </cell>
          <cell r="DI47">
            <v>54671.317823837628</v>
          </cell>
          <cell r="DJ47">
            <v>47200.482347641147</v>
          </cell>
          <cell r="DK47">
            <v>19353.805230717964</v>
          </cell>
          <cell r="DL47">
            <v>53442.834444171691</v>
          </cell>
          <cell r="DM47">
            <v>0</v>
          </cell>
          <cell r="DN47">
            <v>0</v>
          </cell>
          <cell r="DO47">
            <v>0</v>
          </cell>
          <cell r="DP47">
            <v>0</v>
          </cell>
          <cell r="DT47">
            <v>68760.937097991817</v>
          </cell>
          <cell r="DU47">
            <v>-42748.045299466932</v>
          </cell>
          <cell r="DV47">
            <v>-130840.63832005052</v>
          </cell>
          <cell r="DW47">
            <v>-105704.8526780368</v>
          </cell>
          <cell r="DX47">
            <v>194993.34400098177</v>
          </cell>
          <cell r="DY47">
            <v>182766.91067333758</v>
          </cell>
          <cell r="DZ47">
            <v>29213.555547397409</v>
          </cell>
          <cell r="EA47">
            <v>45223.822256753177</v>
          </cell>
          <cell r="EB47">
            <v>0</v>
          </cell>
          <cell r="EC47">
            <v>0</v>
          </cell>
          <cell r="ED47">
            <v>0</v>
          </cell>
          <cell r="EE47">
            <v>0</v>
          </cell>
          <cell r="EX47">
            <v>108915.43500000007</v>
          </cell>
          <cell r="EY47">
            <v>11562.060000000085</v>
          </cell>
          <cell r="EZ47">
            <v>578846.5850000002</v>
          </cell>
          <cell r="FA47">
            <v>95924.854999999909</v>
          </cell>
          <cell r="FB47">
            <v>375392.26499999984</v>
          </cell>
          <cell r="FC47">
            <v>545192.44999999972</v>
          </cell>
          <cell r="FD47">
            <v>-289610.94999999995</v>
          </cell>
          <cell r="FE47">
            <v>-163994.51</v>
          </cell>
          <cell r="FF47">
            <v>-94898.569999999949</v>
          </cell>
          <cell r="FG47">
            <v>-2508.1609999998036</v>
          </cell>
          <cell r="FH47">
            <v>11669.094999999972</v>
          </cell>
          <cell r="FI47">
            <v>98795.710000000036</v>
          </cell>
          <cell r="FM47">
            <v>22738.703000000012</v>
          </cell>
          <cell r="FN47">
            <v>28692.725999999999</v>
          </cell>
          <cell r="FO47">
            <v>58323.306999999986</v>
          </cell>
          <cell r="FP47">
            <v>-12821.818999999992</v>
          </cell>
          <cell r="FQ47">
            <v>-22897.811000000002</v>
          </cell>
          <cell r="FR47">
            <v>-48004.941999999995</v>
          </cell>
          <cell r="FS47">
            <v>-35290.94</v>
          </cell>
          <cell r="FT47">
            <v>-8121.0800000000027</v>
          </cell>
          <cell r="FU47">
            <v>16296.209999999992</v>
          </cell>
          <cell r="FV47">
            <v>-1429.3090000000029</v>
          </cell>
          <cell r="FW47">
            <v>-17755.635000000002</v>
          </cell>
          <cell r="FX47">
            <v>3452.3280000000086</v>
          </cell>
          <cell r="GB47">
            <v>-37250.577999999987</v>
          </cell>
          <cell r="GC47">
            <v>6204.3540000000212</v>
          </cell>
          <cell r="GD47">
            <v>83631.128000000026</v>
          </cell>
          <cell r="GE47">
            <v>8925.5340000000069</v>
          </cell>
          <cell r="GF47">
            <v>118024.226</v>
          </cell>
          <cell r="GG47">
            <v>117319.34199999999</v>
          </cell>
          <cell r="GH47">
            <v>75835.87</v>
          </cell>
          <cell r="GI47">
            <v>-38571.350000000006</v>
          </cell>
          <cell r="GJ47">
            <v>-60534.12000000001</v>
          </cell>
          <cell r="GK47">
            <v>-70434.340000000011</v>
          </cell>
          <cell r="GL47">
            <v>33748.129999999983</v>
          </cell>
          <cell r="GM47">
            <v>35355.591999999961</v>
          </cell>
        </row>
        <row r="49">
          <cell r="A49" t="str">
            <v>Other Income/(Expense)</v>
          </cell>
          <cell r="C49">
            <v>0</v>
          </cell>
          <cell r="D49">
            <v>0</v>
          </cell>
          <cell r="E49">
            <v>0</v>
          </cell>
          <cell r="F49" t="str">
            <v>n/a</v>
          </cell>
          <cell r="G49">
            <v>-16.834849999999999</v>
          </cell>
          <cell r="H49">
            <v>22.369749999999996</v>
          </cell>
          <cell r="J49">
            <v>0</v>
          </cell>
          <cell r="K49">
            <v>0</v>
          </cell>
          <cell r="L49">
            <v>0</v>
          </cell>
          <cell r="M49" t="str">
            <v>n/a</v>
          </cell>
          <cell r="N49">
            <v>17.752301266162743</v>
          </cell>
          <cell r="O49">
            <v>16.583909999999999</v>
          </cell>
          <cell r="Q49">
            <v>0</v>
          </cell>
          <cell r="R49">
            <v>0</v>
          </cell>
          <cell r="S49">
            <v>0</v>
          </cell>
          <cell r="T49" t="str">
            <v>n/a</v>
          </cell>
          <cell r="U49">
            <v>-32.520875904283407</v>
          </cell>
          <cell r="V49">
            <v>1.0055800000000001</v>
          </cell>
          <cell r="X49">
            <v>0</v>
          </cell>
          <cell r="Y49">
            <v>0</v>
          </cell>
          <cell r="Z49">
            <v>0</v>
          </cell>
          <cell r="AA49" t="str">
            <v>n/a</v>
          </cell>
          <cell r="AB49">
            <v>-2.0662753618793337</v>
          </cell>
          <cell r="AC49">
            <v>4.7802600000000002</v>
          </cell>
          <cell r="AD49">
            <v>-180.20557000000002</v>
          </cell>
          <cell r="AE49">
            <v>-102.80721</v>
          </cell>
          <cell r="AH49">
            <v>0</v>
          </cell>
          <cell r="AI49">
            <v>-5.88</v>
          </cell>
          <cell r="AJ49">
            <v>-33831.699999999997</v>
          </cell>
          <cell r="AK49">
            <v>-7.0000000000000007E-2</v>
          </cell>
          <cell r="AL49">
            <v>33365.910000000003</v>
          </cell>
          <cell r="AM49">
            <v>-30459.090000000004</v>
          </cell>
          <cell r="AN49">
            <v>-9100</v>
          </cell>
          <cell r="AO49">
            <v>-8456.35</v>
          </cell>
          <cell r="AW49">
            <v>0</v>
          </cell>
          <cell r="AX49">
            <v>0</v>
          </cell>
          <cell r="AY49">
            <v>-6766.34</v>
          </cell>
          <cell r="AZ49">
            <v>-35000.01</v>
          </cell>
          <cell r="BA49">
            <v>-33365.910000000003</v>
          </cell>
          <cell r="BB49">
            <v>33947.279999999999</v>
          </cell>
          <cell r="BC49">
            <v>-1820</v>
          </cell>
          <cell r="BD49">
            <v>-37029.269999999997</v>
          </cell>
          <cell r="BL49">
            <v>0</v>
          </cell>
          <cell r="BM49">
            <v>0</v>
          </cell>
          <cell r="BN49">
            <v>-7732.96</v>
          </cell>
          <cell r="BO49">
            <v>-0.02</v>
          </cell>
          <cell r="BP49">
            <v>0</v>
          </cell>
          <cell r="BQ49">
            <v>664.42</v>
          </cell>
          <cell r="BR49">
            <v>-2080</v>
          </cell>
          <cell r="BS49">
            <v>-1932.88</v>
          </cell>
          <cell r="CP49">
            <v>-11360.830720048163</v>
          </cell>
          <cell r="CQ49">
            <v>17855.94058086483</v>
          </cell>
          <cell r="CR49">
            <v>21905.07634476891</v>
          </cell>
          <cell r="CS49">
            <v>31410.886460375492</v>
          </cell>
          <cell r="CT49">
            <v>31365.911745811361</v>
          </cell>
          <cell r="CU49">
            <v>1989.1619625508683</v>
          </cell>
          <cell r="CV49">
            <v>-8258</v>
          </cell>
          <cell r="CW49">
            <v>-9934.6500000000015</v>
          </cell>
          <cell r="DE49">
            <v>-1650.1656676700784</v>
          </cell>
          <cell r="DF49">
            <v>-32836.320580864834</v>
          </cell>
          <cell r="DG49">
            <v>-42297.25634476891</v>
          </cell>
          <cell r="DH49">
            <v>-33660.886460375492</v>
          </cell>
          <cell r="DI49">
            <v>-33615.911745811361</v>
          </cell>
          <cell r="DJ49">
            <v>-10397.450962550865</v>
          </cell>
          <cell r="DK49">
            <v>-2090</v>
          </cell>
          <cell r="DL49">
            <v>-2530</v>
          </cell>
          <cell r="DT49">
            <v>-2933.7036122817581</v>
          </cell>
          <cell r="DU49">
            <v>-2114.6999999999998</v>
          </cell>
          <cell r="DV49">
            <v>-2023.8700000000001</v>
          </cell>
          <cell r="DW49">
            <v>-250</v>
          </cell>
          <cell r="DX49">
            <v>-250</v>
          </cell>
          <cell r="DY49">
            <v>-8169.1095999999998</v>
          </cell>
          <cell r="DZ49">
            <v>-2388.3199999999997</v>
          </cell>
          <cell r="EA49">
            <v>-2394.3200000000002</v>
          </cell>
          <cell r="EX49">
            <v>-6670.5899999999992</v>
          </cell>
          <cell r="EY49">
            <v>-124.5</v>
          </cell>
          <cell r="EZ49">
            <v>-2293.25</v>
          </cell>
          <cell r="FA49">
            <v>-5602.9</v>
          </cell>
          <cell r="FB49">
            <v>-2130.85</v>
          </cell>
          <cell r="FC49">
            <v>-9930.86</v>
          </cell>
          <cell r="FD49">
            <v>42</v>
          </cell>
          <cell r="FE49">
            <v>-762.16</v>
          </cell>
          <cell r="FF49">
            <v>16583.91</v>
          </cell>
          <cell r="FG49">
            <v>-27229.769999999997</v>
          </cell>
          <cell r="FH49">
            <v>-7317.95</v>
          </cell>
          <cell r="FI49">
            <v>-9784.07</v>
          </cell>
          <cell r="FM49">
            <v>0</v>
          </cell>
          <cell r="FN49">
            <v>0</v>
          </cell>
          <cell r="FO49">
            <v>0</v>
          </cell>
          <cell r="FP49">
            <v>0</v>
          </cell>
          <cell r="FQ49">
            <v>0</v>
          </cell>
          <cell r="FR49">
            <v>0</v>
          </cell>
          <cell r="FS49">
            <v>0</v>
          </cell>
          <cell r="FT49">
            <v>0</v>
          </cell>
          <cell r="FU49">
            <v>1005.58</v>
          </cell>
          <cell r="FV49">
            <v>-2330.6999999999998</v>
          </cell>
          <cell r="FW49">
            <v>-466.14</v>
          </cell>
          <cell r="FX49">
            <v>-347.41</v>
          </cell>
          <cell r="GB49">
            <v>0</v>
          </cell>
          <cell r="GC49">
            <v>-6000</v>
          </cell>
          <cell r="GD49">
            <v>0</v>
          </cell>
          <cell r="GE49">
            <v>-6000</v>
          </cell>
          <cell r="GF49">
            <v>0</v>
          </cell>
          <cell r="GG49">
            <v>-23280.85</v>
          </cell>
          <cell r="GH49">
            <v>0</v>
          </cell>
          <cell r="GI49">
            <v>0</v>
          </cell>
          <cell r="GJ49">
            <v>4780.26</v>
          </cell>
          <cell r="GK49">
            <v>-11079.53</v>
          </cell>
          <cell r="GL49">
            <v>-2215.91</v>
          </cell>
          <cell r="GM49">
            <v>-1651.52</v>
          </cell>
        </row>
        <row r="51">
          <cell r="A51" t="str">
            <v>EBITDA</v>
          </cell>
          <cell r="C51">
            <v>0</v>
          </cell>
          <cell r="D51">
            <v>0</v>
          </cell>
          <cell r="E51">
            <v>0</v>
          </cell>
          <cell r="F51" t="str">
            <v>n/a</v>
          </cell>
          <cell r="G51">
            <v>190.50353598932983</v>
          </cell>
          <cell r="H51">
            <v>-116.76672999999995</v>
          </cell>
          <cell r="J51">
            <v>0</v>
          </cell>
          <cell r="K51">
            <v>0</v>
          </cell>
          <cell r="L51">
            <v>0</v>
          </cell>
          <cell r="M51" t="str">
            <v>n/a</v>
          </cell>
          <cell r="N51">
            <v>106.37981690604305</v>
          </cell>
          <cell r="O51">
            <v>-78.314659999999961</v>
          </cell>
          <cell r="Q51">
            <v>0</v>
          </cell>
          <cell r="R51">
            <v>0</v>
          </cell>
          <cell r="S51">
            <v>0</v>
          </cell>
          <cell r="T51" t="str">
            <v>n/a</v>
          </cell>
          <cell r="U51">
            <v>78.645527089757223</v>
          </cell>
          <cell r="V51">
            <v>17.301790000000004</v>
          </cell>
          <cell r="X51">
            <v>0</v>
          </cell>
          <cell r="Y51">
            <v>0</v>
          </cell>
          <cell r="Z51">
            <v>0</v>
          </cell>
          <cell r="AA51" t="str">
            <v>n/a</v>
          </cell>
          <cell r="AB51">
            <v>5.4781919935291521</v>
          </cell>
          <cell r="AC51">
            <v>-55.753860000000003</v>
          </cell>
          <cell r="AD51">
            <v>1991.180348802241</v>
          </cell>
          <cell r="AE51">
            <v>1427.914580000001</v>
          </cell>
          <cell r="AH51">
            <v>988.82700000013574</v>
          </cell>
          <cell r="AI51">
            <v>66756.379999999888</v>
          </cell>
          <cell r="AJ51">
            <v>563301.32899999991</v>
          </cell>
          <cell r="AK51">
            <v>302101.66900000005</v>
          </cell>
          <cell r="AL51">
            <v>295443.60499999998</v>
          </cell>
          <cell r="AM51">
            <v>693082.42499999981</v>
          </cell>
          <cell r="AN51">
            <v>177501.90800000002</v>
          </cell>
          <cell r="AO51">
            <v>143350.65200000003</v>
          </cell>
          <cell r="AP51">
            <v>0</v>
          </cell>
          <cell r="AQ51">
            <v>0</v>
          </cell>
          <cell r="AR51">
            <v>0</v>
          </cell>
          <cell r="AS51">
            <v>0</v>
          </cell>
          <cell r="AW51">
            <v>59092.423999999999</v>
          </cell>
          <cell r="AX51">
            <v>-11381.679999999997</v>
          </cell>
          <cell r="AY51">
            <v>95644.080999999976</v>
          </cell>
          <cell r="AZ51">
            <v>79473.510999999999</v>
          </cell>
          <cell r="BA51">
            <v>2618.8350000000355</v>
          </cell>
          <cell r="BB51">
            <v>-10647.415000000015</v>
          </cell>
          <cell r="BC51">
            <v>-28721.017999999989</v>
          </cell>
          <cell r="BD51">
            <v>-24759.701999999983</v>
          </cell>
          <cell r="BE51">
            <v>0</v>
          </cell>
          <cell r="BF51">
            <v>0</v>
          </cell>
          <cell r="BG51">
            <v>0</v>
          </cell>
          <cell r="BH51">
            <v>0</v>
          </cell>
          <cell r="BL51">
            <v>82605.058999999965</v>
          </cell>
          <cell r="BM51">
            <v>-24952.189999999973</v>
          </cell>
          <cell r="BN51">
            <v>-137803.21999999997</v>
          </cell>
          <cell r="BO51">
            <v>-138850.5</v>
          </cell>
          <cell r="BP51">
            <v>44568.150000000009</v>
          </cell>
          <cell r="BQ51">
            <v>231584.1</v>
          </cell>
          <cell r="BR51">
            <v>-25661.37000000001</v>
          </cell>
          <cell r="BS51">
            <v>24696.110000000019</v>
          </cell>
          <cell r="BT51">
            <v>0</v>
          </cell>
          <cell r="BU51">
            <v>0</v>
          </cell>
          <cell r="BV51">
            <v>0</v>
          </cell>
          <cell r="BW51">
            <v>0</v>
          </cell>
          <cell r="CP51">
            <v>63765.473190447636</v>
          </cell>
          <cell r="CQ51">
            <v>181353.70817788126</v>
          </cell>
          <cell r="CR51">
            <v>471449.64153229276</v>
          </cell>
          <cell r="CS51">
            <v>296175.59800980822</v>
          </cell>
          <cell r="CT51">
            <v>59328.150447116859</v>
          </cell>
          <cell r="CU51">
            <v>128824.08550478981</v>
          </cell>
          <cell r="CV51">
            <v>-40007.423051776917</v>
          </cell>
          <cell r="CW51">
            <v>10998.668447115349</v>
          </cell>
          <cell r="CX51">
            <v>0</v>
          </cell>
          <cell r="CY51">
            <v>0</v>
          </cell>
          <cell r="CZ51">
            <v>0</v>
          </cell>
          <cell r="DA51">
            <v>0</v>
          </cell>
          <cell r="DE51">
            <v>5098.3555718681437</v>
          </cell>
          <cell r="DF51">
            <v>102112.2186871837</v>
          </cell>
          <cell r="DG51">
            <v>90049.782712441462</v>
          </cell>
          <cell r="DH51">
            <v>109151.39697662291</v>
          </cell>
          <cell r="DI51">
            <v>21055.406078026266</v>
          </cell>
          <cell r="DJ51">
            <v>36803.031385090282</v>
          </cell>
          <cell r="DK51">
            <v>17263.805230717964</v>
          </cell>
          <cell r="DL51">
            <v>50912.834444171691</v>
          </cell>
          <cell r="DM51">
            <v>0</v>
          </cell>
          <cell r="DN51">
            <v>0</v>
          </cell>
          <cell r="DO51">
            <v>0</v>
          </cell>
          <cell r="DP51">
            <v>0</v>
          </cell>
          <cell r="DT51">
            <v>65827.233485710065</v>
          </cell>
          <cell r="DU51">
            <v>-44862.745299466929</v>
          </cell>
          <cell r="DV51">
            <v>-132864.50832005052</v>
          </cell>
          <cell r="DW51">
            <v>-105954.8526780368</v>
          </cell>
          <cell r="DX51">
            <v>194743.34400098177</v>
          </cell>
          <cell r="DY51">
            <v>174597.80107333758</v>
          </cell>
          <cell r="DZ51">
            <v>26825.235547397409</v>
          </cell>
          <cell r="EA51">
            <v>42829.502256753178</v>
          </cell>
          <cell r="EB51">
            <v>0</v>
          </cell>
          <cell r="EC51">
            <v>0</v>
          </cell>
          <cell r="ED51">
            <v>0</v>
          </cell>
          <cell r="EE51">
            <v>0</v>
          </cell>
          <cell r="EX51">
            <v>102244.84500000007</v>
          </cell>
          <cell r="EY51">
            <v>11437.560000000085</v>
          </cell>
          <cell r="EZ51">
            <v>576553.3350000002</v>
          </cell>
          <cell r="FA51">
            <v>90321.954999999914</v>
          </cell>
          <cell r="FB51">
            <v>373261.41499999986</v>
          </cell>
          <cell r="FC51">
            <v>535261.58999999973</v>
          </cell>
          <cell r="FD51">
            <v>-289568.94999999995</v>
          </cell>
          <cell r="FE51">
            <v>-164756.67000000001</v>
          </cell>
          <cell r="FF51">
            <v>-78314.659999999945</v>
          </cell>
          <cell r="FG51">
            <v>-29737.9309999998</v>
          </cell>
          <cell r="FH51">
            <v>4351.1449999999722</v>
          </cell>
          <cell r="FI51">
            <v>89011.640000000043</v>
          </cell>
          <cell r="FM51">
            <v>22738.703000000012</v>
          </cell>
          <cell r="FN51">
            <v>28692.725999999999</v>
          </cell>
          <cell r="FO51">
            <v>58323.306999999986</v>
          </cell>
          <cell r="FP51">
            <v>-12821.818999999992</v>
          </cell>
          <cell r="FQ51">
            <v>-22897.811000000002</v>
          </cell>
          <cell r="FR51">
            <v>-48004.941999999995</v>
          </cell>
          <cell r="FS51">
            <v>-35290.94</v>
          </cell>
          <cell r="FT51">
            <v>-8121.0800000000027</v>
          </cell>
          <cell r="FU51">
            <v>17301.789999999994</v>
          </cell>
          <cell r="FV51">
            <v>-3760.0090000000027</v>
          </cell>
          <cell r="FW51">
            <v>-18221.775000000001</v>
          </cell>
          <cell r="FX51">
            <v>3104.9180000000088</v>
          </cell>
          <cell r="GB51">
            <v>-37250.577999999987</v>
          </cell>
          <cell r="GC51">
            <v>204.35400000002119</v>
          </cell>
          <cell r="GD51">
            <v>83631.128000000026</v>
          </cell>
          <cell r="GE51">
            <v>2925.5340000000069</v>
          </cell>
          <cell r="GF51">
            <v>118024.226</v>
          </cell>
          <cell r="GG51">
            <v>94038.491999999998</v>
          </cell>
          <cell r="GH51">
            <v>75835.87</v>
          </cell>
          <cell r="GI51">
            <v>-38571.350000000006</v>
          </cell>
          <cell r="GJ51">
            <v>-55753.860000000008</v>
          </cell>
          <cell r="GK51">
            <v>-81513.87000000001</v>
          </cell>
          <cell r="GL51">
            <v>31532.219999999983</v>
          </cell>
          <cell r="GM51">
            <v>33704.071999999964</v>
          </cell>
        </row>
        <row r="53">
          <cell r="A53" t="str">
            <v>Interest Expense (Net)</v>
          </cell>
          <cell r="C53">
            <v>0</v>
          </cell>
          <cell r="D53">
            <v>0</v>
          </cell>
          <cell r="E53">
            <v>0</v>
          </cell>
          <cell r="F53" t="str">
            <v>n/a</v>
          </cell>
          <cell r="G53">
            <v>0</v>
          </cell>
          <cell r="H53">
            <v>22.229410000000001</v>
          </cell>
          <cell r="J53">
            <v>0</v>
          </cell>
          <cell r="K53">
            <v>0</v>
          </cell>
          <cell r="L53">
            <v>0</v>
          </cell>
          <cell r="M53" t="str">
            <v>n/a</v>
          </cell>
          <cell r="N53">
            <v>0</v>
          </cell>
          <cell r="O53">
            <v>19.356670000000001</v>
          </cell>
          <cell r="Q53">
            <v>0</v>
          </cell>
          <cell r="R53">
            <v>0</v>
          </cell>
          <cell r="S53">
            <v>0</v>
          </cell>
          <cell r="T53" t="str">
            <v>n/a</v>
          </cell>
          <cell r="U53">
            <v>0</v>
          </cell>
          <cell r="V53">
            <v>1.00458</v>
          </cell>
          <cell r="X53">
            <v>0</v>
          </cell>
          <cell r="Y53">
            <v>0</v>
          </cell>
          <cell r="Z53">
            <v>0</v>
          </cell>
          <cell r="AA53" t="str">
            <v>n/a</v>
          </cell>
          <cell r="AB53">
            <v>0</v>
          </cell>
          <cell r="AC53">
            <v>1.8681600000000003</v>
          </cell>
          <cell r="AD53">
            <v>-27.282979999999995</v>
          </cell>
          <cell r="AE53">
            <v>249.63954999999999</v>
          </cell>
          <cell r="AH53">
            <v>44.660000000000004</v>
          </cell>
          <cell r="AI53">
            <v>-21175.920000000002</v>
          </cell>
          <cell r="AJ53">
            <v>435.62000000000012</v>
          </cell>
          <cell r="AK53">
            <v>540.11999999999989</v>
          </cell>
          <cell r="AL53">
            <v>142.54000000000002</v>
          </cell>
          <cell r="AM53">
            <v>52.22</v>
          </cell>
          <cell r="AN53">
            <v>2.4699999999999998</v>
          </cell>
          <cell r="AO53">
            <v>-5.32</v>
          </cell>
          <cell r="AW53">
            <v>4.87</v>
          </cell>
          <cell r="AX53">
            <v>-3048.5499999999997</v>
          </cell>
          <cell r="AY53">
            <v>-208.46</v>
          </cell>
          <cell r="AZ53">
            <v>-252.05</v>
          </cell>
          <cell r="BA53">
            <v>-66.52</v>
          </cell>
          <cell r="BB53">
            <v>-24.37</v>
          </cell>
          <cell r="BC53">
            <v>-1.1599999999999999</v>
          </cell>
          <cell r="BD53">
            <v>-1.06</v>
          </cell>
          <cell r="BL53">
            <v>4.5999999999999996</v>
          </cell>
          <cell r="BM53">
            <v>-3093.96</v>
          </cell>
          <cell r="BN53">
            <v>-238.24</v>
          </cell>
          <cell r="BO53">
            <v>-288.06</v>
          </cell>
          <cell r="BP53">
            <v>-76.02</v>
          </cell>
          <cell r="BQ53">
            <v>-27.85</v>
          </cell>
          <cell r="BR53">
            <v>-1.32</v>
          </cell>
          <cell r="BS53">
            <v>-1.22</v>
          </cell>
          <cell r="CP53">
            <v>0</v>
          </cell>
          <cell r="CQ53">
            <v>0</v>
          </cell>
          <cell r="CR53">
            <v>0</v>
          </cell>
          <cell r="CS53">
            <v>0</v>
          </cell>
          <cell r="CT53">
            <v>0</v>
          </cell>
          <cell r="CU53">
            <v>0</v>
          </cell>
          <cell r="CV53">
            <v>0</v>
          </cell>
          <cell r="CW53">
            <v>0</v>
          </cell>
          <cell r="DE53">
            <v>0</v>
          </cell>
          <cell r="DF53">
            <v>0</v>
          </cell>
          <cell r="DG53">
            <v>0</v>
          </cell>
          <cell r="DH53">
            <v>0</v>
          </cell>
          <cell r="DI53">
            <v>0</v>
          </cell>
          <cell r="DJ53">
            <v>0</v>
          </cell>
          <cell r="DK53">
            <v>0</v>
          </cell>
          <cell r="DL53">
            <v>0</v>
          </cell>
          <cell r="DT53">
            <v>0</v>
          </cell>
          <cell r="DU53">
            <v>0</v>
          </cell>
          <cell r="DV53">
            <v>0</v>
          </cell>
          <cell r="DW53">
            <v>0</v>
          </cell>
          <cell r="DX53">
            <v>0</v>
          </cell>
          <cell r="DY53">
            <v>0</v>
          </cell>
          <cell r="DZ53">
            <v>0</v>
          </cell>
          <cell r="EA53">
            <v>0</v>
          </cell>
          <cell r="EX53">
            <v>10383.01</v>
          </cell>
          <cell r="EY53">
            <v>9403.0999999999985</v>
          </cell>
          <cell r="EZ53">
            <v>15131.699999999999</v>
          </cell>
          <cell r="FA53">
            <v>9029.5600000000013</v>
          </cell>
          <cell r="FB53">
            <v>10412.73</v>
          </cell>
          <cell r="FC53">
            <v>7248.44</v>
          </cell>
          <cell r="FD53">
            <v>28393.510000000002</v>
          </cell>
          <cell r="FE53">
            <v>21797.98</v>
          </cell>
          <cell r="FF53">
            <v>19356.670000000002</v>
          </cell>
          <cell r="FG53">
            <v>27972.34</v>
          </cell>
          <cell r="FH53">
            <v>21233.88</v>
          </cell>
          <cell r="FI53">
            <v>23445.41</v>
          </cell>
          <cell r="FM53">
            <v>1204.8599999999999</v>
          </cell>
          <cell r="FN53">
            <v>2119.96</v>
          </cell>
          <cell r="FO53">
            <v>1352.32</v>
          </cell>
          <cell r="FP53">
            <v>639.29</v>
          </cell>
          <cell r="FQ53">
            <v>269.13</v>
          </cell>
          <cell r="FR53">
            <v>88.69</v>
          </cell>
          <cell r="FS53">
            <v>1597.35</v>
          </cell>
          <cell r="FT53">
            <v>1201.17</v>
          </cell>
          <cell r="FU53">
            <v>1004.58</v>
          </cell>
          <cell r="FV53">
            <v>1379.48</v>
          </cell>
          <cell r="FW53">
            <v>1440.47</v>
          </cell>
          <cell r="FX53">
            <v>1541.55</v>
          </cell>
          <cell r="GB53">
            <v>1737.06</v>
          </cell>
          <cell r="GC53">
            <v>2311.12</v>
          </cell>
          <cell r="GD53">
            <v>3546.06</v>
          </cell>
          <cell r="GE53">
            <v>2679.93</v>
          </cell>
          <cell r="GF53">
            <v>2916.5699999999997</v>
          </cell>
          <cell r="GG53">
            <v>1960.84</v>
          </cell>
          <cell r="GH53">
            <v>2976.62</v>
          </cell>
          <cell r="GI53">
            <v>2489.8700000000003</v>
          </cell>
          <cell r="GJ53">
            <v>1868.1600000000003</v>
          </cell>
          <cell r="GK53">
            <v>2795.71</v>
          </cell>
          <cell r="GL53">
            <v>3188.2400000000002</v>
          </cell>
          <cell r="GM53">
            <v>3522.19</v>
          </cell>
        </row>
        <row r="54">
          <cell r="A54" t="str">
            <v>Taxes on Income</v>
          </cell>
          <cell r="C54">
            <v>0</v>
          </cell>
          <cell r="D54">
            <v>0</v>
          </cell>
          <cell r="E54">
            <v>0</v>
          </cell>
          <cell r="F54" t="str">
            <v>n/a</v>
          </cell>
          <cell r="G54">
            <v>56.13386642229181</v>
          </cell>
          <cell r="H54">
            <v>-86.209711900000045</v>
          </cell>
          <cell r="J54">
            <v>0</v>
          </cell>
          <cell r="K54">
            <v>0</v>
          </cell>
          <cell r="L54">
            <v>0</v>
          </cell>
          <cell r="M54" t="str">
            <v>n/a</v>
          </cell>
          <cell r="N54">
            <v>42.190354067480293</v>
          </cell>
          <cell r="O54">
            <v>-61.027470900000047</v>
          </cell>
          <cell r="Q54">
            <v>0</v>
          </cell>
          <cell r="R54">
            <v>0</v>
          </cell>
          <cell r="S54">
            <v>0</v>
          </cell>
          <cell r="T54" t="str">
            <v>n/a</v>
          </cell>
          <cell r="U54">
            <v>13.894268911853539</v>
          </cell>
          <cell r="V54">
            <v>5.0687193000000006</v>
          </cell>
          <cell r="X54">
            <v>0</v>
          </cell>
          <cell r="Y54">
            <v>0</v>
          </cell>
          <cell r="Z54">
            <v>0</v>
          </cell>
          <cell r="AA54" t="str">
            <v>n/a</v>
          </cell>
          <cell r="AB54">
            <v>4.9243442957980735E-2</v>
          </cell>
          <cell r="AC54">
            <v>-30.250960299999996</v>
          </cell>
          <cell r="AD54">
            <v>590.43350197558641</v>
          </cell>
          <cell r="AE54">
            <v>-204.90903596500002</v>
          </cell>
          <cell r="AH54">
            <v>-12520.051510000028</v>
          </cell>
          <cell r="AI54">
            <v>23145.083019999991</v>
          </cell>
          <cell r="AJ54">
            <v>217867.7807099999</v>
          </cell>
          <cell r="AK54">
            <v>110733.07511000006</v>
          </cell>
          <cell r="AL54">
            <v>108166.2766699998</v>
          </cell>
          <cell r="AM54">
            <v>271235.22406999982</v>
          </cell>
          <cell r="AN54">
            <v>59867.609599999989</v>
          </cell>
          <cell r="AO54">
            <v>44944.766619999988</v>
          </cell>
          <cell r="AW54">
            <v>23197.390819999993</v>
          </cell>
          <cell r="AX54">
            <v>-4445.089619999997</v>
          </cell>
          <cell r="AY54">
            <v>38271.035490000009</v>
          </cell>
          <cell r="AZ54">
            <v>31658.973690000003</v>
          </cell>
          <cell r="BA54">
            <v>72.489230000016178</v>
          </cell>
          <cell r="BB54">
            <v>-5383.9547700000003</v>
          </cell>
          <cell r="BC54">
            <v>-12803.648099999991</v>
          </cell>
          <cell r="BD54">
            <v>-11252.329870000001</v>
          </cell>
          <cell r="BL54">
            <v>29718.26738999999</v>
          </cell>
          <cell r="BM54">
            <v>-13109.795099999972</v>
          </cell>
          <cell r="BN54">
            <v>-60549.56259999999</v>
          </cell>
          <cell r="BO54">
            <v>-60958.521200000003</v>
          </cell>
          <cell r="BP54">
            <v>14156.188899999992</v>
          </cell>
          <cell r="BQ54">
            <v>90812.978699999978</v>
          </cell>
          <cell r="BR54">
            <v>-14668.541300000006</v>
          </cell>
          <cell r="BS54">
            <v>5677.3540499999963</v>
          </cell>
          <cell r="CP54">
            <v>10425.495101001121</v>
          </cell>
          <cell r="CQ54">
            <v>58615.843236227258</v>
          </cell>
          <cell r="CR54">
            <v>177441.32317519007</v>
          </cell>
          <cell r="CS54">
            <v>105492.44592795891</v>
          </cell>
          <cell r="CT54">
            <v>8298.4730242429941</v>
          </cell>
          <cell r="CU54">
            <v>36718.953661543062</v>
          </cell>
          <cell r="CV54">
            <v>-32602.150916328465</v>
          </cell>
          <cell r="CW54">
            <v>-11776.172804795136</v>
          </cell>
          <cell r="DE54">
            <v>373.3046567790243</v>
          </cell>
          <cell r="DF54">
            <v>39872.730153745993</v>
          </cell>
          <cell r="DG54">
            <v>34912.587976294468</v>
          </cell>
          <cell r="DH54">
            <v>42733.123063468294</v>
          </cell>
          <cell r="DI54">
            <v>6602.6400339031115</v>
          </cell>
          <cell r="DJ54">
            <v>13049.747981992125</v>
          </cell>
          <cell r="DK54">
            <v>5025.8301642256038</v>
          </cell>
          <cell r="DL54">
            <v>18810.805380601079</v>
          </cell>
          <cell r="DT54">
            <v>25053.174652799389</v>
          </cell>
          <cell r="DU54">
            <v>-20338.991170300247</v>
          </cell>
          <cell r="DV54">
            <v>-56433.678955697571</v>
          </cell>
          <cell r="DW54">
            <v>-45411.268422763344</v>
          </cell>
          <cell r="DX54">
            <v>77864.443935342875</v>
          </cell>
          <cell r="DY54">
            <v>69595.931388050696</v>
          </cell>
          <cell r="DZ54">
            <v>8996.9229087905114</v>
          </cell>
          <cell r="EA54">
            <v>15548.123979334981</v>
          </cell>
          <cell r="EX54">
            <v>30004.994740000024</v>
          </cell>
          <cell r="EY54">
            <v>-7306.194054999989</v>
          </cell>
          <cell r="EZ54">
            <v>222535.18463000015</v>
          </cell>
          <cell r="FA54">
            <v>22752.64086</v>
          </cell>
          <cell r="FB54">
            <v>141895.56544999988</v>
          </cell>
          <cell r="FC54">
            <v>202562.7714</v>
          </cell>
          <cell r="FD54">
            <v>-138522.83984999999</v>
          </cell>
          <cell r="FE54">
            <v>-84645.631600000008</v>
          </cell>
          <cell r="FF54">
            <v>-61027.470900000044</v>
          </cell>
          <cell r="FG54">
            <v>-36691.062360000004</v>
          </cell>
          <cell r="FH54">
            <v>-331790.52257000003</v>
          </cell>
          <cell r="FI54">
            <v>-52126.474425000015</v>
          </cell>
          <cell r="FM54">
            <v>8216.6777750000001</v>
          </cell>
          <cell r="FN54">
            <v>10248.210760000002</v>
          </cell>
          <cell r="FO54">
            <v>22751.838694999988</v>
          </cell>
          <cell r="FP54">
            <v>-6327.5576750000018</v>
          </cell>
          <cell r="FQ54">
            <v>-10047.497309999999</v>
          </cell>
          <cell r="FR54">
            <v>-20770.256420000002</v>
          </cell>
          <cell r="FS54">
            <v>-15734.704889999997</v>
          </cell>
          <cell r="FT54">
            <v>-4432.6248000000005</v>
          </cell>
          <cell r="FU54">
            <v>5068.7193000000007</v>
          </cell>
          <cell r="FV54">
            <v>-3094.5432650000016</v>
          </cell>
          <cell r="FW54">
            <v>-50387.726334999992</v>
          </cell>
          <cell r="FX54">
            <v>-8872.0668750000132</v>
          </cell>
          <cell r="GB54">
            <v>-18493.351555000019</v>
          </cell>
          <cell r="GC54">
            <v>-3518.7454599999987</v>
          </cell>
          <cell r="GD54">
            <v>30340.467604999998</v>
          </cell>
          <cell r="GE54">
            <v>-3066.7911849999814</v>
          </cell>
          <cell r="GF54">
            <v>44994.726760000005</v>
          </cell>
          <cell r="GG54">
            <v>33064.151519999999</v>
          </cell>
          <cell r="GH54">
            <v>27186.031539999996</v>
          </cell>
          <cell r="GI54">
            <v>-19521.354599999995</v>
          </cell>
          <cell r="GJ54">
            <v>-30250.960299999995</v>
          </cell>
          <cell r="GK54">
            <v>-38779.611174999991</v>
          </cell>
          <cell r="GL54">
            <v>-55428.04329500001</v>
          </cell>
          <cell r="GM54">
            <v>-5694.9861000000064</v>
          </cell>
        </row>
        <row r="55">
          <cell r="A55" t="str">
            <v>Depreciation Expense</v>
          </cell>
          <cell r="C55">
            <v>0</v>
          </cell>
          <cell r="D55">
            <v>0</v>
          </cell>
          <cell r="E55">
            <v>0</v>
          </cell>
          <cell r="F55" t="str">
            <v>n/a</v>
          </cell>
          <cell r="G55">
            <v>53.591666666666654</v>
          </cell>
          <cell r="H55">
            <v>71.271439999999984</v>
          </cell>
          <cell r="J55">
            <v>0</v>
          </cell>
          <cell r="K55">
            <v>0</v>
          </cell>
          <cell r="L55">
            <v>0</v>
          </cell>
          <cell r="M55" t="str">
            <v>n/a</v>
          </cell>
          <cell r="N55">
            <v>43.486740977379412</v>
          </cell>
          <cell r="O55">
            <v>51.176149999999993</v>
          </cell>
          <cell r="Q55">
            <v>0</v>
          </cell>
          <cell r="R55">
            <v>0</v>
          </cell>
          <cell r="S55">
            <v>0</v>
          </cell>
          <cell r="T55" t="str">
            <v>n/a</v>
          </cell>
          <cell r="U55">
            <v>4.7468396541921996</v>
          </cell>
          <cell r="V55">
            <v>3.9344699999999997</v>
          </cell>
          <cell r="X55">
            <v>0</v>
          </cell>
          <cell r="Y55">
            <v>0</v>
          </cell>
          <cell r="Z55">
            <v>0</v>
          </cell>
          <cell r="AA55" t="str">
            <v>n/a</v>
          </cell>
          <cell r="AB55">
            <v>5.3580860350950417</v>
          </cell>
          <cell r="AC55">
            <v>16.160820000000001</v>
          </cell>
          <cell r="AD55">
            <v>578.38161666666656</v>
          </cell>
          <cell r="AE55">
            <v>478.05513999999999</v>
          </cell>
          <cell r="AH55">
            <v>31480.877999999997</v>
          </cell>
          <cell r="AI55">
            <v>31480.877999999997</v>
          </cell>
          <cell r="AJ55">
            <v>31480.877999999997</v>
          </cell>
          <cell r="AK55">
            <v>31480.877999999997</v>
          </cell>
          <cell r="AL55">
            <v>31480.877999999997</v>
          </cell>
          <cell r="AM55">
            <v>31480.877999999997</v>
          </cell>
          <cell r="AN55">
            <v>31480.877999999997</v>
          </cell>
          <cell r="AO55">
            <v>33734.589999999997</v>
          </cell>
          <cell r="AW55">
            <v>2508.5520000000001</v>
          </cell>
          <cell r="AX55">
            <v>2508.5520000000001</v>
          </cell>
          <cell r="AY55">
            <v>2508.5520000000001</v>
          </cell>
          <cell r="AZ55">
            <v>2508.5520000000001</v>
          </cell>
          <cell r="BA55">
            <v>2508.5520000000001</v>
          </cell>
          <cell r="BB55">
            <v>2508.5520000000001</v>
          </cell>
          <cell r="BC55">
            <v>2508.5520000000001</v>
          </cell>
          <cell r="BD55">
            <v>2686.0650000000001</v>
          </cell>
          <cell r="BL55">
            <v>10116.879999999999</v>
          </cell>
          <cell r="BM55">
            <v>10116.879999999999</v>
          </cell>
          <cell r="BN55">
            <v>10116.879999999999</v>
          </cell>
          <cell r="BO55">
            <v>10116.879999999999</v>
          </cell>
          <cell r="BP55">
            <v>10116.879999999999</v>
          </cell>
          <cell r="BQ55">
            <v>10116.879999999999</v>
          </cell>
          <cell r="BR55">
            <v>10116.879999999999</v>
          </cell>
          <cell r="BS55">
            <v>10850.125</v>
          </cell>
          <cell r="CP55">
            <v>38337.436358737701</v>
          </cell>
          <cell r="CQ55">
            <v>38388.236870009991</v>
          </cell>
          <cell r="CR55">
            <v>38665.926470853483</v>
          </cell>
          <cell r="CS55">
            <v>38876.949405030304</v>
          </cell>
          <cell r="CT55">
            <v>39087.972339207132</v>
          </cell>
          <cell r="CU55">
            <v>39265.661940050632</v>
          </cell>
          <cell r="CV55">
            <v>39510.018207560788</v>
          </cell>
          <cell r="CW55">
            <v>39721.041141737624</v>
          </cell>
          <cell r="DE55">
            <v>4187.8564089924812</v>
          </cell>
          <cell r="DF55">
            <v>4861.6573365837139</v>
          </cell>
          <cell r="DG55">
            <v>4897.1291117232768</v>
          </cell>
          <cell r="DH55">
            <v>4924.2675535295057</v>
          </cell>
          <cell r="DI55">
            <v>4951.4059953357355</v>
          </cell>
          <cell r="DJ55">
            <v>4974.3777704752983</v>
          </cell>
          <cell r="DK55">
            <v>5005.6828789481942</v>
          </cell>
          <cell r="DL55">
            <v>5032.821320754425</v>
          </cell>
          <cell r="DT55">
            <v>4721.9294544920394</v>
          </cell>
          <cell r="DU55">
            <v>4744.5502378507454</v>
          </cell>
          <cell r="DV55">
            <v>4778.6110840899109</v>
          </cell>
          <cell r="DW55">
            <v>4804.3385969957426</v>
          </cell>
          <cell r="DX55">
            <v>4830.0661099015742</v>
          </cell>
          <cell r="DY55">
            <v>4851.6269561407407</v>
          </cell>
          <cell r="DZ55">
            <v>4881.5211357132384</v>
          </cell>
          <cell r="EA55">
            <v>4907.2486486190719</v>
          </cell>
          <cell r="EX55">
            <v>18678.936999999998</v>
          </cell>
          <cell r="EY55">
            <v>19854.440000000002</v>
          </cell>
          <cell r="EZ55">
            <v>18652.884999999998</v>
          </cell>
          <cell r="FA55">
            <v>25798.159</v>
          </cell>
          <cell r="FB55">
            <v>16761.93</v>
          </cell>
          <cell r="FC55">
            <v>33957.599999999999</v>
          </cell>
          <cell r="FD55">
            <v>19898.120000000003</v>
          </cell>
          <cell r="FE55">
            <v>19898.120000000003</v>
          </cell>
          <cell r="FF55">
            <v>51176.149999999994</v>
          </cell>
          <cell r="FG55">
            <v>31780.125</v>
          </cell>
          <cell r="FH55">
            <v>42364.447</v>
          </cell>
          <cell r="FI55">
            <v>42703.97</v>
          </cell>
          <cell r="FM55">
            <v>1493.1655000000001</v>
          </cell>
          <cell r="FN55">
            <v>1577.13</v>
          </cell>
          <cell r="FO55">
            <v>1478.6975000000002</v>
          </cell>
          <cell r="FP55">
            <v>1971.9485</v>
          </cell>
          <cell r="FQ55">
            <v>1339.1499999999999</v>
          </cell>
          <cell r="FR55">
            <v>2565.52</v>
          </cell>
          <cell r="FS55">
            <v>1489.04</v>
          </cell>
          <cell r="FT55">
            <v>1489.04</v>
          </cell>
          <cell r="FU55">
            <v>3934.47</v>
          </cell>
          <cell r="FV55">
            <v>2408.1775000000002</v>
          </cell>
          <cell r="FW55">
            <v>3234.6455000000001</v>
          </cell>
          <cell r="FX55">
            <v>3202.54</v>
          </cell>
          <cell r="GB55">
            <v>6118.1075000000001</v>
          </cell>
          <cell r="GC55">
            <v>6475.53</v>
          </cell>
          <cell r="GD55">
            <v>6083.9274999999998</v>
          </cell>
          <cell r="GE55">
            <v>7725.5824999999995</v>
          </cell>
          <cell r="GF55">
            <v>5364.42</v>
          </cell>
          <cell r="GG55">
            <v>11433.38</v>
          </cell>
          <cell r="GH55">
            <v>6551.85</v>
          </cell>
          <cell r="GI55">
            <v>6551.85</v>
          </cell>
          <cell r="GJ55">
            <v>16160.82</v>
          </cell>
          <cell r="GK55">
            <v>10274.837500000001</v>
          </cell>
          <cell r="GL55">
            <v>13534.3375</v>
          </cell>
          <cell r="GM55">
            <v>14072.09</v>
          </cell>
        </row>
        <row r="56">
          <cell r="A56" t="str">
            <v>Amortization Expense</v>
          </cell>
          <cell r="C56">
            <v>0</v>
          </cell>
          <cell r="D56">
            <v>0</v>
          </cell>
          <cell r="E56">
            <v>0</v>
          </cell>
          <cell r="F56" t="str">
            <v>n/a</v>
          </cell>
          <cell r="G56">
            <v>0</v>
          </cell>
          <cell r="H56">
            <v>0</v>
          </cell>
          <cell r="J56">
            <v>0</v>
          </cell>
          <cell r="K56">
            <v>0</v>
          </cell>
          <cell r="L56">
            <v>0</v>
          </cell>
          <cell r="M56" t="str">
            <v>n/a</v>
          </cell>
          <cell r="N56">
            <v>0</v>
          </cell>
          <cell r="O56">
            <v>0</v>
          </cell>
          <cell r="Q56">
            <v>0</v>
          </cell>
          <cell r="R56">
            <v>0</v>
          </cell>
          <cell r="S56">
            <v>0</v>
          </cell>
          <cell r="T56" t="str">
            <v>n/a</v>
          </cell>
          <cell r="U56">
            <v>0</v>
          </cell>
          <cell r="V56">
            <v>0</v>
          </cell>
          <cell r="X56">
            <v>0</v>
          </cell>
          <cell r="Y56">
            <v>0</v>
          </cell>
          <cell r="Z56">
            <v>0</v>
          </cell>
          <cell r="AA56" t="str">
            <v>n/a</v>
          </cell>
          <cell r="AB56">
            <v>0</v>
          </cell>
          <cell r="AC56">
            <v>0</v>
          </cell>
          <cell r="AD56">
            <v>0</v>
          </cell>
          <cell r="AE56">
            <v>1200</v>
          </cell>
          <cell r="AH56">
            <v>0</v>
          </cell>
          <cell r="AI56">
            <v>0</v>
          </cell>
          <cell r="AJ56">
            <v>0</v>
          </cell>
          <cell r="AK56">
            <v>0</v>
          </cell>
          <cell r="AL56">
            <v>0</v>
          </cell>
          <cell r="AM56">
            <v>0</v>
          </cell>
          <cell r="AN56">
            <v>0</v>
          </cell>
          <cell r="AO56">
            <v>0</v>
          </cell>
          <cell r="AW56">
            <v>0</v>
          </cell>
          <cell r="AX56">
            <v>0</v>
          </cell>
          <cell r="AY56">
            <v>0</v>
          </cell>
          <cell r="AZ56">
            <v>0</v>
          </cell>
          <cell r="BA56">
            <v>0</v>
          </cell>
          <cell r="BB56">
            <v>0</v>
          </cell>
          <cell r="BC56">
            <v>0</v>
          </cell>
          <cell r="BD56">
            <v>0</v>
          </cell>
          <cell r="BL56">
            <v>0</v>
          </cell>
          <cell r="BM56">
            <v>0</v>
          </cell>
          <cell r="BN56">
            <v>0</v>
          </cell>
          <cell r="BO56">
            <v>0</v>
          </cell>
          <cell r="BP56">
            <v>0</v>
          </cell>
          <cell r="BQ56">
            <v>0</v>
          </cell>
          <cell r="BR56">
            <v>0</v>
          </cell>
          <cell r="BS56">
            <v>0</v>
          </cell>
          <cell r="CP56">
            <v>0</v>
          </cell>
          <cell r="CQ56">
            <v>0</v>
          </cell>
          <cell r="CR56">
            <v>0</v>
          </cell>
          <cell r="CS56">
            <v>0</v>
          </cell>
          <cell r="CT56">
            <v>0</v>
          </cell>
          <cell r="CU56">
            <v>0</v>
          </cell>
          <cell r="CV56">
            <v>0</v>
          </cell>
          <cell r="CW56">
            <v>0</v>
          </cell>
          <cell r="DE56">
            <v>0</v>
          </cell>
          <cell r="DF56">
            <v>0</v>
          </cell>
          <cell r="DG56">
            <v>0</v>
          </cell>
          <cell r="DH56">
            <v>0</v>
          </cell>
          <cell r="DI56">
            <v>0</v>
          </cell>
          <cell r="DJ56">
            <v>0</v>
          </cell>
          <cell r="DK56">
            <v>0</v>
          </cell>
          <cell r="DL56">
            <v>0</v>
          </cell>
          <cell r="DT56">
            <v>0</v>
          </cell>
          <cell r="DU56">
            <v>0</v>
          </cell>
          <cell r="DV56">
            <v>0</v>
          </cell>
          <cell r="DW56">
            <v>0</v>
          </cell>
          <cell r="DX56">
            <v>0</v>
          </cell>
          <cell r="DY56">
            <v>0</v>
          </cell>
          <cell r="DZ56">
            <v>0</v>
          </cell>
          <cell r="EA56">
            <v>0</v>
          </cell>
          <cell r="EX56">
            <v>0</v>
          </cell>
          <cell r="EY56">
            <v>0</v>
          </cell>
          <cell r="EZ56">
            <v>0</v>
          </cell>
          <cell r="FA56">
            <v>0</v>
          </cell>
          <cell r="FB56">
            <v>0</v>
          </cell>
          <cell r="FC56">
            <v>0</v>
          </cell>
          <cell r="FD56">
            <v>0</v>
          </cell>
          <cell r="FE56">
            <v>0</v>
          </cell>
          <cell r="FF56">
            <v>0</v>
          </cell>
          <cell r="FG56">
            <v>0</v>
          </cell>
          <cell r="FH56">
            <v>750000</v>
          </cell>
          <cell r="FI56">
            <v>150000</v>
          </cell>
          <cell r="FM56">
            <v>0</v>
          </cell>
          <cell r="FN56">
            <v>0</v>
          </cell>
          <cell r="FO56">
            <v>0</v>
          </cell>
          <cell r="FP56">
            <v>0</v>
          </cell>
          <cell r="FQ56">
            <v>0</v>
          </cell>
          <cell r="FR56">
            <v>0</v>
          </cell>
          <cell r="FS56">
            <v>0</v>
          </cell>
          <cell r="FT56">
            <v>0</v>
          </cell>
          <cell r="FU56">
            <v>0</v>
          </cell>
          <cell r="FV56">
            <v>0</v>
          </cell>
          <cell r="FW56">
            <v>100000</v>
          </cell>
          <cell r="FX56">
            <v>20000</v>
          </cell>
          <cell r="GB56">
            <v>0</v>
          </cell>
          <cell r="GC56">
            <v>0</v>
          </cell>
          <cell r="GD56">
            <v>0</v>
          </cell>
          <cell r="GE56">
            <v>0</v>
          </cell>
          <cell r="GF56">
            <v>0</v>
          </cell>
          <cell r="GG56">
            <v>0</v>
          </cell>
          <cell r="GH56">
            <v>0</v>
          </cell>
          <cell r="GI56">
            <v>0</v>
          </cell>
          <cell r="GJ56">
            <v>0</v>
          </cell>
          <cell r="GK56">
            <v>0</v>
          </cell>
          <cell r="GL56">
            <v>150000</v>
          </cell>
          <cell r="GM56">
            <v>30000</v>
          </cell>
        </row>
        <row r="57">
          <cell r="A57" t="str">
            <v>EBITDA Items</v>
          </cell>
          <cell r="C57">
            <v>0</v>
          </cell>
          <cell r="D57">
            <v>0</v>
          </cell>
          <cell r="E57">
            <v>0</v>
          </cell>
          <cell r="F57" t="str">
            <v>n/a</v>
          </cell>
          <cell r="G57">
            <v>109.72553308895846</v>
          </cell>
          <cell r="H57">
            <v>7.2911380999999409</v>
          </cell>
          <cell r="J57">
            <v>0</v>
          </cell>
          <cell r="K57">
            <v>0</v>
          </cell>
          <cell r="L57">
            <v>0</v>
          </cell>
          <cell r="M57" t="str">
            <v>n/a</v>
          </cell>
          <cell r="N57">
            <v>85.677095044859698</v>
          </cell>
          <cell r="O57">
            <v>9.5053490999999468</v>
          </cell>
          <cell r="Q57">
            <v>0</v>
          </cell>
          <cell r="R57">
            <v>0</v>
          </cell>
          <cell r="S57">
            <v>0</v>
          </cell>
          <cell r="T57" t="str">
            <v>n/a</v>
          </cell>
          <cell r="U57">
            <v>18.641108566045737</v>
          </cell>
          <cell r="V57">
            <v>10.0077693</v>
          </cell>
          <cell r="X57">
            <v>0</v>
          </cell>
          <cell r="Y57">
            <v>0</v>
          </cell>
          <cell r="Z57">
            <v>0</v>
          </cell>
          <cell r="AA57" t="str">
            <v>n/a</v>
          </cell>
          <cell r="AB57">
            <v>5.4073294780530228</v>
          </cell>
          <cell r="AC57">
            <v>-12.221980299999995</v>
          </cell>
          <cell r="AD57">
            <v>1141.5321386422529</v>
          </cell>
          <cell r="AE57">
            <v>1722.7856540349999</v>
          </cell>
          <cell r="AH57">
            <v>19005.486489999967</v>
          </cell>
          <cell r="AI57">
            <v>33450.04101999999</v>
          </cell>
          <cell r="AJ57">
            <v>249784.2787099999</v>
          </cell>
          <cell r="AK57">
            <v>142754.07311000006</v>
          </cell>
          <cell r="AL57">
            <v>139789.69466999979</v>
          </cell>
          <cell r="AM57">
            <v>302768.32206999976</v>
          </cell>
          <cell r="AN57">
            <v>91350.957599999994</v>
          </cell>
          <cell r="AO57">
            <v>78674.036619999984</v>
          </cell>
          <cell r="AP57">
            <v>0</v>
          </cell>
          <cell r="AQ57">
            <v>0</v>
          </cell>
          <cell r="AR57">
            <v>0</v>
          </cell>
          <cell r="AS57">
            <v>0</v>
          </cell>
          <cell r="AW57">
            <v>25710.812819999992</v>
          </cell>
          <cell r="AX57">
            <v>-4985.0876199999966</v>
          </cell>
          <cell r="AY57">
            <v>40571.127490000013</v>
          </cell>
          <cell r="AZ57">
            <v>33915.475690000007</v>
          </cell>
          <cell r="BA57">
            <v>2514.5212300000162</v>
          </cell>
          <cell r="BB57">
            <v>-2899.77277</v>
          </cell>
          <cell r="BC57">
            <v>-10296.256099999991</v>
          </cell>
          <cell r="BD57">
            <v>-8567.3248700000004</v>
          </cell>
          <cell r="BE57">
            <v>0</v>
          </cell>
          <cell r="BF57">
            <v>0</v>
          </cell>
          <cell r="BG57">
            <v>0</v>
          </cell>
          <cell r="BH57">
            <v>0</v>
          </cell>
          <cell r="BL57">
            <v>39839.74738999999</v>
          </cell>
          <cell r="BM57">
            <v>-6086.8750999999738</v>
          </cell>
          <cell r="BN57">
            <v>-50670.922599999991</v>
          </cell>
          <cell r="BO57">
            <v>-51129.701200000003</v>
          </cell>
          <cell r="BP57">
            <v>24197.048899999991</v>
          </cell>
          <cell r="BQ57">
            <v>100902.00869999998</v>
          </cell>
          <cell r="BR57">
            <v>-4552.9813000000067</v>
          </cell>
          <cell r="BS57">
            <v>16526.259049999997</v>
          </cell>
          <cell r="BT57">
            <v>0</v>
          </cell>
          <cell r="BU57">
            <v>0</v>
          </cell>
          <cell r="BV57">
            <v>0</v>
          </cell>
          <cell r="BW57">
            <v>0</v>
          </cell>
          <cell r="CP57">
            <v>48762.931459738822</v>
          </cell>
          <cell r="CQ57">
            <v>97004.080106237248</v>
          </cell>
          <cell r="CR57">
            <v>216107.24964604355</v>
          </cell>
          <cell r="CS57">
            <v>144369.39533298922</v>
          </cell>
          <cell r="CT57">
            <v>47386.445363450126</v>
          </cell>
          <cell r="CU57">
            <v>75984.615601593687</v>
          </cell>
          <cell r="CV57">
            <v>6907.8672912323236</v>
          </cell>
          <cell r="CW57">
            <v>27944.868336942487</v>
          </cell>
          <cell r="CX57">
            <v>0</v>
          </cell>
          <cell r="CY57">
            <v>0</v>
          </cell>
          <cell r="CZ57">
            <v>0</v>
          </cell>
          <cell r="DA57">
            <v>0</v>
          </cell>
          <cell r="DE57">
            <v>4561.1610657715055</v>
          </cell>
          <cell r="DF57">
            <v>44734.387490329711</v>
          </cell>
          <cell r="DG57">
            <v>39809.717088017744</v>
          </cell>
          <cell r="DH57">
            <v>47657.3906169978</v>
          </cell>
          <cell r="DI57">
            <v>11554.046029238847</v>
          </cell>
          <cell r="DJ57">
            <v>18024.125752467422</v>
          </cell>
          <cell r="DK57">
            <v>10031.513043173798</v>
          </cell>
          <cell r="DL57">
            <v>23843.626701355504</v>
          </cell>
          <cell r="DM57">
            <v>0</v>
          </cell>
          <cell r="DN57">
            <v>0</v>
          </cell>
          <cell r="DO57">
            <v>0</v>
          </cell>
          <cell r="DP57">
            <v>0</v>
          </cell>
          <cell r="DT57">
            <v>29775.10410729143</v>
          </cell>
          <cell r="DU57">
            <v>-15594.440932449503</v>
          </cell>
          <cell r="DV57">
            <v>-51655.067871607658</v>
          </cell>
          <cell r="DW57">
            <v>-40606.929825767598</v>
          </cell>
          <cell r="DX57">
            <v>82694.510045244446</v>
          </cell>
          <cell r="DY57">
            <v>74447.558344191435</v>
          </cell>
          <cell r="DZ57">
            <v>13878.444044503751</v>
          </cell>
          <cell r="EA57">
            <v>20455.372627954053</v>
          </cell>
          <cell r="EB57">
            <v>0</v>
          </cell>
          <cell r="EC57">
            <v>0</v>
          </cell>
          <cell r="ED57">
            <v>0</v>
          </cell>
          <cell r="EE57">
            <v>0</v>
          </cell>
          <cell r="EX57">
            <v>59066.941740000024</v>
          </cell>
          <cell r="EY57">
            <v>21951.345945000012</v>
          </cell>
          <cell r="EZ57">
            <v>256319.76963000017</v>
          </cell>
          <cell r="FA57">
            <v>57580.359859999997</v>
          </cell>
          <cell r="FB57">
            <v>169070.22544999988</v>
          </cell>
          <cell r="FC57">
            <v>243768.81140000001</v>
          </cell>
          <cell r="FD57">
            <v>-90231.209849999985</v>
          </cell>
          <cell r="FE57">
            <v>-42949.531600000009</v>
          </cell>
          <cell r="FF57">
            <v>9505.3490999999485</v>
          </cell>
          <cell r="FG57">
            <v>23061.402639999997</v>
          </cell>
          <cell r="FH57">
            <v>481807.80442999996</v>
          </cell>
          <cell r="FI57">
            <v>164022.90557499998</v>
          </cell>
          <cell r="FM57">
            <v>10914.703275</v>
          </cell>
          <cell r="FN57">
            <v>13945.300760000002</v>
          </cell>
          <cell r="FO57">
            <v>25582.856194999986</v>
          </cell>
          <cell r="FP57">
            <v>-3716.3191750000019</v>
          </cell>
          <cell r="FQ57">
            <v>-8439.21731</v>
          </cell>
          <cell r="FR57">
            <v>-18116.046420000002</v>
          </cell>
          <cell r="FS57">
            <v>-12648.314889999998</v>
          </cell>
          <cell r="FT57">
            <v>-1742.4148000000005</v>
          </cell>
          <cell r="FU57">
            <v>10007.7693</v>
          </cell>
          <cell r="FV57">
            <v>693.11423499999864</v>
          </cell>
          <cell r="FW57">
            <v>54287.389165000008</v>
          </cell>
          <cell r="FX57">
            <v>15872.023124999987</v>
          </cell>
          <cell r="GB57">
            <v>-10638.184055000018</v>
          </cell>
          <cell r="GC57">
            <v>5267.9045400000014</v>
          </cell>
          <cell r="GD57">
            <v>39970.455104999994</v>
          </cell>
          <cell r="GE57">
            <v>7338.721315000018</v>
          </cell>
          <cell r="GF57">
            <v>53275.716760000003</v>
          </cell>
          <cell r="GG57">
            <v>46458.371519999993</v>
          </cell>
          <cell r="GH57">
            <v>36714.501539999997</v>
          </cell>
          <cell r="GI57">
            <v>-10479.634599999996</v>
          </cell>
          <cell r="GJ57">
            <v>-12221.980299999996</v>
          </cell>
          <cell r="GK57">
            <v>-25709.06367499999</v>
          </cell>
          <cell r="GL57">
            <v>111294.53420499999</v>
          </cell>
          <cell r="GM57">
            <v>41899.29389999999</v>
          </cell>
        </row>
        <row r="59">
          <cell r="A59" t="str">
            <v>Net Income After Tax</v>
          </cell>
          <cell r="C59">
            <v>0</v>
          </cell>
          <cell r="D59">
            <v>0</v>
          </cell>
          <cell r="E59">
            <v>0</v>
          </cell>
          <cell r="F59" t="str">
            <v>n/a</v>
          </cell>
          <cell r="G59">
            <v>80.778002900371376</v>
          </cell>
          <cell r="H59">
            <v>-124.05786809999989</v>
          </cell>
          <cell r="J59">
            <v>0</v>
          </cell>
          <cell r="K59">
            <v>0</v>
          </cell>
          <cell r="L59">
            <v>0</v>
          </cell>
          <cell r="M59" t="str">
            <v>n/a</v>
          </cell>
          <cell r="N59">
            <v>20.702721861183349</v>
          </cell>
          <cell r="O59">
            <v>-87.820009099999908</v>
          </cell>
          <cell r="Q59">
            <v>0</v>
          </cell>
          <cell r="R59">
            <v>0</v>
          </cell>
          <cell r="S59">
            <v>0</v>
          </cell>
          <cell r="T59" t="str">
            <v>n/a</v>
          </cell>
          <cell r="U59">
            <v>60.004418523711486</v>
          </cell>
          <cell r="V59">
            <v>7.2940207000000044</v>
          </cell>
          <cell r="X59">
            <v>0</v>
          </cell>
          <cell r="Y59">
            <v>0</v>
          </cell>
          <cell r="Z59">
            <v>0</v>
          </cell>
          <cell r="AA59" t="str">
            <v>n/a</v>
          </cell>
          <cell r="AB59">
            <v>7.0862515476129317E-2</v>
          </cell>
          <cell r="AC59">
            <v>-43.531879700000005</v>
          </cell>
          <cell r="AD59">
            <v>849.64821015998814</v>
          </cell>
          <cell r="AE59">
            <v>-294.87107403499886</v>
          </cell>
          <cell r="AH59">
            <v>-18016.659489999831</v>
          </cell>
          <cell r="AI59">
            <v>33306.338979999899</v>
          </cell>
          <cell r="AJ59">
            <v>313517.05029000004</v>
          </cell>
          <cell r="AK59">
            <v>159347.59589</v>
          </cell>
          <cell r="AL59">
            <v>155653.91033000019</v>
          </cell>
          <cell r="AM59">
            <v>390314.10293000005</v>
          </cell>
          <cell r="AN59">
            <v>86150.950400000031</v>
          </cell>
          <cell r="AO59">
            <v>64676.615380000047</v>
          </cell>
          <cell r="AP59">
            <v>0</v>
          </cell>
          <cell r="AQ59">
            <v>0</v>
          </cell>
          <cell r="AR59">
            <v>0</v>
          </cell>
          <cell r="AS59">
            <v>0</v>
          </cell>
          <cell r="AW59">
            <v>33381.611180000007</v>
          </cell>
          <cell r="AX59">
            <v>-6396.59238</v>
          </cell>
          <cell r="AY59">
            <v>55072.953509999963</v>
          </cell>
          <cell r="AZ59">
            <v>45558.035309999992</v>
          </cell>
          <cell r="BA59">
            <v>104.3137700000193</v>
          </cell>
          <cell r="BB59">
            <v>-7747.6422300000158</v>
          </cell>
          <cell r="BC59">
            <v>-18424.761899999998</v>
          </cell>
          <cell r="BD59">
            <v>-16192.377129999983</v>
          </cell>
          <cell r="BE59">
            <v>0</v>
          </cell>
          <cell r="BF59">
            <v>0</v>
          </cell>
          <cell r="BG59">
            <v>0</v>
          </cell>
          <cell r="BH59">
            <v>0</v>
          </cell>
          <cell r="BL59">
            <v>42765.311609999975</v>
          </cell>
          <cell r="BM59">
            <v>-18865.314899999998</v>
          </cell>
          <cell r="BN59">
            <v>-87132.297399999981</v>
          </cell>
          <cell r="BO59">
            <v>-87720.79879999999</v>
          </cell>
          <cell r="BP59">
            <v>20371.101100000018</v>
          </cell>
          <cell r="BQ59">
            <v>130682.09130000003</v>
          </cell>
          <cell r="BR59">
            <v>-21108.388700000003</v>
          </cell>
          <cell r="BS59">
            <v>8169.8509500000218</v>
          </cell>
          <cell r="BT59">
            <v>0</v>
          </cell>
          <cell r="BU59">
            <v>0</v>
          </cell>
          <cell r="BV59">
            <v>0</v>
          </cell>
          <cell r="BW59">
            <v>0</v>
          </cell>
          <cell r="CP59">
            <v>15002.541730708814</v>
          </cell>
          <cell r="CQ59">
            <v>84349.628071644009</v>
          </cell>
          <cell r="CR59">
            <v>255342.39188624921</v>
          </cell>
          <cell r="CS59">
            <v>151806.202676819</v>
          </cell>
          <cell r="CT59">
            <v>11941.705083666733</v>
          </cell>
          <cell r="CU59">
            <v>52839.469903196121</v>
          </cell>
          <cell r="CV59">
            <v>-46915.290343009241</v>
          </cell>
          <cell r="CW59">
            <v>-16946.199889827138</v>
          </cell>
          <cell r="CX59">
            <v>0</v>
          </cell>
          <cell r="CY59">
            <v>0</v>
          </cell>
          <cell r="CZ59">
            <v>0</v>
          </cell>
          <cell r="DA59">
            <v>0</v>
          </cell>
          <cell r="DE59">
            <v>537.19450609663818</v>
          </cell>
          <cell r="DF59">
            <v>57377.831196853993</v>
          </cell>
          <cell r="DG59">
            <v>50240.065624423718</v>
          </cell>
          <cell r="DH59">
            <v>61494.006359625113</v>
          </cell>
          <cell r="DI59">
            <v>9501.3600487874191</v>
          </cell>
          <cell r="DJ59">
            <v>18778.90563262286</v>
          </cell>
          <cell r="DK59">
            <v>7232.2921875441662</v>
          </cell>
          <cell r="DL59">
            <v>27069.207742816187</v>
          </cell>
          <cell r="DM59">
            <v>0</v>
          </cell>
          <cell r="DN59">
            <v>0</v>
          </cell>
          <cell r="DO59">
            <v>0</v>
          </cell>
          <cell r="DP59">
            <v>0</v>
          </cell>
          <cell r="DT59">
            <v>36052.129378418635</v>
          </cell>
          <cell r="DU59">
            <v>-29268.304367017427</v>
          </cell>
          <cell r="DV59">
            <v>-81209.440448442852</v>
          </cell>
          <cell r="DW59">
            <v>-65347.922852269199</v>
          </cell>
          <cell r="DX59">
            <v>112048.83395573733</v>
          </cell>
          <cell r="DY59">
            <v>100150.24272914615</v>
          </cell>
          <cell r="DZ59">
            <v>12946.791502893659</v>
          </cell>
          <cell r="EA59">
            <v>22374.129628799124</v>
          </cell>
          <cell r="EB59">
            <v>0</v>
          </cell>
          <cell r="EC59">
            <v>0</v>
          </cell>
          <cell r="ED59">
            <v>0</v>
          </cell>
          <cell r="EE59">
            <v>0</v>
          </cell>
          <cell r="EX59">
            <v>43177.90326000005</v>
          </cell>
          <cell r="EY59">
            <v>-10513.785944999927</v>
          </cell>
          <cell r="EZ59">
            <v>320233.56537000003</v>
          </cell>
          <cell r="FA59">
            <v>32741.595139999918</v>
          </cell>
          <cell r="FB59">
            <v>204191.18954999998</v>
          </cell>
          <cell r="FC59">
            <v>291492.77859999973</v>
          </cell>
          <cell r="FD59">
            <v>-199337.74014999997</v>
          </cell>
          <cell r="FE59">
            <v>-121807.1384</v>
          </cell>
          <cell r="FF59">
            <v>-87820.009099999894</v>
          </cell>
          <cell r="FG59">
            <v>-52799.333639999793</v>
          </cell>
          <cell r="FH59">
            <v>-477456.65943</v>
          </cell>
          <cell r="FI59">
            <v>-75011.265574999939</v>
          </cell>
          <cell r="FM59">
            <v>11823.999725000012</v>
          </cell>
          <cell r="FN59">
            <v>14747.425239999997</v>
          </cell>
          <cell r="FO59">
            <v>32740.450805</v>
          </cell>
          <cell r="FP59">
            <v>-9105.4998249999899</v>
          </cell>
          <cell r="FQ59">
            <v>-14458.593690000002</v>
          </cell>
          <cell r="FR59">
            <v>-29888.895579999993</v>
          </cell>
          <cell r="FS59">
            <v>-22642.625110000004</v>
          </cell>
          <cell r="FT59">
            <v>-6378.6652000000022</v>
          </cell>
          <cell r="FU59">
            <v>7294.0206999999937</v>
          </cell>
          <cell r="FV59">
            <v>-4453.1232350000009</v>
          </cell>
          <cell r="FW59">
            <v>-72509.164165000009</v>
          </cell>
          <cell r="FX59">
            <v>-12767.105124999978</v>
          </cell>
          <cell r="GB59">
            <v>-26612.393944999967</v>
          </cell>
          <cell r="GC59">
            <v>-5063.5505399999802</v>
          </cell>
          <cell r="GD59">
            <v>43660.672895000032</v>
          </cell>
          <cell r="GE59">
            <v>-4413.187315000011</v>
          </cell>
          <cell r="GF59">
            <v>64748.509239999992</v>
          </cell>
          <cell r="GG59">
            <v>47580.120480000005</v>
          </cell>
          <cell r="GH59">
            <v>39121.368459999998</v>
          </cell>
          <cell r="GI59">
            <v>-28091.715400000008</v>
          </cell>
          <cell r="GJ59">
            <v>-43531.879700000012</v>
          </cell>
          <cell r="GK59">
            <v>-55804.80632500002</v>
          </cell>
          <cell r="GL59">
            <v>-79762.314205000002</v>
          </cell>
          <cell r="GM59">
            <v>-8195.2219000000259</v>
          </cell>
        </row>
        <row r="61">
          <cell r="A61" t="str">
            <v>Current Month FTE Staffing</v>
          </cell>
          <cell r="C61">
            <v>63.270019273207183</v>
          </cell>
          <cell r="J61">
            <v>43.13221875</v>
          </cell>
          <cell r="Q61">
            <v>4.6236369930190966</v>
          </cell>
          <cell r="X61">
            <v>5.8856562500000003</v>
          </cell>
          <cell r="AH61">
            <v>94.616536142762371</v>
          </cell>
          <cell r="AI61">
            <v>98.222077583222742</v>
          </cell>
          <cell r="AJ61">
            <v>103.74253269053251</v>
          </cell>
          <cell r="AK61">
            <v>114.22919563996423</v>
          </cell>
          <cell r="AL61">
            <v>116.41780523401893</v>
          </cell>
          <cell r="AM61">
            <v>105.10592475876939</v>
          </cell>
          <cell r="AN61">
            <v>94.235230902757735</v>
          </cell>
          <cell r="AO61">
            <v>88.146290610035763</v>
          </cell>
          <cell r="AP61">
            <v>43.13221875</v>
          </cell>
          <cell r="AQ61">
            <v>0</v>
          </cell>
          <cell r="AR61">
            <v>0</v>
          </cell>
          <cell r="AS61">
            <v>0</v>
          </cell>
          <cell r="AW61">
            <v>10.5</v>
          </cell>
          <cell r="AX61">
            <v>12.157978617377259</v>
          </cell>
          <cell r="AY61">
            <v>14.550086947585532</v>
          </cell>
          <cell r="AZ61">
            <v>15.816762491345989</v>
          </cell>
          <cell r="BA61">
            <v>14.678705998673051</v>
          </cell>
          <cell r="BB61">
            <v>12.140251572145619</v>
          </cell>
          <cell r="BC61">
            <v>10.546673974499509</v>
          </cell>
          <cell r="BD61">
            <v>9.7841112329083249</v>
          </cell>
          <cell r="BE61">
            <v>4.6236369930190966</v>
          </cell>
          <cell r="BF61">
            <v>0</v>
          </cell>
          <cell r="BG61">
            <v>0</v>
          </cell>
          <cell r="BH61">
            <v>0</v>
          </cell>
          <cell r="BL61">
            <v>13.4883875</v>
          </cell>
          <cell r="BM61">
            <v>13.816881602290428</v>
          </cell>
          <cell r="BN61">
            <v>14.903487469710957</v>
          </cell>
          <cell r="BO61">
            <v>16.342085968239772</v>
          </cell>
          <cell r="BP61">
            <v>16.736971765923382</v>
          </cell>
          <cell r="BQ61">
            <v>16.046828019529222</v>
          </cell>
          <cell r="BR61">
            <v>14.569970339453644</v>
          </cell>
          <cell r="BS61">
            <v>12.702852735028559</v>
          </cell>
          <cell r="BT61">
            <v>5.8856562500000003</v>
          </cell>
          <cell r="BU61">
            <v>0</v>
          </cell>
          <cell r="BV61">
            <v>0</v>
          </cell>
          <cell r="BW61">
            <v>0</v>
          </cell>
        </row>
        <row r="62">
          <cell r="A62" t="str">
            <v>YTD Average Staffing</v>
          </cell>
          <cell r="C62">
            <v>138.60206876113003</v>
          </cell>
          <cell r="J62">
            <v>95.316423590229292</v>
          </cell>
          <cell r="Q62">
            <v>11.644245314172709</v>
          </cell>
          <cell r="X62">
            <v>13.832569072241773</v>
          </cell>
          <cell r="AH62">
            <v>94.616536142762371</v>
          </cell>
          <cell r="AI62">
            <v>96.419306862992556</v>
          </cell>
          <cell r="AJ62">
            <v>98.860382138839213</v>
          </cell>
          <cell r="AK62">
            <v>102.70258551412047</v>
          </cell>
          <cell r="AL62">
            <v>105.44562945810017</v>
          </cell>
          <cell r="AM62">
            <v>105.38901200821169</v>
          </cell>
          <cell r="AN62">
            <v>103.79561470743256</v>
          </cell>
          <cell r="AO62">
            <v>101.83944919525796</v>
          </cell>
          <cell r="AP62">
            <v>95.316423590229292</v>
          </cell>
          <cell r="AQ62">
            <v>85.784781231206367</v>
          </cell>
          <cell r="AR62">
            <v>77.98616475564215</v>
          </cell>
          <cell r="AS62">
            <v>71.487317692671965</v>
          </cell>
          <cell r="AW62">
            <v>10.5</v>
          </cell>
          <cell r="AX62">
            <v>11.32898930868863</v>
          </cell>
          <cell r="AY62">
            <v>12.402688521654264</v>
          </cell>
          <cell r="AZ62">
            <v>13.256207014077196</v>
          </cell>
          <cell r="BA62">
            <v>13.540706810996365</v>
          </cell>
          <cell r="BB62">
            <v>13.30729760452124</v>
          </cell>
          <cell r="BC62">
            <v>12.912922800232423</v>
          </cell>
          <cell r="BD62">
            <v>12.521821354316911</v>
          </cell>
          <cell r="BE62">
            <v>11.644245314172709</v>
          </cell>
          <cell r="BF62">
            <v>10.479820782755437</v>
          </cell>
          <cell r="BG62">
            <v>9.5271098025049437</v>
          </cell>
          <cell r="BH62">
            <v>8.7331839856295321</v>
          </cell>
          <cell r="BL62">
            <v>13.4883875</v>
          </cell>
          <cell r="BM62">
            <v>13.652634551145214</v>
          </cell>
          <cell r="BN62">
            <v>14.069585524000461</v>
          </cell>
          <cell r="BO62">
            <v>14.637710635060289</v>
          </cell>
          <cell r="BP62">
            <v>15.057562861232906</v>
          </cell>
          <cell r="BQ62">
            <v>15.222440387615626</v>
          </cell>
          <cell r="BR62">
            <v>15.129230380735342</v>
          </cell>
          <cell r="BS62">
            <v>14.825933175021994</v>
          </cell>
          <cell r="BT62">
            <v>13.832569072241773</v>
          </cell>
          <cell r="BU62">
            <v>12.449312165017595</v>
          </cell>
          <cell r="BV62">
            <v>11.317556513652359</v>
          </cell>
          <cell r="BW62">
            <v>10.374426804181329</v>
          </cell>
          <cell r="CP62" t="e">
            <v>#DIV/0!</v>
          </cell>
          <cell r="CQ62" t="e">
            <v>#DIV/0!</v>
          </cell>
          <cell r="CR62" t="e">
            <v>#DIV/0!</v>
          </cell>
          <cell r="CS62" t="e">
            <v>#DIV/0!</v>
          </cell>
          <cell r="CT62" t="e">
            <v>#DIV/0!</v>
          </cell>
          <cell r="CU62" t="e">
            <v>#DIV/0!</v>
          </cell>
          <cell r="CV62" t="e">
            <v>#DIV/0!</v>
          </cell>
          <cell r="CW62" t="e">
            <v>#DIV/0!</v>
          </cell>
          <cell r="CX62" t="e">
            <v>#DIV/0!</v>
          </cell>
          <cell r="CY62" t="e">
            <v>#DIV/0!</v>
          </cell>
          <cell r="CZ62" t="e">
            <v>#DIV/0!</v>
          </cell>
          <cell r="DA62" t="e">
            <v>#DIV/0!</v>
          </cell>
          <cell r="DE62" t="e">
            <v>#DIV/0!</v>
          </cell>
          <cell r="DF62" t="e">
            <v>#DIV/0!</v>
          </cell>
          <cell r="DG62" t="e">
            <v>#DIV/0!</v>
          </cell>
          <cell r="DH62" t="e">
            <v>#DIV/0!</v>
          </cell>
          <cell r="DI62" t="e">
            <v>#DIV/0!</v>
          </cell>
          <cell r="DJ62" t="e">
            <v>#DIV/0!</v>
          </cell>
          <cell r="DK62" t="e">
            <v>#DIV/0!</v>
          </cell>
          <cell r="DL62" t="e">
            <v>#DIV/0!</v>
          </cell>
          <cell r="DM62" t="e">
            <v>#DIV/0!</v>
          </cell>
          <cell r="DN62" t="e">
            <v>#DIV/0!</v>
          </cell>
          <cell r="DO62" t="e">
            <v>#DIV/0!</v>
          </cell>
          <cell r="DP62" t="e">
            <v>#DIV/0!</v>
          </cell>
          <cell r="DT62" t="e">
            <v>#DIV/0!</v>
          </cell>
          <cell r="DU62" t="e">
            <v>#DIV/0!</v>
          </cell>
          <cell r="DV62" t="e">
            <v>#DIV/0!</v>
          </cell>
          <cell r="DW62" t="e">
            <v>#DIV/0!</v>
          </cell>
          <cell r="DX62" t="e">
            <v>#DIV/0!</v>
          </cell>
          <cell r="DY62" t="e">
            <v>#DIV/0!</v>
          </cell>
          <cell r="DZ62" t="e">
            <v>#DIV/0!</v>
          </cell>
          <cell r="EA62" t="e">
            <v>#DIV/0!</v>
          </cell>
          <cell r="EB62" t="e">
            <v>#DIV/0!</v>
          </cell>
          <cell r="EC62" t="e">
            <v>#DIV/0!</v>
          </cell>
          <cell r="ED62" t="e">
            <v>#DIV/0!</v>
          </cell>
          <cell r="EE62" t="e">
            <v>#DIV/0!</v>
          </cell>
          <cell r="EX62" t="e">
            <v>#DIV/0!</v>
          </cell>
          <cell r="EY62" t="e">
            <v>#DIV/0!</v>
          </cell>
          <cell r="EZ62" t="e">
            <v>#DIV/0!</v>
          </cell>
          <cell r="FA62" t="e">
            <v>#DIV/0!</v>
          </cell>
          <cell r="FB62" t="e">
            <v>#DIV/0!</v>
          </cell>
          <cell r="FC62" t="e">
            <v>#DIV/0!</v>
          </cell>
          <cell r="FD62" t="e">
            <v>#DIV/0!</v>
          </cell>
          <cell r="FE62" t="e">
            <v>#DIV/0!</v>
          </cell>
          <cell r="FF62" t="e">
            <v>#DIV/0!</v>
          </cell>
          <cell r="FG62" t="e">
            <v>#DIV/0!</v>
          </cell>
          <cell r="FH62" t="e">
            <v>#DIV/0!</v>
          </cell>
          <cell r="FI62" t="e">
            <v>#DIV/0!</v>
          </cell>
          <cell r="FM62" t="e">
            <v>#DIV/0!</v>
          </cell>
          <cell r="FN62" t="e">
            <v>#DIV/0!</v>
          </cell>
          <cell r="FO62" t="e">
            <v>#DIV/0!</v>
          </cell>
          <cell r="FP62" t="e">
            <v>#DIV/0!</v>
          </cell>
          <cell r="FQ62" t="e">
            <v>#DIV/0!</v>
          </cell>
          <cell r="FR62" t="e">
            <v>#DIV/0!</v>
          </cell>
          <cell r="FS62" t="e">
            <v>#DIV/0!</v>
          </cell>
          <cell r="FT62" t="e">
            <v>#DIV/0!</v>
          </cell>
          <cell r="FU62" t="e">
            <v>#DIV/0!</v>
          </cell>
          <cell r="FV62" t="e">
            <v>#DIV/0!</v>
          </cell>
          <cell r="FW62" t="e">
            <v>#DIV/0!</v>
          </cell>
          <cell r="FX62" t="e">
            <v>#DIV/0!</v>
          </cell>
          <cell r="GB62" t="e">
            <v>#DIV/0!</v>
          </cell>
          <cell r="GC62" t="e">
            <v>#DIV/0!</v>
          </cell>
          <cell r="GD62" t="e">
            <v>#DIV/0!</v>
          </cell>
          <cell r="GE62" t="e">
            <v>#DIV/0!</v>
          </cell>
          <cell r="GF62" t="e">
            <v>#DIV/0!</v>
          </cell>
          <cell r="GG62" t="e">
            <v>#DIV/0!</v>
          </cell>
          <cell r="GH62" t="e">
            <v>#DIV/0!</v>
          </cell>
          <cell r="GI62" t="e">
            <v>#DIV/0!</v>
          </cell>
          <cell r="GJ62" t="e">
            <v>#DIV/0!</v>
          </cell>
          <cell r="GK62" t="e">
            <v>#DIV/0!</v>
          </cell>
          <cell r="GL62" t="e">
            <v>#DIV/0!</v>
          </cell>
          <cell r="GM62" t="e">
            <v>#DIV/0!</v>
          </cell>
        </row>
        <row r="64">
          <cell r="A64" t="str">
            <v>Note:  Corporate staffing is not allocated to divisions but is included in GTS Total column.</v>
          </cell>
        </row>
        <row r="67">
          <cell r="A67" t="str">
            <v>The GTS Companies</v>
          </cell>
        </row>
        <row r="68">
          <cell r="A68" t="str">
            <v>YTD Income Statement by Business Unit</v>
          </cell>
        </row>
        <row r="69">
          <cell r="A69" t="str">
            <v>For the Eight Months Ended August 31, 2001</v>
          </cell>
        </row>
        <row r="70">
          <cell r="A70" t="str">
            <v>($ in '000's)</v>
          </cell>
        </row>
        <row r="72">
          <cell r="C72" t="str">
            <v>TOTAL</v>
          </cell>
          <cell r="J72" t="str">
            <v>GRAPHICS</v>
          </cell>
          <cell r="Q72" t="str">
            <v>PUBLISHING SERVICES</v>
          </cell>
          <cell r="X72" t="str">
            <v>INNOVA</v>
          </cell>
          <cell r="AD72" t="str">
            <v>Full Year</v>
          </cell>
          <cell r="AE72" t="str">
            <v>Full Year</v>
          </cell>
        </row>
        <row r="73">
          <cell r="C73" t="str">
            <v>YTD</v>
          </cell>
          <cell r="D73" t="str">
            <v>YTD</v>
          </cell>
          <cell r="G73" t="str">
            <v>YTD</v>
          </cell>
          <cell r="H73" t="str">
            <v>YTD</v>
          </cell>
          <cell r="J73" t="str">
            <v>YTD</v>
          </cell>
          <cell r="K73" t="str">
            <v>YTD</v>
          </cell>
          <cell r="N73" t="str">
            <v>YTD</v>
          </cell>
          <cell r="O73" t="str">
            <v>YTD</v>
          </cell>
          <cell r="Q73" t="str">
            <v>YTD</v>
          </cell>
          <cell r="R73" t="str">
            <v>YTD</v>
          </cell>
          <cell r="U73" t="str">
            <v>YTD</v>
          </cell>
          <cell r="V73" t="str">
            <v>YTD</v>
          </cell>
          <cell r="X73" t="str">
            <v>YTD</v>
          </cell>
          <cell r="Y73" t="str">
            <v>YTD</v>
          </cell>
          <cell r="AB73" t="str">
            <v>YTD</v>
          </cell>
          <cell r="AC73" t="str">
            <v>YTD</v>
          </cell>
        </row>
        <row r="74">
          <cell r="C74">
            <v>37104</v>
          </cell>
          <cell r="D74">
            <v>37104</v>
          </cell>
          <cell r="G74">
            <v>37104</v>
          </cell>
          <cell r="H74">
            <v>36739</v>
          </cell>
          <cell r="J74">
            <v>37104</v>
          </cell>
          <cell r="K74">
            <v>37104</v>
          </cell>
          <cell r="N74">
            <v>37104</v>
          </cell>
          <cell r="O74">
            <v>36739</v>
          </cell>
          <cell r="Q74">
            <v>37104</v>
          </cell>
          <cell r="R74">
            <v>37104</v>
          </cell>
          <cell r="U74">
            <v>37104</v>
          </cell>
          <cell r="V74">
            <v>36739</v>
          </cell>
          <cell r="X74">
            <v>37104</v>
          </cell>
          <cell r="Y74">
            <v>37104</v>
          </cell>
          <cell r="AB74">
            <v>37104</v>
          </cell>
          <cell r="AC74">
            <v>36739</v>
          </cell>
          <cell r="AD74">
            <v>2001</v>
          </cell>
          <cell r="AE74">
            <v>2000</v>
          </cell>
        </row>
        <row r="75">
          <cell r="C75" t="str">
            <v>Actual</v>
          </cell>
          <cell r="D75" t="str">
            <v>Forecast</v>
          </cell>
          <cell r="E75" t="str">
            <v>$ Var</v>
          </cell>
          <cell r="F75" t="str">
            <v>% Var</v>
          </cell>
          <cell r="G75" t="str">
            <v>Budget</v>
          </cell>
          <cell r="H75" t="str">
            <v>Actual</v>
          </cell>
          <cell r="J75" t="str">
            <v>Actual</v>
          </cell>
          <cell r="K75" t="str">
            <v>Forecast</v>
          </cell>
          <cell r="L75" t="str">
            <v>$ Var</v>
          </cell>
          <cell r="M75" t="str">
            <v>% Var</v>
          </cell>
          <cell r="N75" t="str">
            <v>Budget</v>
          </cell>
          <cell r="O75" t="str">
            <v>Actual</v>
          </cell>
          <cell r="Q75" t="str">
            <v>Actual</v>
          </cell>
          <cell r="R75" t="str">
            <v>Forecast</v>
          </cell>
          <cell r="S75" t="str">
            <v>$ Var</v>
          </cell>
          <cell r="T75" t="str">
            <v>% Var</v>
          </cell>
          <cell r="U75" t="str">
            <v>Budget</v>
          </cell>
          <cell r="V75" t="str">
            <v>Actual</v>
          </cell>
          <cell r="X75" t="str">
            <v>Actual</v>
          </cell>
          <cell r="Y75" t="str">
            <v>Forecast</v>
          </cell>
          <cell r="Z75" t="str">
            <v>$ Var</v>
          </cell>
          <cell r="AA75" t="str">
            <v>% Var</v>
          </cell>
          <cell r="AB75" t="str">
            <v>Budget</v>
          </cell>
          <cell r="AC75" t="str">
            <v>Actual</v>
          </cell>
          <cell r="AD75" t="str">
            <v>Forecast</v>
          </cell>
          <cell r="AE75" t="str">
            <v>Actual</v>
          </cell>
        </row>
        <row r="77">
          <cell r="AH77">
            <v>1</v>
          </cell>
          <cell r="AI77">
            <v>2</v>
          </cell>
          <cell r="AJ77">
            <v>3</v>
          </cell>
          <cell r="AK77">
            <v>4</v>
          </cell>
          <cell r="AL77">
            <v>5</v>
          </cell>
          <cell r="AM77">
            <v>6</v>
          </cell>
          <cell r="AN77">
            <v>7</v>
          </cell>
          <cell r="AO77">
            <v>8</v>
          </cell>
          <cell r="AP77">
            <v>9</v>
          </cell>
          <cell r="AQ77">
            <v>10</v>
          </cell>
          <cell r="AR77">
            <v>11</v>
          </cell>
          <cell r="AS77">
            <v>12</v>
          </cell>
          <cell r="AW77">
            <v>1</v>
          </cell>
          <cell r="AX77">
            <v>2</v>
          </cell>
          <cell r="AY77">
            <v>3</v>
          </cell>
          <cell r="AZ77">
            <v>4</v>
          </cell>
          <cell r="BA77">
            <v>5</v>
          </cell>
          <cell r="BB77">
            <v>6</v>
          </cell>
          <cell r="BC77">
            <v>7</v>
          </cell>
          <cell r="BD77">
            <v>8</v>
          </cell>
          <cell r="BE77">
            <v>9</v>
          </cell>
          <cell r="BF77">
            <v>10</v>
          </cell>
          <cell r="BG77">
            <v>11</v>
          </cell>
          <cell r="BH77">
            <v>12</v>
          </cell>
          <cell r="BL77">
            <v>1</v>
          </cell>
          <cell r="BM77">
            <v>2</v>
          </cell>
          <cell r="BN77">
            <v>3</v>
          </cell>
          <cell r="BO77">
            <v>4</v>
          </cell>
          <cell r="BP77">
            <v>5</v>
          </cell>
          <cell r="BQ77">
            <v>6</v>
          </cell>
          <cell r="BR77">
            <v>7</v>
          </cell>
          <cell r="BS77">
            <v>8</v>
          </cell>
          <cell r="BT77">
            <v>9</v>
          </cell>
          <cell r="BU77">
            <v>10</v>
          </cell>
          <cell r="BV77">
            <v>11</v>
          </cell>
          <cell r="BW77">
            <v>12</v>
          </cell>
          <cell r="CP77">
            <v>1</v>
          </cell>
          <cell r="CQ77">
            <v>2</v>
          </cell>
          <cell r="CR77">
            <v>3</v>
          </cell>
          <cell r="CS77">
            <v>4</v>
          </cell>
          <cell r="CT77">
            <v>5</v>
          </cell>
          <cell r="CU77">
            <v>6</v>
          </cell>
          <cell r="CV77">
            <v>7</v>
          </cell>
          <cell r="CW77">
            <v>8</v>
          </cell>
          <cell r="CX77">
            <v>9</v>
          </cell>
          <cell r="CY77">
            <v>10</v>
          </cell>
          <cell r="CZ77">
            <v>11</v>
          </cell>
          <cell r="DA77">
            <v>12</v>
          </cell>
          <cell r="DE77">
            <v>1</v>
          </cell>
          <cell r="DF77">
            <v>2</v>
          </cell>
          <cell r="DG77">
            <v>3</v>
          </cell>
          <cell r="DH77">
            <v>4</v>
          </cell>
          <cell r="DI77">
            <v>5</v>
          </cell>
          <cell r="DJ77">
            <v>6</v>
          </cell>
          <cell r="DK77">
            <v>7</v>
          </cell>
          <cell r="DL77">
            <v>8</v>
          </cell>
          <cell r="DM77">
            <v>9</v>
          </cell>
          <cell r="DN77">
            <v>10</v>
          </cell>
          <cell r="DO77">
            <v>11</v>
          </cell>
          <cell r="DP77">
            <v>12</v>
          </cell>
          <cell r="DT77">
            <v>1</v>
          </cell>
          <cell r="DU77">
            <v>2</v>
          </cell>
          <cell r="DV77">
            <v>3</v>
          </cell>
          <cell r="DW77">
            <v>4</v>
          </cell>
          <cell r="DX77">
            <v>5</v>
          </cell>
          <cell r="DY77">
            <v>6</v>
          </cell>
          <cell r="DZ77">
            <v>7</v>
          </cell>
          <cell r="EA77">
            <v>8</v>
          </cell>
          <cell r="EB77">
            <v>9</v>
          </cell>
          <cell r="EC77">
            <v>10</v>
          </cell>
          <cell r="ED77">
            <v>11</v>
          </cell>
          <cell r="EE77">
            <v>12</v>
          </cell>
          <cell r="EX77">
            <v>1</v>
          </cell>
          <cell r="EY77">
            <v>2</v>
          </cell>
          <cell r="EZ77">
            <v>3</v>
          </cell>
          <cell r="FA77">
            <v>4</v>
          </cell>
          <cell r="FB77">
            <v>5</v>
          </cell>
          <cell r="FC77">
            <v>6</v>
          </cell>
          <cell r="FD77">
            <v>7</v>
          </cell>
          <cell r="FE77">
            <v>8</v>
          </cell>
          <cell r="FF77">
            <v>9</v>
          </cell>
          <cell r="FG77">
            <v>10</v>
          </cell>
          <cell r="FH77">
            <v>11</v>
          </cell>
          <cell r="FI77">
            <v>12</v>
          </cell>
          <cell r="FM77">
            <v>1</v>
          </cell>
          <cell r="FN77">
            <v>2</v>
          </cell>
          <cell r="FO77">
            <v>3</v>
          </cell>
          <cell r="FP77">
            <v>4</v>
          </cell>
          <cell r="FQ77">
            <v>5</v>
          </cell>
          <cell r="FR77">
            <v>6</v>
          </cell>
          <cell r="FS77">
            <v>7</v>
          </cell>
          <cell r="FT77">
            <v>8</v>
          </cell>
          <cell r="FU77">
            <v>9</v>
          </cell>
          <cell r="FV77">
            <v>10</v>
          </cell>
          <cell r="FW77">
            <v>11</v>
          </cell>
          <cell r="FX77">
            <v>12</v>
          </cell>
          <cell r="GB77">
            <v>1</v>
          </cell>
          <cell r="GC77">
            <v>2</v>
          </cell>
          <cell r="GD77">
            <v>3</v>
          </cell>
          <cell r="GE77">
            <v>4</v>
          </cell>
          <cell r="GF77">
            <v>5</v>
          </cell>
          <cell r="GG77">
            <v>6</v>
          </cell>
          <cell r="GH77">
            <v>7</v>
          </cell>
          <cell r="GI77">
            <v>8</v>
          </cell>
          <cell r="GJ77">
            <v>9</v>
          </cell>
          <cell r="GK77">
            <v>10</v>
          </cell>
          <cell r="GL77">
            <v>11</v>
          </cell>
          <cell r="GM77">
            <v>12</v>
          </cell>
        </row>
        <row r="78">
          <cell r="A78" t="str">
            <v>College Revenue</v>
          </cell>
          <cell r="C78">
            <v>3662.7506730877903</v>
          </cell>
          <cell r="D78">
            <v>0</v>
          </cell>
          <cell r="E78">
            <v>3662.7506730877903</v>
          </cell>
          <cell r="F78" t="str">
            <v>n/a</v>
          </cell>
          <cell r="G78">
            <v>3040.4882865546574</v>
          </cell>
          <cell r="H78">
            <v>2806.4084133932429</v>
          </cell>
          <cell r="J78">
            <v>3174.3072430877905</v>
          </cell>
          <cell r="K78">
            <v>0</v>
          </cell>
          <cell r="L78">
            <v>3174.3072430877905</v>
          </cell>
          <cell r="M78" t="str">
            <v>n/a</v>
          </cell>
          <cell r="N78">
            <v>2814.2382865546574</v>
          </cell>
          <cell r="O78">
            <v>2804.498413393243</v>
          </cell>
          <cell r="Q78">
            <v>488.44342999999992</v>
          </cell>
          <cell r="R78">
            <v>0</v>
          </cell>
          <cell r="S78">
            <v>488.44342999999992</v>
          </cell>
          <cell r="T78" t="str">
            <v>n/a</v>
          </cell>
          <cell r="U78">
            <v>226.25</v>
          </cell>
          <cell r="V78">
            <v>1.91</v>
          </cell>
          <cell r="X78">
            <v>0</v>
          </cell>
          <cell r="Y78">
            <v>0</v>
          </cell>
          <cell r="Z78">
            <v>0</v>
          </cell>
          <cell r="AA78" t="str">
            <v>n/a</v>
          </cell>
          <cell r="AB78">
            <v>0</v>
          </cell>
          <cell r="AC78">
            <v>0</v>
          </cell>
          <cell r="AD78">
            <v>4636.7506730877903</v>
          </cell>
          <cell r="AE78">
            <v>3407.378008070029</v>
          </cell>
          <cell r="AH78">
            <v>205214.26643880818</v>
          </cell>
          <cell r="AI78">
            <v>543168.16489477898</v>
          </cell>
          <cell r="AJ78">
            <v>979174.57833124092</v>
          </cell>
          <cell r="AK78">
            <v>1484596.6979760733</v>
          </cell>
          <cell r="AL78">
            <v>1870751.8119367692</v>
          </cell>
          <cell r="AM78">
            <v>2714711.9837826164</v>
          </cell>
          <cell r="AN78">
            <v>2914325.5009713727</v>
          </cell>
          <cell r="AO78">
            <v>3174307.2430877904</v>
          </cell>
          <cell r="AP78">
            <v>3174307.2430877904</v>
          </cell>
          <cell r="AQ78">
            <v>3174307.2430877904</v>
          </cell>
          <cell r="AR78">
            <v>3174307.2430877904</v>
          </cell>
          <cell r="AS78">
            <v>3174307.2430877904</v>
          </cell>
          <cell r="AW78">
            <v>71222</v>
          </cell>
          <cell r="AX78">
            <v>163733.44</v>
          </cell>
          <cell r="AY78">
            <v>238633.26</v>
          </cell>
          <cell r="AZ78">
            <v>281264.34999999998</v>
          </cell>
          <cell r="BA78">
            <v>310767.84999999998</v>
          </cell>
          <cell r="BB78">
            <v>415924.63999999996</v>
          </cell>
          <cell r="BC78">
            <v>449838.57999999996</v>
          </cell>
          <cell r="BD78">
            <v>488443.42999999993</v>
          </cell>
          <cell r="BE78">
            <v>488443.42999999993</v>
          </cell>
          <cell r="BF78">
            <v>488443.42999999993</v>
          </cell>
          <cell r="BG78">
            <v>488443.42999999993</v>
          </cell>
          <cell r="BH78">
            <v>488443.42999999993</v>
          </cell>
          <cell r="BL78">
            <v>0</v>
          </cell>
          <cell r="BM78">
            <v>0</v>
          </cell>
          <cell r="BN78">
            <v>0</v>
          </cell>
          <cell r="BO78">
            <v>0</v>
          </cell>
          <cell r="BP78">
            <v>0</v>
          </cell>
          <cell r="BQ78">
            <v>0</v>
          </cell>
          <cell r="BR78">
            <v>0</v>
          </cell>
          <cell r="BS78">
            <v>0</v>
          </cell>
          <cell r="BT78">
            <v>0</v>
          </cell>
          <cell r="BU78">
            <v>0</v>
          </cell>
          <cell r="BV78">
            <v>0</v>
          </cell>
          <cell r="BW78">
            <v>0</v>
          </cell>
          <cell r="CP78">
            <v>228500</v>
          </cell>
          <cell r="CQ78">
            <v>573514.26643880818</v>
          </cell>
          <cell r="CR78">
            <v>907568.16489477898</v>
          </cell>
          <cell r="CS78">
            <v>1375174.5783312409</v>
          </cell>
          <cell r="CT78">
            <v>1874596.6979760733</v>
          </cell>
          <cell r="CU78">
            <v>2445751.8119367692</v>
          </cell>
          <cell r="CV78">
            <v>2879711.9837826164</v>
          </cell>
          <cell r="CW78">
            <v>3147150.5009713727</v>
          </cell>
          <cell r="DE78">
            <v>53000</v>
          </cell>
          <cell r="DF78">
            <v>123722</v>
          </cell>
          <cell r="DG78">
            <v>223733.44</v>
          </cell>
          <cell r="DH78">
            <v>290633.26</v>
          </cell>
          <cell r="DI78">
            <v>340264.35</v>
          </cell>
          <cell r="DJ78">
            <v>384767.85</v>
          </cell>
          <cell r="DK78">
            <v>429924.63999999996</v>
          </cell>
          <cell r="DL78">
            <v>462838.57999999996</v>
          </cell>
          <cell r="DT78">
            <v>0</v>
          </cell>
          <cell r="DU78">
            <v>0</v>
          </cell>
          <cell r="DV78">
            <v>0</v>
          </cell>
          <cell r="DW78">
            <v>0</v>
          </cell>
          <cell r="DX78">
            <v>0</v>
          </cell>
          <cell r="DY78">
            <v>0</v>
          </cell>
          <cell r="DZ78">
            <v>0</v>
          </cell>
          <cell r="EA78">
            <v>0</v>
          </cell>
          <cell r="EX78">
            <v>150989.05909262641</v>
          </cell>
          <cell r="EY78">
            <v>425902.16009849065</v>
          </cell>
          <cell r="EZ78">
            <v>693756.10418134939</v>
          </cell>
          <cell r="FA78">
            <v>934285.51984985103</v>
          </cell>
          <cell r="FB78">
            <v>1647317.5689004227</v>
          </cell>
          <cell r="FC78">
            <v>2371712.6650171271</v>
          </cell>
          <cell r="FD78">
            <v>2452758.8906134614</v>
          </cell>
          <cell r="FE78">
            <v>2635410.3190303543</v>
          </cell>
          <cell r="FF78">
            <v>2804498.4133932432</v>
          </cell>
          <cell r="FG78">
            <v>2970408.390027883</v>
          </cell>
          <cell r="FH78">
            <v>3235949.8046118817</v>
          </cell>
          <cell r="FI78">
            <v>3374393.208070029</v>
          </cell>
          <cell r="FM78">
            <v>0</v>
          </cell>
          <cell r="FN78">
            <v>0</v>
          </cell>
          <cell r="FO78">
            <v>0</v>
          </cell>
          <cell r="FP78">
            <v>0</v>
          </cell>
          <cell r="FQ78">
            <v>0</v>
          </cell>
          <cell r="FR78">
            <v>1910</v>
          </cell>
          <cell r="FS78">
            <v>1910</v>
          </cell>
          <cell r="FT78">
            <v>1910</v>
          </cell>
          <cell r="FU78">
            <v>1910</v>
          </cell>
          <cell r="FV78">
            <v>1910</v>
          </cell>
          <cell r="FW78">
            <v>1910</v>
          </cell>
          <cell r="FX78">
            <v>32984.800000000003</v>
          </cell>
          <cell r="GB78">
            <v>0</v>
          </cell>
          <cell r="GC78">
            <v>0</v>
          </cell>
          <cell r="GD78">
            <v>0</v>
          </cell>
          <cell r="GE78">
            <v>0</v>
          </cell>
          <cell r="GF78">
            <v>0</v>
          </cell>
          <cell r="GG78">
            <v>0</v>
          </cell>
          <cell r="GH78">
            <v>0</v>
          </cell>
          <cell r="GI78">
            <v>0</v>
          </cell>
          <cell r="GJ78">
            <v>0</v>
          </cell>
          <cell r="GK78">
            <v>0</v>
          </cell>
          <cell r="GL78">
            <v>0</v>
          </cell>
          <cell r="GM78">
            <v>0</v>
          </cell>
        </row>
        <row r="79">
          <cell r="A79" t="str">
            <v>El-Hi Revenue</v>
          </cell>
          <cell r="C79">
            <v>6579.441066912208</v>
          </cell>
          <cell r="D79">
            <v>0</v>
          </cell>
          <cell r="E79">
            <v>6579.441066912208</v>
          </cell>
          <cell r="F79" t="str">
            <v>n/a</v>
          </cell>
          <cell r="G79">
            <v>7296.1121388075244</v>
          </cell>
          <cell r="H79">
            <v>5240.6720966067569</v>
          </cell>
          <cell r="J79">
            <v>5208.7730669122084</v>
          </cell>
          <cell r="K79">
            <v>0</v>
          </cell>
          <cell r="L79">
            <v>5208.7730669122084</v>
          </cell>
          <cell r="M79" t="str">
            <v>n/a</v>
          </cell>
          <cell r="N79">
            <v>5928.0932029132891</v>
          </cell>
          <cell r="O79">
            <v>4702.0064666067574</v>
          </cell>
          <cell r="Q79">
            <v>1370.6679999999999</v>
          </cell>
          <cell r="R79">
            <v>0</v>
          </cell>
          <cell r="S79">
            <v>1370.6679999999999</v>
          </cell>
          <cell r="T79" t="str">
            <v>n/a</v>
          </cell>
          <cell r="U79">
            <v>1368.018935894235</v>
          </cell>
          <cell r="V79">
            <v>538.66562999999996</v>
          </cell>
          <cell r="X79">
            <v>0</v>
          </cell>
          <cell r="Y79">
            <v>0</v>
          </cell>
          <cell r="Z79">
            <v>0</v>
          </cell>
          <cell r="AA79" t="str">
            <v>n/a</v>
          </cell>
          <cell r="AB79">
            <v>0</v>
          </cell>
          <cell r="AC79">
            <v>0</v>
          </cell>
          <cell r="AD79">
            <v>8226.9610669122085</v>
          </cell>
          <cell r="AE79">
            <v>7079.8208519299724</v>
          </cell>
          <cell r="AH79">
            <v>312054.89356119186</v>
          </cell>
          <cell r="AI79">
            <v>753399.4251052211</v>
          </cell>
          <cell r="AJ79">
            <v>2046907.6716687591</v>
          </cell>
          <cell r="AK79">
            <v>2178706.4820239265</v>
          </cell>
          <cell r="AL79">
            <v>3289752.3380632303</v>
          </cell>
          <cell r="AM79">
            <v>4096968.2762173829</v>
          </cell>
          <cell r="AN79">
            <v>4700375.0990286265</v>
          </cell>
          <cell r="AO79">
            <v>5208773.0669122087</v>
          </cell>
          <cell r="AP79">
            <v>5208773.0669122087</v>
          </cell>
          <cell r="AQ79">
            <v>5208773.0669122087</v>
          </cell>
          <cell r="AR79">
            <v>5208773.0669122087</v>
          </cell>
          <cell r="AS79">
            <v>5208773.0669122087</v>
          </cell>
          <cell r="AW79">
            <v>50000</v>
          </cell>
          <cell r="AX79">
            <v>191886</v>
          </cell>
          <cell r="AY79">
            <v>478012.32</v>
          </cell>
          <cell r="AZ79">
            <v>634155.35</v>
          </cell>
          <cell r="BA79">
            <v>970307.23</v>
          </cell>
          <cell r="BB79">
            <v>1123759</v>
          </cell>
          <cell r="BC79">
            <v>1247763</v>
          </cell>
          <cell r="BD79">
            <v>1370668</v>
          </cell>
          <cell r="BE79">
            <v>1370668</v>
          </cell>
          <cell r="BF79">
            <v>1370668</v>
          </cell>
          <cell r="BG79">
            <v>1370668</v>
          </cell>
          <cell r="BH79">
            <v>1370668</v>
          </cell>
          <cell r="BL79">
            <v>0</v>
          </cell>
          <cell r="BM79">
            <v>0</v>
          </cell>
          <cell r="BN79">
            <v>0</v>
          </cell>
          <cell r="BO79">
            <v>0</v>
          </cell>
          <cell r="BP79">
            <v>0</v>
          </cell>
          <cell r="BQ79">
            <v>0</v>
          </cell>
          <cell r="BR79">
            <v>0</v>
          </cell>
          <cell r="BS79">
            <v>0</v>
          </cell>
          <cell r="BT79">
            <v>0</v>
          </cell>
          <cell r="BU79">
            <v>0</v>
          </cell>
          <cell r="BV79">
            <v>0</v>
          </cell>
          <cell r="BW79">
            <v>0</v>
          </cell>
          <cell r="CP79">
            <v>551000</v>
          </cell>
          <cell r="CQ79">
            <v>950054.89356119186</v>
          </cell>
          <cell r="CR79">
            <v>1804217.4251052211</v>
          </cell>
          <cell r="CS79">
            <v>2776907.6716687591</v>
          </cell>
          <cell r="CT79">
            <v>2677706.4820239265</v>
          </cell>
          <cell r="CU79">
            <v>3894536.3380632303</v>
          </cell>
          <cell r="CV79">
            <v>4508768.2762173824</v>
          </cell>
          <cell r="CW79">
            <v>5200015.0990286265</v>
          </cell>
          <cell r="DE79">
            <v>149000</v>
          </cell>
          <cell r="DF79">
            <v>304000</v>
          </cell>
          <cell r="DG79">
            <v>435886</v>
          </cell>
          <cell r="DH79">
            <v>702012.32000000007</v>
          </cell>
          <cell r="DI79">
            <v>766155.35</v>
          </cell>
          <cell r="DJ79">
            <v>1254307.23</v>
          </cell>
          <cell r="DK79">
            <v>1295759</v>
          </cell>
          <cell r="DL79">
            <v>1455763</v>
          </cell>
          <cell r="DT79">
            <v>0</v>
          </cell>
          <cell r="DU79">
            <v>0</v>
          </cell>
          <cell r="DV79">
            <v>0</v>
          </cell>
          <cell r="DW79">
            <v>0</v>
          </cell>
          <cell r="DX79">
            <v>0</v>
          </cell>
          <cell r="DY79">
            <v>0</v>
          </cell>
          <cell r="DZ79">
            <v>0</v>
          </cell>
          <cell r="EA79">
            <v>0</v>
          </cell>
          <cell r="EX79">
            <v>627310.59090737358</v>
          </cell>
          <cell r="EY79">
            <v>1167497.4699015094</v>
          </cell>
          <cell r="EZ79">
            <v>2321485.2358186506</v>
          </cell>
          <cell r="FA79">
            <v>2824720.6301501491</v>
          </cell>
          <cell r="FB79">
            <v>3180111.4210995776</v>
          </cell>
          <cell r="FC79">
            <v>3784619.5249828734</v>
          </cell>
          <cell r="FD79">
            <v>4003886.2293865392</v>
          </cell>
          <cell r="FE79">
            <v>4234837.7909696465</v>
          </cell>
          <cell r="FF79">
            <v>4702006.4666067576</v>
          </cell>
          <cell r="FG79">
            <v>5189177.7299721185</v>
          </cell>
          <cell r="FH79">
            <v>5661723.7953881193</v>
          </cell>
          <cell r="FI79">
            <v>6268413.5619299719</v>
          </cell>
          <cell r="FM79">
            <v>86378.5</v>
          </cell>
          <cell r="FN79">
            <v>153085.5</v>
          </cell>
          <cell r="FO79">
            <v>279852.93</v>
          </cell>
          <cell r="FP79">
            <v>334611.43</v>
          </cell>
          <cell r="FQ79">
            <v>362261.43</v>
          </cell>
          <cell r="FR79">
            <v>375987.93</v>
          </cell>
          <cell r="FS79">
            <v>397112.33</v>
          </cell>
          <cell r="FT79">
            <v>451774.33</v>
          </cell>
          <cell r="FU79">
            <v>538665.63</v>
          </cell>
          <cell r="FV79">
            <v>643339.53</v>
          </cell>
          <cell r="FW79">
            <v>731986.03</v>
          </cell>
          <cell r="FX79">
            <v>811407.29</v>
          </cell>
          <cell r="GB79">
            <v>0</v>
          </cell>
          <cell r="GC79">
            <v>0</v>
          </cell>
          <cell r="GD79">
            <v>0</v>
          </cell>
          <cell r="GE79">
            <v>0</v>
          </cell>
          <cell r="GF79">
            <v>0</v>
          </cell>
          <cell r="GG79">
            <v>0</v>
          </cell>
          <cell r="GH79">
            <v>0</v>
          </cell>
          <cell r="GI79">
            <v>0</v>
          </cell>
          <cell r="GJ79">
            <v>0</v>
          </cell>
          <cell r="GK79">
            <v>0</v>
          </cell>
          <cell r="GL79">
            <v>0</v>
          </cell>
          <cell r="GM79">
            <v>0</v>
          </cell>
        </row>
        <row r="80">
          <cell r="A80" t="str">
            <v>Innova Revenue</v>
          </cell>
          <cell r="C80">
            <v>1920.6767199999999</v>
          </cell>
          <cell r="D80">
            <v>0</v>
          </cell>
          <cell r="E80">
            <v>1920.6767199999999</v>
          </cell>
          <cell r="F80" t="str">
            <v>n/a</v>
          </cell>
          <cell r="G80">
            <v>1529.5845746378182</v>
          </cell>
          <cell r="H80">
            <v>2080.0311999999999</v>
          </cell>
          <cell r="J80">
            <v>0</v>
          </cell>
          <cell r="K80">
            <v>0</v>
          </cell>
          <cell r="L80">
            <v>0</v>
          </cell>
          <cell r="M80" t="str">
            <v>n/a</v>
          </cell>
          <cell r="N80">
            <v>0</v>
          </cell>
          <cell r="O80">
            <v>0</v>
          </cell>
          <cell r="Q80">
            <v>0</v>
          </cell>
          <cell r="R80">
            <v>0</v>
          </cell>
          <cell r="S80">
            <v>0</v>
          </cell>
          <cell r="T80" t="str">
            <v>n/a</v>
          </cell>
          <cell r="U80">
            <v>0</v>
          </cell>
          <cell r="V80">
            <v>0</v>
          </cell>
          <cell r="X80">
            <v>1920.6767199999999</v>
          </cell>
          <cell r="Y80">
            <v>0</v>
          </cell>
          <cell r="Z80">
            <v>1920.6767199999999</v>
          </cell>
          <cell r="AA80" t="str">
            <v>n/a</v>
          </cell>
          <cell r="AB80">
            <v>1529.5845746378182</v>
          </cell>
          <cell r="AC80">
            <v>2080.0311999999999</v>
          </cell>
          <cell r="AD80">
            <v>2475.4547199999997</v>
          </cell>
          <cell r="AE80">
            <v>2672.2191999999995</v>
          </cell>
          <cell r="AH80">
            <v>0</v>
          </cell>
          <cell r="AI80">
            <v>0</v>
          </cell>
          <cell r="AJ80">
            <v>0</v>
          </cell>
          <cell r="AK80">
            <v>0</v>
          </cell>
          <cell r="AL80">
            <v>0</v>
          </cell>
          <cell r="AM80">
            <v>0</v>
          </cell>
          <cell r="AN80">
            <v>0</v>
          </cell>
          <cell r="AO80">
            <v>0</v>
          </cell>
          <cell r="AP80">
            <v>0</v>
          </cell>
          <cell r="AQ80">
            <v>0</v>
          </cell>
          <cell r="AR80">
            <v>0</v>
          </cell>
          <cell r="AS80">
            <v>0</v>
          </cell>
          <cell r="AW80">
            <v>0</v>
          </cell>
          <cell r="AX80">
            <v>0</v>
          </cell>
          <cell r="AY80">
            <v>0</v>
          </cell>
          <cell r="AZ80">
            <v>0</v>
          </cell>
          <cell r="BA80">
            <v>0</v>
          </cell>
          <cell r="BB80">
            <v>0</v>
          </cell>
          <cell r="BC80">
            <v>0</v>
          </cell>
          <cell r="BD80">
            <v>0</v>
          </cell>
          <cell r="BE80">
            <v>0</v>
          </cell>
          <cell r="BF80">
            <v>0</v>
          </cell>
          <cell r="BG80">
            <v>0</v>
          </cell>
          <cell r="BH80">
            <v>0</v>
          </cell>
          <cell r="BL80">
            <v>261898.78</v>
          </cell>
          <cell r="BM80">
            <v>424248.2</v>
          </cell>
          <cell r="BN80">
            <v>611812.12</v>
          </cell>
          <cell r="BO80">
            <v>675787.89</v>
          </cell>
          <cell r="BP80">
            <v>1020105.0800000001</v>
          </cell>
          <cell r="BQ80">
            <v>1560804.65</v>
          </cell>
          <cell r="BR80">
            <v>1731746.96</v>
          </cell>
          <cell r="BS80">
            <v>1920676.72</v>
          </cell>
          <cell r="BT80">
            <v>1920676.72</v>
          </cell>
          <cell r="BU80">
            <v>1920676.72</v>
          </cell>
          <cell r="BV80">
            <v>1920676.72</v>
          </cell>
          <cell r="BW80">
            <v>1920676.72</v>
          </cell>
          <cell r="CP80">
            <v>0</v>
          </cell>
          <cell r="CQ80">
            <v>0</v>
          </cell>
          <cell r="CR80">
            <v>0</v>
          </cell>
          <cell r="CS80">
            <v>0</v>
          </cell>
          <cell r="CT80">
            <v>0</v>
          </cell>
          <cell r="CU80">
            <v>0</v>
          </cell>
          <cell r="CV80">
            <v>0</v>
          </cell>
          <cell r="CW80">
            <v>0</v>
          </cell>
          <cell r="DE80">
            <v>0</v>
          </cell>
          <cell r="DF80">
            <v>0</v>
          </cell>
          <cell r="DG80">
            <v>0</v>
          </cell>
          <cell r="DH80">
            <v>0</v>
          </cell>
          <cell r="DI80">
            <v>0</v>
          </cell>
          <cell r="DJ80">
            <v>0</v>
          </cell>
          <cell r="DK80">
            <v>0</v>
          </cell>
          <cell r="DL80">
            <v>0</v>
          </cell>
          <cell r="DT80">
            <v>257970.00000000003</v>
          </cell>
          <cell r="DU80">
            <v>438368.78</v>
          </cell>
          <cell r="DV80">
            <v>591635.19999999995</v>
          </cell>
          <cell r="DW80">
            <v>856499.12</v>
          </cell>
          <cell r="DX80">
            <v>1124674.8900000001</v>
          </cell>
          <cell r="DY80">
            <v>1418723.08</v>
          </cell>
          <cell r="DZ80">
            <v>1756636.65</v>
          </cell>
          <cell r="EA80">
            <v>1939178.96</v>
          </cell>
          <cell r="EX80">
            <v>0</v>
          </cell>
          <cell r="EY80">
            <v>0</v>
          </cell>
          <cell r="EZ80">
            <v>0</v>
          </cell>
          <cell r="FA80">
            <v>0</v>
          </cell>
          <cell r="FB80">
            <v>0</v>
          </cell>
          <cell r="FC80">
            <v>0</v>
          </cell>
          <cell r="FD80">
            <v>0</v>
          </cell>
          <cell r="FE80">
            <v>0</v>
          </cell>
          <cell r="FF80">
            <v>0</v>
          </cell>
          <cell r="FG80">
            <v>0</v>
          </cell>
          <cell r="FH80">
            <v>0</v>
          </cell>
          <cell r="FI80">
            <v>0</v>
          </cell>
          <cell r="FM80">
            <v>0</v>
          </cell>
          <cell r="FN80">
            <v>0</v>
          </cell>
          <cell r="FO80">
            <v>0</v>
          </cell>
          <cell r="FP80">
            <v>0</v>
          </cell>
          <cell r="FQ80">
            <v>0</v>
          </cell>
          <cell r="FR80">
            <v>0</v>
          </cell>
          <cell r="FS80">
            <v>0</v>
          </cell>
          <cell r="FT80">
            <v>0</v>
          </cell>
          <cell r="FU80">
            <v>0</v>
          </cell>
          <cell r="FV80">
            <v>0</v>
          </cell>
          <cell r="FW80">
            <v>0</v>
          </cell>
          <cell r="FX80">
            <v>0</v>
          </cell>
          <cell r="GB80">
            <v>124532.41</v>
          </cell>
          <cell r="GC80">
            <v>304497.32</v>
          </cell>
          <cell r="GD80">
            <v>636907.13</v>
          </cell>
          <cell r="GE80">
            <v>872457.54</v>
          </cell>
          <cell r="GF80">
            <v>1170355.3600000001</v>
          </cell>
          <cell r="GG80">
            <v>1539578.46</v>
          </cell>
          <cell r="GH80">
            <v>1726757.6099999999</v>
          </cell>
          <cell r="GI80">
            <v>1967862.69</v>
          </cell>
          <cell r="GJ80">
            <v>2080031.2</v>
          </cell>
          <cell r="GK80">
            <v>2265250.56</v>
          </cell>
          <cell r="GL80">
            <v>2407074.34</v>
          </cell>
          <cell r="GM80">
            <v>2672219.1999999997</v>
          </cell>
        </row>
        <row r="81">
          <cell r="A81" t="str">
            <v>Commercial Revenue</v>
          </cell>
          <cell r="C81">
            <v>41.895000000000003</v>
          </cell>
          <cell r="D81">
            <v>0</v>
          </cell>
          <cell r="E81">
            <v>41.895000000000003</v>
          </cell>
          <cell r="F81" t="str">
            <v>n/a</v>
          </cell>
          <cell r="G81">
            <v>45</v>
          </cell>
          <cell r="H81">
            <v>55.444000000000003</v>
          </cell>
          <cell r="J81">
            <v>41.895000000000003</v>
          </cell>
          <cell r="K81">
            <v>0</v>
          </cell>
          <cell r="L81">
            <v>41.895000000000003</v>
          </cell>
          <cell r="M81" t="str">
            <v>n/a</v>
          </cell>
          <cell r="N81">
            <v>45</v>
          </cell>
          <cell r="O81">
            <v>55.444000000000003</v>
          </cell>
          <cell r="Q81">
            <v>0</v>
          </cell>
          <cell r="R81">
            <v>0</v>
          </cell>
          <cell r="S81">
            <v>0</v>
          </cell>
          <cell r="T81" t="str">
            <v>n/a</v>
          </cell>
          <cell r="U81">
            <v>0</v>
          </cell>
          <cell r="V81">
            <v>0</v>
          </cell>
          <cell r="X81">
            <v>0</v>
          </cell>
          <cell r="Y81">
            <v>0</v>
          </cell>
          <cell r="Z81">
            <v>0</v>
          </cell>
          <cell r="AA81" t="str">
            <v>n/a</v>
          </cell>
          <cell r="AB81">
            <v>0</v>
          </cell>
          <cell r="AC81">
            <v>0</v>
          </cell>
          <cell r="AD81">
            <v>61.895000000000003</v>
          </cell>
          <cell r="AE81">
            <v>74.724000000000004</v>
          </cell>
          <cell r="AH81">
            <v>5060</v>
          </cell>
          <cell r="AI81">
            <v>12937</v>
          </cell>
          <cell r="AJ81">
            <v>21685.5</v>
          </cell>
          <cell r="AK81">
            <v>23905.5</v>
          </cell>
          <cell r="AL81">
            <v>30879</v>
          </cell>
          <cell r="AM81">
            <v>33805</v>
          </cell>
          <cell r="AN81">
            <v>39152.5</v>
          </cell>
          <cell r="AO81">
            <v>41895</v>
          </cell>
          <cell r="AP81">
            <v>41895</v>
          </cell>
          <cell r="AQ81">
            <v>41895</v>
          </cell>
          <cell r="AR81">
            <v>41895</v>
          </cell>
          <cell r="AS81">
            <v>41895</v>
          </cell>
          <cell r="AW81">
            <v>0</v>
          </cell>
          <cell r="AX81">
            <v>0</v>
          </cell>
          <cell r="AY81">
            <v>0</v>
          </cell>
          <cell r="AZ81">
            <v>0</v>
          </cell>
          <cell r="BA81">
            <v>0</v>
          </cell>
          <cell r="BB81">
            <v>0</v>
          </cell>
          <cell r="BC81">
            <v>0</v>
          </cell>
          <cell r="BD81">
            <v>0</v>
          </cell>
          <cell r="BE81">
            <v>0</v>
          </cell>
          <cell r="BF81">
            <v>0</v>
          </cell>
          <cell r="BG81">
            <v>0</v>
          </cell>
          <cell r="BH81">
            <v>0</v>
          </cell>
          <cell r="BL81">
            <v>0</v>
          </cell>
          <cell r="BM81">
            <v>0</v>
          </cell>
          <cell r="BN81">
            <v>0</v>
          </cell>
          <cell r="BO81">
            <v>0</v>
          </cell>
          <cell r="BP81">
            <v>0</v>
          </cell>
          <cell r="BQ81">
            <v>0</v>
          </cell>
          <cell r="BR81">
            <v>0</v>
          </cell>
          <cell r="BS81">
            <v>0</v>
          </cell>
          <cell r="BT81">
            <v>0</v>
          </cell>
          <cell r="BU81">
            <v>0</v>
          </cell>
          <cell r="BV81">
            <v>0</v>
          </cell>
          <cell r="BW81">
            <v>0</v>
          </cell>
          <cell r="CP81">
            <v>5000</v>
          </cell>
          <cell r="CQ81">
            <v>10060</v>
          </cell>
          <cell r="CR81">
            <v>17937</v>
          </cell>
          <cell r="CS81">
            <v>26685.5</v>
          </cell>
          <cell r="CT81">
            <v>28905.5</v>
          </cell>
          <cell r="CU81">
            <v>35879</v>
          </cell>
          <cell r="CV81">
            <v>38805</v>
          </cell>
          <cell r="CW81">
            <v>44152.5</v>
          </cell>
          <cell r="DE81">
            <v>0</v>
          </cell>
          <cell r="DF81">
            <v>0</v>
          </cell>
          <cell r="DG81">
            <v>0</v>
          </cell>
          <cell r="DH81">
            <v>0</v>
          </cell>
          <cell r="DI81">
            <v>0</v>
          </cell>
          <cell r="DJ81">
            <v>0</v>
          </cell>
          <cell r="DK81">
            <v>0</v>
          </cell>
          <cell r="DL81">
            <v>0</v>
          </cell>
          <cell r="DT81">
            <v>0</v>
          </cell>
          <cell r="DU81">
            <v>0</v>
          </cell>
          <cell r="DV81">
            <v>0</v>
          </cell>
          <cell r="DW81">
            <v>0</v>
          </cell>
          <cell r="DX81">
            <v>0</v>
          </cell>
          <cell r="DY81">
            <v>0</v>
          </cell>
          <cell r="DZ81">
            <v>0</v>
          </cell>
          <cell r="EA81">
            <v>0</v>
          </cell>
          <cell r="EX81">
            <v>6256</v>
          </cell>
          <cell r="EY81">
            <v>14208.5</v>
          </cell>
          <cell r="EZ81">
            <v>23573.5</v>
          </cell>
          <cell r="FA81">
            <v>29162.5</v>
          </cell>
          <cell r="FB81">
            <v>35225</v>
          </cell>
          <cell r="FC81">
            <v>44470</v>
          </cell>
          <cell r="FD81">
            <v>49117</v>
          </cell>
          <cell r="FE81">
            <v>52729</v>
          </cell>
          <cell r="FF81">
            <v>55444</v>
          </cell>
          <cell r="FG81">
            <v>63622.5</v>
          </cell>
          <cell r="FH81">
            <v>68301.5</v>
          </cell>
          <cell r="FI81">
            <v>74724</v>
          </cell>
          <cell r="FM81">
            <v>0</v>
          </cell>
          <cell r="FN81">
            <v>0</v>
          </cell>
          <cell r="FO81">
            <v>0</v>
          </cell>
          <cell r="FP81">
            <v>0</v>
          </cell>
          <cell r="FQ81">
            <v>0</v>
          </cell>
          <cell r="FR81">
            <v>0</v>
          </cell>
          <cell r="FS81">
            <v>0</v>
          </cell>
          <cell r="FT81">
            <v>0</v>
          </cell>
          <cell r="FU81">
            <v>0</v>
          </cell>
          <cell r="FV81">
            <v>0</v>
          </cell>
          <cell r="FW81">
            <v>0</v>
          </cell>
          <cell r="FX81">
            <v>0</v>
          </cell>
          <cell r="GB81">
            <v>0</v>
          </cell>
          <cell r="GC81">
            <v>0</v>
          </cell>
          <cell r="GD81">
            <v>0</v>
          </cell>
          <cell r="GE81">
            <v>0</v>
          </cell>
          <cell r="GF81">
            <v>0</v>
          </cell>
          <cell r="GG81">
            <v>0</v>
          </cell>
          <cell r="GH81">
            <v>0</v>
          </cell>
          <cell r="GI81">
            <v>0</v>
          </cell>
          <cell r="GJ81">
            <v>0</v>
          </cell>
          <cell r="GK81">
            <v>0</v>
          </cell>
          <cell r="GL81">
            <v>0</v>
          </cell>
          <cell r="GM81">
            <v>0</v>
          </cell>
        </row>
        <row r="82">
          <cell r="A82" t="str">
            <v>Accrued Revenue</v>
          </cell>
          <cell r="C82">
            <v>0</v>
          </cell>
          <cell r="D82">
            <v>0</v>
          </cell>
          <cell r="E82">
            <v>0</v>
          </cell>
          <cell r="F82" t="str">
            <v>n/a</v>
          </cell>
          <cell r="G82">
            <v>-443.99999999999994</v>
          </cell>
          <cell r="H82">
            <v>0</v>
          </cell>
          <cell r="J82">
            <v>0</v>
          </cell>
          <cell r="K82">
            <v>0</v>
          </cell>
          <cell r="L82">
            <v>0</v>
          </cell>
          <cell r="M82" t="str">
            <v>n/a</v>
          </cell>
          <cell r="N82">
            <v>-330.81966676516214</v>
          </cell>
          <cell r="O82">
            <v>0</v>
          </cell>
          <cell r="Q82">
            <v>0</v>
          </cell>
          <cell r="R82">
            <v>0</v>
          </cell>
          <cell r="S82">
            <v>0</v>
          </cell>
          <cell r="T82" t="str">
            <v>n/a</v>
          </cell>
          <cell r="U82">
            <v>-41.150105929175055</v>
          </cell>
          <cell r="V82">
            <v>0</v>
          </cell>
          <cell r="X82">
            <v>0</v>
          </cell>
          <cell r="Y82">
            <v>0</v>
          </cell>
          <cell r="Z82">
            <v>0</v>
          </cell>
          <cell r="AA82" t="str">
            <v>n/a</v>
          </cell>
          <cell r="AB82">
            <v>-72.030227305662791</v>
          </cell>
          <cell r="AC82">
            <v>0</v>
          </cell>
          <cell r="AD82">
            <v>0</v>
          </cell>
          <cell r="AE82">
            <v>0</v>
          </cell>
          <cell r="AH82">
            <v>142876</v>
          </cell>
          <cell r="AI82">
            <v>193812</v>
          </cell>
          <cell r="AJ82">
            <v>0</v>
          </cell>
          <cell r="AK82">
            <v>502128.13</v>
          </cell>
          <cell r="AL82">
            <v>180303</v>
          </cell>
          <cell r="AM82">
            <v>0</v>
          </cell>
          <cell r="AN82">
            <v>0</v>
          </cell>
          <cell r="AO82">
            <v>0</v>
          </cell>
          <cell r="AP82">
            <v>0</v>
          </cell>
          <cell r="AQ82">
            <v>0</v>
          </cell>
          <cell r="AR82">
            <v>0</v>
          </cell>
          <cell r="AS82">
            <v>0</v>
          </cell>
          <cell r="AW82">
            <v>91886</v>
          </cell>
          <cell r="AX82">
            <v>58056</v>
          </cell>
          <cell r="AY82">
            <v>0</v>
          </cell>
          <cell r="AZ82">
            <v>117900.97</v>
          </cell>
          <cell r="BA82">
            <v>35887</v>
          </cell>
          <cell r="BB82">
            <v>0</v>
          </cell>
          <cell r="BC82">
            <v>0</v>
          </cell>
          <cell r="BD82">
            <v>0</v>
          </cell>
          <cell r="BE82">
            <v>0</v>
          </cell>
          <cell r="BF82">
            <v>0</v>
          </cell>
          <cell r="BG82">
            <v>0</v>
          </cell>
          <cell r="BH82">
            <v>0</v>
          </cell>
          <cell r="BL82">
            <v>0</v>
          </cell>
          <cell r="BM82">
            <v>0</v>
          </cell>
          <cell r="BN82">
            <v>0</v>
          </cell>
          <cell r="BO82">
            <v>41625</v>
          </cell>
          <cell r="BP82">
            <v>0</v>
          </cell>
          <cell r="BQ82">
            <v>0</v>
          </cell>
          <cell r="BR82">
            <v>0</v>
          </cell>
          <cell r="BS82">
            <v>0</v>
          </cell>
          <cell r="BT82">
            <v>0</v>
          </cell>
          <cell r="BU82">
            <v>0</v>
          </cell>
          <cell r="BV82">
            <v>0</v>
          </cell>
          <cell r="BW82">
            <v>0</v>
          </cell>
          <cell r="CP82">
            <v>67326.599999999991</v>
          </cell>
          <cell r="CQ82">
            <v>50000</v>
          </cell>
          <cell r="CR82">
            <v>193812</v>
          </cell>
          <cell r="CS82">
            <v>0</v>
          </cell>
          <cell r="CT82">
            <v>502128.13</v>
          </cell>
          <cell r="CU82">
            <v>-35887</v>
          </cell>
          <cell r="CV82">
            <v>60000</v>
          </cell>
          <cell r="CW82">
            <v>0</v>
          </cell>
          <cell r="DE82">
            <v>-67326.599999999991</v>
          </cell>
          <cell r="DF82">
            <v>50000</v>
          </cell>
          <cell r="DG82">
            <v>58056</v>
          </cell>
          <cell r="DH82">
            <v>0</v>
          </cell>
          <cell r="DI82">
            <v>117900.97</v>
          </cell>
          <cell r="DJ82">
            <v>35887</v>
          </cell>
          <cell r="DK82">
            <v>0</v>
          </cell>
          <cell r="DL82">
            <v>0</v>
          </cell>
          <cell r="DT82">
            <v>0</v>
          </cell>
          <cell r="DU82">
            <v>0</v>
          </cell>
          <cell r="DV82">
            <v>0</v>
          </cell>
          <cell r="DW82">
            <v>0</v>
          </cell>
          <cell r="DX82">
            <v>41625</v>
          </cell>
          <cell r="DY82">
            <v>0</v>
          </cell>
          <cell r="DZ82">
            <v>20000</v>
          </cell>
          <cell r="EA82">
            <v>0</v>
          </cell>
          <cell r="EX82">
            <v>0</v>
          </cell>
          <cell r="EY82">
            <v>0</v>
          </cell>
          <cell r="EZ82">
            <v>0</v>
          </cell>
          <cell r="FA82">
            <v>0</v>
          </cell>
          <cell r="FB82">
            <v>0</v>
          </cell>
          <cell r="FC82">
            <v>0</v>
          </cell>
          <cell r="FD82">
            <v>33000</v>
          </cell>
          <cell r="FE82">
            <v>105000</v>
          </cell>
          <cell r="FF82">
            <v>0</v>
          </cell>
          <cell r="FG82">
            <v>52294.5</v>
          </cell>
          <cell r="FH82">
            <v>27000</v>
          </cell>
          <cell r="FI82">
            <v>0</v>
          </cell>
          <cell r="FM82">
            <v>0</v>
          </cell>
          <cell r="FN82">
            <v>0</v>
          </cell>
          <cell r="FO82">
            <v>0</v>
          </cell>
          <cell r="FP82">
            <v>0</v>
          </cell>
          <cell r="FQ82">
            <v>0</v>
          </cell>
          <cell r="FR82">
            <v>0</v>
          </cell>
          <cell r="FS82">
            <v>0</v>
          </cell>
          <cell r="FT82">
            <v>0</v>
          </cell>
          <cell r="FU82">
            <v>0</v>
          </cell>
          <cell r="FV82">
            <v>0</v>
          </cell>
          <cell r="FW82">
            <v>0</v>
          </cell>
          <cell r="FX82">
            <v>0</v>
          </cell>
          <cell r="GB82">
            <v>0</v>
          </cell>
          <cell r="GC82">
            <v>0</v>
          </cell>
          <cell r="GD82">
            <v>0</v>
          </cell>
          <cell r="GE82">
            <v>0</v>
          </cell>
          <cell r="GF82">
            <v>0</v>
          </cell>
          <cell r="GG82">
            <v>0</v>
          </cell>
          <cell r="GH82">
            <v>55000</v>
          </cell>
          <cell r="GI82">
            <v>0</v>
          </cell>
          <cell r="GJ82">
            <v>0</v>
          </cell>
          <cell r="GK82">
            <v>0</v>
          </cell>
          <cell r="GL82">
            <v>70000</v>
          </cell>
          <cell r="GM82">
            <v>0</v>
          </cell>
        </row>
        <row r="83">
          <cell r="A83" t="str">
            <v>WIP Change</v>
          </cell>
          <cell r="C83">
            <v>0</v>
          </cell>
          <cell r="D83">
            <v>0</v>
          </cell>
          <cell r="E83">
            <v>0</v>
          </cell>
          <cell r="F83" t="str">
            <v>n/a</v>
          </cell>
          <cell r="G83">
            <v>0</v>
          </cell>
          <cell r="H83">
            <v>0</v>
          </cell>
          <cell r="J83">
            <v>0</v>
          </cell>
          <cell r="K83">
            <v>0</v>
          </cell>
          <cell r="L83">
            <v>0</v>
          </cell>
          <cell r="M83" t="str">
            <v>n/a</v>
          </cell>
          <cell r="N83">
            <v>0</v>
          </cell>
          <cell r="O83">
            <v>0</v>
          </cell>
          <cell r="Q83">
            <v>0</v>
          </cell>
          <cell r="R83">
            <v>0</v>
          </cell>
          <cell r="S83">
            <v>0</v>
          </cell>
          <cell r="T83" t="str">
            <v>n/a</v>
          </cell>
          <cell r="U83">
            <v>0</v>
          </cell>
          <cell r="V83">
            <v>0</v>
          </cell>
          <cell r="X83">
            <v>0</v>
          </cell>
          <cell r="Y83">
            <v>0</v>
          </cell>
          <cell r="Z83">
            <v>0</v>
          </cell>
          <cell r="AA83" t="str">
            <v>n/a</v>
          </cell>
          <cell r="AB83">
            <v>0</v>
          </cell>
          <cell r="AC83">
            <v>0</v>
          </cell>
          <cell r="AD83">
            <v>0</v>
          </cell>
          <cell r="AE83">
            <v>0</v>
          </cell>
          <cell r="AH83">
            <v>0</v>
          </cell>
          <cell r="AI83">
            <v>0</v>
          </cell>
          <cell r="AJ83">
            <v>0</v>
          </cell>
          <cell r="AK83">
            <v>0</v>
          </cell>
          <cell r="AL83">
            <v>0</v>
          </cell>
          <cell r="AM83">
            <v>0</v>
          </cell>
          <cell r="AN83">
            <v>0</v>
          </cell>
          <cell r="AO83">
            <v>0</v>
          </cell>
          <cell r="AP83">
            <v>0</v>
          </cell>
          <cell r="AQ83">
            <v>0</v>
          </cell>
          <cell r="AR83">
            <v>0</v>
          </cell>
          <cell r="AS83">
            <v>0</v>
          </cell>
          <cell r="AW83">
            <v>0</v>
          </cell>
          <cell r="AX83">
            <v>0</v>
          </cell>
          <cell r="AY83">
            <v>0</v>
          </cell>
          <cell r="AZ83">
            <v>0</v>
          </cell>
          <cell r="BA83">
            <v>0</v>
          </cell>
          <cell r="BB83">
            <v>0</v>
          </cell>
          <cell r="BC83">
            <v>0</v>
          </cell>
          <cell r="BD83">
            <v>0</v>
          </cell>
          <cell r="BE83">
            <v>0</v>
          </cell>
          <cell r="BF83">
            <v>0</v>
          </cell>
          <cell r="BG83">
            <v>0</v>
          </cell>
          <cell r="BH83">
            <v>0</v>
          </cell>
          <cell r="BL83">
            <v>0</v>
          </cell>
          <cell r="BM83">
            <v>0</v>
          </cell>
          <cell r="BN83">
            <v>0</v>
          </cell>
          <cell r="BO83">
            <v>0</v>
          </cell>
          <cell r="BP83">
            <v>0</v>
          </cell>
          <cell r="BQ83">
            <v>0</v>
          </cell>
          <cell r="BR83">
            <v>0</v>
          </cell>
          <cell r="BS83">
            <v>0</v>
          </cell>
          <cell r="BT83">
            <v>0</v>
          </cell>
          <cell r="BU83">
            <v>0</v>
          </cell>
          <cell r="BV83">
            <v>0</v>
          </cell>
          <cell r="BW83">
            <v>0</v>
          </cell>
          <cell r="CP83">
            <v>0</v>
          </cell>
          <cell r="DE83">
            <v>0</v>
          </cell>
          <cell r="DT83">
            <v>0</v>
          </cell>
          <cell r="EX83">
            <v>0</v>
          </cell>
          <cell r="EY83">
            <v>0</v>
          </cell>
          <cell r="EZ83">
            <v>0</v>
          </cell>
          <cell r="FA83">
            <v>0</v>
          </cell>
          <cell r="FB83">
            <v>0</v>
          </cell>
          <cell r="FC83">
            <v>0</v>
          </cell>
          <cell r="FD83">
            <v>0</v>
          </cell>
          <cell r="FE83">
            <v>0</v>
          </cell>
          <cell r="FF83">
            <v>0</v>
          </cell>
          <cell r="FG83">
            <v>0</v>
          </cell>
          <cell r="FH83">
            <v>0</v>
          </cell>
          <cell r="FI83">
            <v>0</v>
          </cell>
          <cell r="FM83">
            <v>0</v>
          </cell>
          <cell r="FN83">
            <v>0</v>
          </cell>
          <cell r="FO83">
            <v>0</v>
          </cell>
          <cell r="FP83">
            <v>0</v>
          </cell>
          <cell r="FQ83">
            <v>0</v>
          </cell>
          <cell r="FR83">
            <v>0</v>
          </cell>
          <cell r="FS83">
            <v>0</v>
          </cell>
          <cell r="FT83">
            <v>0</v>
          </cell>
          <cell r="FU83">
            <v>0</v>
          </cell>
          <cell r="FV83">
            <v>0</v>
          </cell>
          <cell r="FW83">
            <v>0</v>
          </cell>
          <cell r="FX83">
            <v>0</v>
          </cell>
          <cell r="GB83">
            <v>0</v>
          </cell>
          <cell r="GC83">
            <v>0</v>
          </cell>
          <cell r="GD83">
            <v>0</v>
          </cell>
          <cell r="GE83">
            <v>0</v>
          </cell>
          <cell r="GF83">
            <v>0</v>
          </cell>
          <cell r="GG83">
            <v>0</v>
          </cell>
          <cell r="GH83">
            <v>0</v>
          </cell>
          <cell r="GI83">
            <v>0</v>
          </cell>
          <cell r="GJ83">
            <v>0</v>
          </cell>
          <cell r="GK83">
            <v>0</v>
          </cell>
          <cell r="GL83">
            <v>0</v>
          </cell>
          <cell r="GM83">
            <v>0</v>
          </cell>
        </row>
        <row r="84">
          <cell r="A84" t="str">
            <v>Intercompany Revenue</v>
          </cell>
          <cell r="C84">
            <v>0</v>
          </cell>
          <cell r="D84">
            <v>0</v>
          </cell>
          <cell r="E84">
            <v>0</v>
          </cell>
          <cell r="F84" t="str">
            <v>n/a</v>
          </cell>
          <cell r="G84">
            <v>0</v>
          </cell>
          <cell r="H84">
            <v>0</v>
          </cell>
          <cell r="J84">
            <v>0</v>
          </cell>
          <cell r="K84">
            <v>0</v>
          </cell>
          <cell r="L84">
            <v>0</v>
          </cell>
          <cell r="M84" t="str">
            <v>n/a</v>
          </cell>
          <cell r="N84">
            <v>0</v>
          </cell>
          <cell r="O84">
            <v>0</v>
          </cell>
          <cell r="Q84">
            <v>0</v>
          </cell>
          <cell r="R84">
            <v>0</v>
          </cell>
          <cell r="S84">
            <v>0</v>
          </cell>
          <cell r="T84" t="str">
            <v>n/a</v>
          </cell>
          <cell r="U84">
            <v>0</v>
          </cell>
          <cell r="V84">
            <v>0</v>
          </cell>
          <cell r="X84">
            <v>0</v>
          </cell>
          <cell r="Y84">
            <v>0</v>
          </cell>
          <cell r="Z84">
            <v>0</v>
          </cell>
          <cell r="AA84" t="str">
            <v>n/a</v>
          </cell>
          <cell r="AB84">
            <v>0</v>
          </cell>
          <cell r="AC84">
            <v>0</v>
          </cell>
          <cell r="AD84">
            <v>0</v>
          </cell>
          <cell r="AE84">
            <v>0</v>
          </cell>
          <cell r="AH84">
            <v>0</v>
          </cell>
          <cell r="AI84">
            <v>0</v>
          </cell>
          <cell r="AJ84">
            <v>0</v>
          </cell>
          <cell r="AK84">
            <v>0</v>
          </cell>
          <cell r="AL84">
            <v>0</v>
          </cell>
          <cell r="AM84">
            <v>0</v>
          </cell>
          <cell r="AN84">
            <v>0</v>
          </cell>
          <cell r="AO84">
            <v>0</v>
          </cell>
          <cell r="AP84">
            <v>0</v>
          </cell>
          <cell r="AQ84">
            <v>0</v>
          </cell>
          <cell r="AR84">
            <v>0</v>
          </cell>
          <cell r="AS84">
            <v>0</v>
          </cell>
          <cell r="AW84">
            <v>0</v>
          </cell>
          <cell r="AX84">
            <v>0</v>
          </cell>
          <cell r="AY84">
            <v>0</v>
          </cell>
          <cell r="AZ84">
            <v>0</v>
          </cell>
          <cell r="BA84">
            <v>0</v>
          </cell>
          <cell r="BB84">
            <v>0</v>
          </cell>
          <cell r="BC84">
            <v>0</v>
          </cell>
          <cell r="BD84">
            <v>0</v>
          </cell>
          <cell r="BE84">
            <v>0</v>
          </cell>
          <cell r="BF84">
            <v>0</v>
          </cell>
          <cell r="BG84">
            <v>0</v>
          </cell>
          <cell r="BH84">
            <v>0</v>
          </cell>
          <cell r="BL84">
            <v>0</v>
          </cell>
          <cell r="BM84">
            <v>0</v>
          </cell>
          <cell r="BN84">
            <v>0</v>
          </cell>
          <cell r="BO84">
            <v>0</v>
          </cell>
          <cell r="BP84">
            <v>0</v>
          </cell>
          <cell r="BQ84">
            <v>0</v>
          </cell>
          <cell r="BR84">
            <v>0</v>
          </cell>
          <cell r="BS84">
            <v>0</v>
          </cell>
          <cell r="BT84">
            <v>0</v>
          </cell>
          <cell r="BU84">
            <v>0</v>
          </cell>
          <cell r="BV84">
            <v>0</v>
          </cell>
          <cell r="BW84">
            <v>0</v>
          </cell>
          <cell r="CP84">
            <v>0</v>
          </cell>
          <cell r="DE84">
            <v>0</v>
          </cell>
          <cell r="DT84">
            <v>0</v>
          </cell>
          <cell r="EX84">
            <v>0</v>
          </cell>
          <cell r="EY84">
            <v>0</v>
          </cell>
          <cell r="EZ84">
            <v>0</v>
          </cell>
          <cell r="FA84">
            <v>0</v>
          </cell>
          <cell r="FB84">
            <v>0</v>
          </cell>
          <cell r="FC84">
            <v>0</v>
          </cell>
          <cell r="FD84">
            <v>0</v>
          </cell>
          <cell r="FE84">
            <v>0</v>
          </cell>
          <cell r="FF84">
            <v>0</v>
          </cell>
          <cell r="FG84">
            <v>0</v>
          </cell>
          <cell r="FH84">
            <v>0</v>
          </cell>
          <cell r="FI84">
            <v>0</v>
          </cell>
          <cell r="FM84">
            <v>0</v>
          </cell>
          <cell r="FN84">
            <v>0</v>
          </cell>
          <cell r="FO84">
            <v>0</v>
          </cell>
          <cell r="FP84">
            <v>0</v>
          </cell>
          <cell r="FQ84">
            <v>0</v>
          </cell>
          <cell r="FR84">
            <v>0</v>
          </cell>
          <cell r="FS84">
            <v>0</v>
          </cell>
          <cell r="FT84">
            <v>0</v>
          </cell>
          <cell r="FU84">
            <v>0</v>
          </cell>
          <cell r="FV84">
            <v>0</v>
          </cell>
          <cell r="FW84">
            <v>0</v>
          </cell>
          <cell r="FX84">
            <v>0</v>
          </cell>
          <cell r="GB84">
            <v>0</v>
          </cell>
          <cell r="GC84">
            <v>0</v>
          </cell>
          <cell r="GD84">
            <v>0</v>
          </cell>
          <cell r="GE84">
            <v>0</v>
          </cell>
          <cell r="GF84">
            <v>0</v>
          </cell>
          <cell r="GG84">
            <v>0</v>
          </cell>
          <cell r="GH84">
            <v>0</v>
          </cell>
          <cell r="GI84">
            <v>0</v>
          </cell>
          <cell r="GJ84">
            <v>0</v>
          </cell>
          <cell r="GK84">
            <v>0</v>
          </cell>
          <cell r="GL84">
            <v>0</v>
          </cell>
          <cell r="GM84">
            <v>0</v>
          </cell>
        </row>
        <row r="85">
          <cell r="A85" t="str">
            <v>Revenue</v>
          </cell>
          <cell r="C85">
            <v>12204.763459999998</v>
          </cell>
          <cell r="D85">
            <v>0</v>
          </cell>
          <cell r="E85">
            <v>12204.763459999998</v>
          </cell>
          <cell r="F85" t="str">
            <v>n/a</v>
          </cell>
          <cell r="G85">
            <v>11467.184999999999</v>
          </cell>
          <cell r="H85">
            <v>10182.555709999999</v>
          </cell>
          <cell r="J85">
            <v>8424.9753099999998</v>
          </cell>
          <cell r="K85">
            <v>0</v>
          </cell>
          <cell r="L85">
            <v>8424.9753099999998</v>
          </cell>
          <cell r="M85" t="str">
            <v>n/a</v>
          </cell>
          <cell r="N85">
            <v>8456.5118227027833</v>
          </cell>
          <cell r="O85">
            <v>7561.9488800000008</v>
          </cell>
          <cell r="Q85">
            <v>1859.1114299999999</v>
          </cell>
          <cell r="R85">
            <v>0</v>
          </cell>
          <cell r="S85">
            <v>1859.1114299999999</v>
          </cell>
          <cell r="T85" t="str">
            <v>n/a</v>
          </cell>
          <cell r="U85">
            <v>1553.1188299650601</v>
          </cell>
          <cell r="V85">
            <v>540.57562999999993</v>
          </cell>
          <cell r="X85">
            <v>1920.6767199999999</v>
          </cell>
          <cell r="Y85">
            <v>0</v>
          </cell>
          <cell r="Z85">
            <v>1920.6767199999999</v>
          </cell>
          <cell r="AA85" t="str">
            <v>n/a</v>
          </cell>
          <cell r="AB85">
            <v>1457.5543473321554</v>
          </cell>
          <cell r="AC85">
            <v>2080.0311999999999</v>
          </cell>
          <cell r="AD85">
            <v>15401.061459999999</v>
          </cell>
          <cell r="AE85">
            <v>13234.14206</v>
          </cell>
          <cell r="AH85">
            <v>665205.16</v>
          </cell>
          <cell r="AI85">
            <v>1503316.59</v>
          </cell>
          <cell r="AJ85">
            <v>3047767.75</v>
          </cell>
          <cell r="AK85">
            <v>4189336.8099999996</v>
          </cell>
          <cell r="AL85">
            <v>5371686.1499999994</v>
          </cell>
          <cell r="AM85">
            <v>6845485.2599999998</v>
          </cell>
          <cell r="AN85">
            <v>7653853.0999999996</v>
          </cell>
          <cell r="AO85">
            <v>8424975.3099999987</v>
          </cell>
          <cell r="AP85">
            <v>8424975.3099999987</v>
          </cell>
          <cell r="AQ85">
            <v>8424975.3099999987</v>
          </cell>
          <cell r="AR85">
            <v>8424975.3099999987</v>
          </cell>
          <cell r="AS85">
            <v>8424975.3099999987</v>
          </cell>
          <cell r="AW85">
            <v>213108</v>
          </cell>
          <cell r="AX85">
            <v>413675.44</v>
          </cell>
          <cell r="AY85">
            <v>716645.58000000007</v>
          </cell>
          <cell r="AZ85">
            <v>1033320.6699999999</v>
          </cell>
          <cell r="BA85">
            <v>1316962.08</v>
          </cell>
          <cell r="BB85">
            <v>1539683.64</v>
          </cell>
          <cell r="BC85">
            <v>1697601.58</v>
          </cell>
          <cell r="BD85">
            <v>1859111.43</v>
          </cell>
          <cell r="BE85">
            <v>1859111.43</v>
          </cell>
          <cell r="BF85">
            <v>1859111.43</v>
          </cell>
          <cell r="BG85">
            <v>1859111.43</v>
          </cell>
          <cell r="BH85">
            <v>1859111.43</v>
          </cell>
          <cell r="BL85">
            <v>261898.78</v>
          </cell>
          <cell r="BM85">
            <v>424248.2</v>
          </cell>
          <cell r="BN85">
            <v>611812.12</v>
          </cell>
          <cell r="BO85">
            <v>717412.89</v>
          </cell>
          <cell r="BP85">
            <v>1020105.0800000001</v>
          </cell>
          <cell r="BQ85">
            <v>1560804.65</v>
          </cell>
          <cell r="BR85">
            <v>1731746.96</v>
          </cell>
          <cell r="BS85">
            <v>1920676.72</v>
          </cell>
          <cell r="BT85">
            <v>1920676.72</v>
          </cell>
          <cell r="BU85">
            <v>1920676.72</v>
          </cell>
          <cell r="BV85">
            <v>1920676.72</v>
          </cell>
          <cell r="BW85">
            <v>1920676.72</v>
          </cell>
          <cell r="CP85">
            <v>851826.6</v>
          </cell>
          <cell r="CQ85">
            <v>1583629.1600000001</v>
          </cell>
          <cell r="CR85">
            <v>2923534.59</v>
          </cell>
          <cell r="CS85">
            <v>4178767.75</v>
          </cell>
          <cell r="CT85">
            <v>5083336.8099999996</v>
          </cell>
          <cell r="CU85">
            <v>6340280.1499999994</v>
          </cell>
          <cell r="CV85">
            <v>7487285.2599999988</v>
          </cell>
          <cell r="CW85">
            <v>8391318.0999999996</v>
          </cell>
          <cell r="DE85">
            <v>134673.40000000002</v>
          </cell>
          <cell r="DF85">
            <v>477722</v>
          </cell>
          <cell r="DG85">
            <v>717675.44</v>
          </cell>
          <cell r="DH85">
            <v>992645.58000000007</v>
          </cell>
          <cell r="DI85">
            <v>1224320.67</v>
          </cell>
          <cell r="DJ85">
            <v>1674962.08</v>
          </cell>
          <cell r="DK85">
            <v>1725683.64</v>
          </cell>
          <cell r="DL85">
            <v>1918601.58</v>
          </cell>
          <cell r="DT85">
            <v>257970.00000000003</v>
          </cell>
          <cell r="DU85">
            <v>438368.78</v>
          </cell>
          <cell r="DV85">
            <v>591635.19999999995</v>
          </cell>
          <cell r="DW85">
            <v>856499.12</v>
          </cell>
          <cell r="DX85">
            <v>1166299.8900000001</v>
          </cell>
          <cell r="DY85">
            <v>1418723.08</v>
          </cell>
          <cell r="DZ85">
            <v>1776636.65</v>
          </cell>
          <cell r="EA85">
            <v>1939178.96</v>
          </cell>
          <cell r="EX85">
            <v>784555.65</v>
          </cell>
          <cell r="EY85">
            <v>1607608.13</v>
          </cell>
          <cell r="EZ85">
            <v>3038814.84</v>
          </cell>
          <cell r="FA85">
            <v>3788168.6500000004</v>
          </cell>
          <cell r="FB85">
            <v>4862653.99</v>
          </cell>
          <cell r="FC85">
            <v>6200802.1900000004</v>
          </cell>
          <cell r="FD85">
            <v>6538762.120000001</v>
          </cell>
          <cell r="FE85">
            <v>7027977.1100000013</v>
          </cell>
          <cell r="FF85">
            <v>7561948.8800000008</v>
          </cell>
          <cell r="FG85">
            <v>8275503.120000001</v>
          </cell>
          <cell r="FH85">
            <v>8992975.1000000015</v>
          </cell>
          <cell r="FI85">
            <v>9717530.7700000014</v>
          </cell>
          <cell r="FM85">
            <v>86378.5</v>
          </cell>
          <cell r="FN85">
            <v>153085.5</v>
          </cell>
          <cell r="FO85">
            <v>279852.93</v>
          </cell>
          <cell r="FP85">
            <v>334611.43</v>
          </cell>
          <cell r="FQ85">
            <v>362261.43</v>
          </cell>
          <cell r="FR85">
            <v>377897.93</v>
          </cell>
          <cell r="FS85">
            <v>399022.33</v>
          </cell>
          <cell r="FT85">
            <v>453684.33</v>
          </cell>
          <cell r="FU85">
            <v>540575.63</v>
          </cell>
          <cell r="FV85">
            <v>645249.53</v>
          </cell>
          <cell r="FW85">
            <v>733896.03</v>
          </cell>
          <cell r="FX85">
            <v>844392.09000000008</v>
          </cell>
          <cell r="GB85">
            <v>124532.41</v>
          </cell>
          <cell r="GC85">
            <v>304497.32</v>
          </cell>
          <cell r="GD85">
            <v>636907.13</v>
          </cell>
          <cell r="GE85">
            <v>872457.54</v>
          </cell>
          <cell r="GF85">
            <v>1170355.3600000001</v>
          </cell>
          <cell r="GG85">
            <v>1539578.46</v>
          </cell>
          <cell r="GH85">
            <v>1781757.6099999999</v>
          </cell>
          <cell r="GI85">
            <v>1967862.69</v>
          </cell>
          <cell r="GJ85">
            <v>2080031.2</v>
          </cell>
          <cell r="GK85">
            <v>2265250.56</v>
          </cell>
          <cell r="GL85">
            <v>2477074.34</v>
          </cell>
          <cell r="GM85">
            <v>2672219.1999999997</v>
          </cell>
        </row>
        <row r="87">
          <cell r="A87" t="str">
            <v>Materials</v>
          </cell>
          <cell r="C87">
            <v>293.28599000000003</v>
          </cell>
          <cell r="D87">
            <v>0</v>
          </cell>
          <cell r="E87">
            <v>293.28599000000003</v>
          </cell>
          <cell r="F87" t="str">
            <v>n/a</v>
          </cell>
          <cell r="G87">
            <v>313.05615441751382</v>
          </cell>
          <cell r="H87">
            <v>399.13887000000005</v>
          </cell>
          <cell r="J87">
            <v>291.76112000000001</v>
          </cell>
          <cell r="K87">
            <v>0</v>
          </cell>
          <cell r="L87">
            <v>291.76112000000001</v>
          </cell>
          <cell r="M87" t="str">
            <v>n/a</v>
          </cell>
          <cell r="N87">
            <v>314.99392546197737</v>
          </cell>
          <cell r="O87">
            <v>399.05761000000007</v>
          </cell>
          <cell r="Q87">
            <v>1.48428</v>
          </cell>
          <cell r="R87">
            <v>0</v>
          </cell>
          <cell r="S87">
            <v>1.48428</v>
          </cell>
          <cell r="T87" t="str">
            <v>n/a</v>
          </cell>
          <cell r="U87">
            <v>-0.91907725792534667</v>
          </cell>
          <cell r="V87">
            <v>8.1259999999999985E-2</v>
          </cell>
          <cell r="X87">
            <v>4.0590000000000001E-2</v>
          </cell>
          <cell r="Y87">
            <v>0</v>
          </cell>
          <cell r="Z87">
            <v>4.0590000000000001E-2</v>
          </cell>
          <cell r="AA87" t="str">
            <v>n/a</v>
          </cell>
          <cell r="AB87">
            <v>-1.0186937865382248</v>
          </cell>
          <cell r="AC87">
            <v>0</v>
          </cell>
          <cell r="AD87">
            <v>385.30838999999992</v>
          </cell>
          <cell r="AE87">
            <v>449.01467000000002</v>
          </cell>
          <cell r="AH87">
            <v>31811.33</v>
          </cell>
          <cell r="AI87">
            <v>65051.14</v>
          </cell>
          <cell r="AJ87">
            <v>93411.72</v>
          </cell>
          <cell r="AK87">
            <v>152172.91</v>
          </cell>
          <cell r="AL87">
            <v>208970.35</v>
          </cell>
          <cell r="AM87">
            <v>237920.68</v>
          </cell>
          <cell r="AN87">
            <v>257356.13999999998</v>
          </cell>
          <cell r="AO87">
            <v>291761.12</v>
          </cell>
          <cell r="AP87">
            <v>291761.12</v>
          </cell>
          <cell r="AQ87">
            <v>291761.12</v>
          </cell>
          <cell r="AR87">
            <v>291761.12</v>
          </cell>
          <cell r="AS87">
            <v>291761.12</v>
          </cell>
          <cell r="AW87">
            <v>0</v>
          </cell>
          <cell r="AX87">
            <v>0</v>
          </cell>
          <cell r="AY87">
            <v>1366.08</v>
          </cell>
          <cell r="AZ87">
            <v>1366.08</v>
          </cell>
          <cell r="BA87">
            <v>1366.08</v>
          </cell>
          <cell r="BB87">
            <v>1384.51</v>
          </cell>
          <cell r="BC87">
            <v>1484.28</v>
          </cell>
          <cell r="BD87">
            <v>1484.28</v>
          </cell>
          <cell r="BE87">
            <v>1484.28</v>
          </cell>
          <cell r="BF87">
            <v>1484.28</v>
          </cell>
          <cell r="BG87">
            <v>1484.28</v>
          </cell>
          <cell r="BH87">
            <v>1484.28</v>
          </cell>
          <cell r="BL87">
            <v>0</v>
          </cell>
          <cell r="BM87">
            <v>0</v>
          </cell>
          <cell r="BN87">
            <v>0</v>
          </cell>
          <cell r="BO87">
            <v>0</v>
          </cell>
          <cell r="BP87">
            <v>949.67</v>
          </cell>
          <cell r="BQ87">
            <v>0</v>
          </cell>
          <cell r="BR87">
            <v>40.590000000000003</v>
          </cell>
          <cell r="BS87">
            <v>40.590000000000003</v>
          </cell>
          <cell r="BT87">
            <v>40.590000000000003</v>
          </cell>
          <cell r="BU87">
            <v>40.590000000000003</v>
          </cell>
          <cell r="BV87">
            <v>40.590000000000003</v>
          </cell>
          <cell r="BW87">
            <v>40.590000000000003</v>
          </cell>
          <cell r="CP87">
            <v>29439.127295999999</v>
          </cell>
          <cell r="CQ87">
            <v>63552.063439999998</v>
          </cell>
          <cell r="CR87">
            <v>114133.87407999998</v>
          </cell>
          <cell r="CS87">
            <v>146568.72</v>
          </cell>
          <cell r="CT87">
            <v>194190.91</v>
          </cell>
          <cell r="CU87">
            <v>209275.05800000002</v>
          </cell>
          <cell r="CV87">
            <v>263592.68</v>
          </cell>
          <cell r="CW87">
            <v>286854.74</v>
          </cell>
          <cell r="DE87">
            <v>0</v>
          </cell>
          <cell r="DF87">
            <v>0</v>
          </cell>
          <cell r="DG87">
            <v>0</v>
          </cell>
          <cell r="DH87">
            <v>1366.08</v>
          </cell>
          <cell r="DI87">
            <v>1366.08</v>
          </cell>
          <cell r="DJ87">
            <v>1366.08</v>
          </cell>
          <cell r="DK87">
            <v>1384.51</v>
          </cell>
          <cell r="DL87">
            <v>1484.28</v>
          </cell>
          <cell r="DT87">
            <v>0</v>
          </cell>
          <cell r="DU87">
            <v>0</v>
          </cell>
          <cell r="DV87">
            <v>0</v>
          </cell>
          <cell r="DW87">
            <v>0</v>
          </cell>
          <cell r="DX87">
            <v>0</v>
          </cell>
          <cell r="DY87">
            <v>949.67</v>
          </cell>
          <cell r="DZ87">
            <v>0</v>
          </cell>
          <cell r="EA87">
            <v>40.590000000000003</v>
          </cell>
          <cell r="EX87">
            <v>38691.22</v>
          </cell>
          <cell r="EY87">
            <v>145924.58000000002</v>
          </cell>
          <cell r="EZ87">
            <v>186939.14</v>
          </cell>
          <cell r="FA87">
            <v>168815.15000000002</v>
          </cell>
          <cell r="FB87">
            <v>256461.61000000004</v>
          </cell>
          <cell r="FC87">
            <v>361106.62000000005</v>
          </cell>
          <cell r="FD87">
            <v>352743.69000000006</v>
          </cell>
          <cell r="FE87">
            <v>386413.51000000007</v>
          </cell>
          <cell r="FF87">
            <v>399057.61000000004</v>
          </cell>
          <cell r="FG87">
            <v>419560.98000000004</v>
          </cell>
          <cell r="FH87">
            <v>444070.91000000003</v>
          </cell>
          <cell r="FI87">
            <v>448933.41000000003</v>
          </cell>
          <cell r="FM87">
            <v>57.26</v>
          </cell>
          <cell r="FN87">
            <v>57.26</v>
          </cell>
          <cell r="FO87">
            <v>57.26</v>
          </cell>
          <cell r="FP87">
            <v>57.26</v>
          </cell>
          <cell r="FQ87">
            <v>57.26</v>
          </cell>
          <cell r="FR87">
            <v>81.259999999999991</v>
          </cell>
          <cell r="FS87">
            <v>81.259999999999991</v>
          </cell>
          <cell r="FT87">
            <v>81.259999999999991</v>
          </cell>
          <cell r="FU87">
            <v>81.259999999999991</v>
          </cell>
          <cell r="FV87">
            <v>81.259999999999991</v>
          </cell>
          <cell r="FW87">
            <v>81.259999999999991</v>
          </cell>
          <cell r="FX87">
            <v>81.259999999999991</v>
          </cell>
          <cell r="GB87">
            <v>0</v>
          </cell>
          <cell r="GC87">
            <v>0</v>
          </cell>
          <cell r="GD87">
            <v>0</v>
          </cell>
          <cell r="GE87">
            <v>0</v>
          </cell>
          <cell r="GF87">
            <v>0</v>
          </cell>
          <cell r="GG87">
            <v>0</v>
          </cell>
          <cell r="GH87">
            <v>0</v>
          </cell>
          <cell r="GI87">
            <v>0</v>
          </cell>
          <cell r="GJ87">
            <v>0</v>
          </cell>
          <cell r="GK87">
            <v>0</v>
          </cell>
          <cell r="GL87">
            <v>0</v>
          </cell>
          <cell r="GM87">
            <v>0</v>
          </cell>
        </row>
        <row r="89">
          <cell r="A89" t="str">
            <v>Subcontract - Delhi</v>
          </cell>
          <cell r="C89">
            <v>136.89426</v>
          </cell>
          <cell r="D89">
            <v>0</v>
          </cell>
          <cell r="E89">
            <v>136.89426</v>
          </cell>
          <cell r="F89" t="str">
            <v>n/a</v>
          </cell>
          <cell r="G89">
            <v>408.79775865917446</v>
          </cell>
          <cell r="H89">
            <v>0.91500000000000004</v>
          </cell>
          <cell r="J89">
            <v>136.89426</v>
          </cell>
          <cell r="K89">
            <v>0</v>
          </cell>
          <cell r="L89">
            <v>136.89426</v>
          </cell>
          <cell r="M89" t="str">
            <v>n/a</v>
          </cell>
          <cell r="N89">
            <v>369.49318332667434</v>
          </cell>
          <cell r="O89">
            <v>0</v>
          </cell>
          <cell r="Q89">
            <v>0</v>
          </cell>
          <cell r="R89">
            <v>0</v>
          </cell>
          <cell r="S89">
            <v>0</v>
          </cell>
          <cell r="T89" t="str">
            <v>n/a</v>
          </cell>
          <cell r="U89">
            <v>-1.5317954298755776</v>
          </cell>
          <cell r="V89">
            <v>0.91500000000000004</v>
          </cell>
          <cell r="X89">
            <v>0</v>
          </cell>
          <cell r="Y89">
            <v>0</v>
          </cell>
          <cell r="Z89">
            <v>0</v>
          </cell>
          <cell r="AA89" t="str">
            <v>n/a</v>
          </cell>
          <cell r="AB89">
            <v>40.83637076237568</v>
          </cell>
          <cell r="AC89">
            <v>0</v>
          </cell>
          <cell r="AD89">
            <v>196.32271714285716</v>
          </cell>
          <cell r="AE89">
            <v>21.397860000000001</v>
          </cell>
          <cell r="AH89">
            <v>10580</v>
          </cell>
          <cell r="AI89">
            <v>36859.910000000003</v>
          </cell>
          <cell r="AJ89">
            <v>71065.06</v>
          </cell>
          <cell r="AK89">
            <v>107315.56</v>
          </cell>
          <cell r="AL89">
            <v>115781.04</v>
          </cell>
          <cell r="AM89">
            <v>123275.76</v>
          </cell>
          <cell r="AN89">
            <v>130526.26</v>
          </cell>
          <cell r="AO89">
            <v>136894.26</v>
          </cell>
          <cell r="AP89">
            <v>136894.26</v>
          </cell>
          <cell r="AQ89">
            <v>136894.26</v>
          </cell>
          <cell r="AR89">
            <v>136894.26</v>
          </cell>
          <cell r="AS89">
            <v>136894.26</v>
          </cell>
          <cell r="AW89">
            <v>0</v>
          </cell>
          <cell r="AX89">
            <v>0</v>
          </cell>
          <cell r="AY89">
            <v>0</v>
          </cell>
          <cell r="AZ89">
            <v>0</v>
          </cell>
          <cell r="BA89">
            <v>0</v>
          </cell>
          <cell r="BB89">
            <v>0</v>
          </cell>
          <cell r="BC89">
            <v>0</v>
          </cell>
          <cell r="BD89">
            <v>0</v>
          </cell>
          <cell r="BE89">
            <v>0</v>
          </cell>
          <cell r="BF89">
            <v>0</v>
          </cell>
          <cell r="BG89">
            <v>0</v>
          </cell>
          <cell r="BH89">
            <v>0</v>
          </cell>
          <cell r="BL89">
            <v>0</v>
          </cell>
          <cell r="BM89">
            <v>0</v>
          </cell>
          <cell r="BN89">
            <v>0</v>
          </cell>
          <cell r="BO89">
            <v>0</v>
          </cell>
          <cell r="BP89">
            <v>0</v>
          </cell>
          <cell r="BQ89">
            <v>0</v>
          </cell>
          <cell r="BR89">
            <v>0</v>
          </cell>
          <cell r="BS89">
            <v>0</v>
          </cell>
          <cell r="BT89">
            <v>0</v>
          </cell>
          <cell r="BU89">
            <v>0</v>
          </cell>
          <cell r="BV89">
            <v>0</v>
          </cell>
          <cell r="BW89">
            <v>0</v>
          </cell>
          <cell r="CP89">
            <v>0</v>
          </cell>
          <cell r="CQ89">
            <v>10580</v>
          </cell>
          <cell r="CR89">
            <v>69275.658571428561</v>
          </cell>
          <cell r="CS89">
            <v>101583.91714285713</v>
          </cell>
          <cell r="CT89">
            <v>124029.84571428571</v>
          </cell>
          <cell r="CU89">
            <v>140423.89714285714</v>
          </cell>
          <cell r="CV89">
            <v>130347.18857142856</v>
          </cell>
          <cell r="CW89">
            <v>142169.94095238094</v>
          </cell>
          <cell r="DE89">
            <v>0</v>
          </cell>
          <cell r="DF89">
            <v>0</v>
          </cell>
          <cell r="DG89">
            <v>0</v>
          </cell>
          <cell r="DH89">
            <v>0</v>
          </cell>
          <cell r="DI89">
            <v>0</v>
          </cell>
          <cell r="DJ89">
            <v>0</v>
          </cell>
          <cell r="DK89">
            <v>0</v>
          </cell>
          <cell r="DL89">
            <v>0</v>
          </cell>
          <cell r="DT89">
            <v>0</v>
          </cell>
          <cell r="DU89">
            <v>0</v>
          </cell>
          <cell r="DV89">
            <v>3347.7400000000002</v>
          </cell>
          <cell r="DW89">
            <v>4893.74</v>
          </cell>
          <cell r="DX89">
            <v>0</v>
          </cell>
          <cell r="DY89">
            <v>0</v>
          </cell>
          <cell r="DZ89">
            <v>0</v>
          </cell>
          <cell r="EA89">
            <v>0</v>
          </cell>
          <cell r="EX89">
            <v>0</v>
          </cell>
          <cell r="EY89">
            <v>0</v>
          </cell>
          <cell r="EZ89">
            <v>0</v>
          </cell>
          <cell r="FA89">
            <v>0</v>
          </cell>
          <cell r="FB89">
            <v>0</v>
          </cell>
          <cell r="FC89">
            <v>0</v>
          </cell>
          <cell r="FD89">
            <v>0</v>
          </cell>
          <cell r="FE89">
            <v>0</v>
          </cell>
          <cell r="FF89">
            <v>0</v>
          </cell>
          <cell r="FG89">
            <v>5568</v>
          </cell>
          <cell r="FH89">
            <v>7980</v>
          </cell>
          <cell r="FI89">
            <v>20482.86</v>
          </cell>
          <cell r="FM89">
            <v>0</v>
          </cell>
          <cell r="FN89">
            <v>0</v>
          </cell>
          <cell r="FO89">
            <v>0</v>
          </cell>
          <cell r="FP89">
            <v>0</v>
          </cell>
          <cell r="FQ89">
            <v>0</v>
          </cell>
          <cell r="FR89">
            <v>0</v>
          </cell>
          <cell r="FS89">
            <v>0</v>
          </cell>
          <cell r="FT89">
            <v>0</v>
          </cell>
          <cell r="FU89">
            <v>915</v>
          </cell>
          <cell r="FV89">
            <v>915</v>
          </cell>
          <cell r="FW89">
            <v>915</v>
          </cell>
          <cell r="FX89">
            <v>915</v>
          </cell>
          <cell r="GB89">
            <v>0</v>
          </cell>
          <cell r="GC89">
            <v>0</v>
          </cell>
          <cell r="GD89">
            <v>0</v>
          </cell>
          <cell r="GE89">
            <v>0</v>
          </cell>
          <cell r="GF89">
            <v>0</v>
          </cell>
          <cell r="GG89">
            <v>0</v>
          </cell>
          <cell r="GH89">
            <v>0</v>
          </cell>
          <cell r="GI89">
            <v>0</v>
          </cell>
          <cell r="GJ89">
            <v>0</v>
          </cell>
          <cell r="GK89">
            <v>0</v>
          </cell>
          <cell r="GL89">
            <v>0</v>
          </cell>
          <cell r="GM89">
            <v>0</v>
          </cell>
        </row>
        <row r="90">
          <cell r="A90" t="str">
            <v>Subcontract - Other</v>
          </cell>
          <cell r="C90">
            <v>1976.1904999999999</v>
          </cell>
          <cell r="D90">
            <v>0</v>
          </cell>
          <cell r="E90">
            <v>1976.1904999999999</v>
          </cell>
          <cell r="F90" t="str">
            <v>n/a</v>
          </cell>
          <cell r="G90">
            <v>698.41435030321327</v>
          </cell>
          <cell r="H90">
            <v>781.78135999999995</v>
          </cell>
          <cell r="J90">
            <v>399.56481000000002</v>
          </cell>
          <cell r="K90">
            <v>0</v>
          </cell>
          <cell r="L90">
            <v>399.56481000000002</v>
          </cell>
          <cell r="M90" t="str">
            <v>n/a</v>
          </cell>
          <cell r="N90">
            <v>355.73777104446356</v>
          </cell>
          <cell r="O90">
            <v>328.51255999999995</v>
          </cell>
          <cell r="Q90">
            <v>762.27456999999993</v>
          </cell>
          <cell r="R90">
            <v>0</v>
          </cell>
          <cell r="S90">
            <v>762.27456999999993</v>
          </cell>
          <cell r="T90" t="str">
            <v>n/a</v>
          </cell>
          <cell r="U90">
            <v>77.560922742074666</v>
          </cell>
          <cell r="V90">
            <v>59.997009999999996</v>
          </cell>
          <cell r="X90">
            <v>814.35112000000004</v>
          </cell>
          <cell r="Y90">
            <v>0</v>
          </cell>
          <cell r="Z90">
            <v>814.35112000000004</v>
          </cell>
          <cell r="AA90" t="str">
            <v>n/a</v>
          </cell>
          <cell r="AB90">
            <v>265.11565651667502</v>
          </cell>
          <cell r="AC90">
            <v>393.27179000000001</v>
          </cell>
          <cell r="AD90">
            <v>2193.9083000000001</v>
          </cell>
          <cell r="AE90">
            <v>1107.9917799999998</v>
          </cell>
          <cell r="AH90">
            <v>28469.57</v>
          </cell>
          <cell r="AI90">
            <v>103951.14000000001</v>
          </cell>
          <cell r="AJ90">
            <v>207372.73</v>
          </cell>
          <cell r="AK90">
            <v>306011.64</v>
          </cell>
          <cell r="AL90">
            <v>388942.87</v>
          </cell>
          <cell r="AM90">
            <v>410072.98</v>
          </cell>
          <cell r="AN90">
            <v>390577.97</v>
          </cell>
          <cell r="AO90">
            <v>399564.81</v>
          </cell>
          <cell r="AP90">
            <v>399564.81</v>
          </cell>
          <cell r="AQ90">
            <v>399564.81</v>
          </cell>
          <cell r="AR90">
            <v>399564.81</v>
          </cell>
          <cell r="AS90">
            <v>399564.81</v>
          </cell>
          <cell r="AW90">
            <v>47540.990000000005</v>
          </cell>
          <cell r="AX90">
            <v>158058.6</v>
          </cell>
          <cell r="AY90">
            <v>248667.64</v>
          </cell>
          <cell r="AZ90">
            <v>334866.81</v>
          </cell>
          <cell r="BA90">
            <v>441612.17</v>
          </cell>
          <cell r="BB90">
            <v>617147.37</v>
          </cell>
          <cell r="BC90">
            <v>706194.42999999993</v>
          </cell>
          <cell r="BD90">
            <v>762274.57</v>
          </cell>
          <cell r="BE90">
            <v>762274.57</v>
          </cell>
          <cell r="BF90">
            <v>762274.57</v>
          </cell>
          <cell r="BG90">
            <v>762274.57</v>
          </cell>
          <cell r="BH90">
            <v>762274.57</v>
          </cell>
          <cell r="BL90">
            <v>60801.86</v>
          </cell>
          <cell r="BM90">
            <v>131355.68</v>
          </cell>
          <cell r="BN90">
            <v>305876.55</v>
          </cell>
          <cell r="BO90">
            <v>411605.70999999996</v>
          </cell>
          <cell r="BP90">
            <v>523089.85</v>
          </cell>
          <cell r="BQ90">
            <v>696154.61</v>
          </cell>
          <cell r="BR90">
            <v>763478.37</v>
          </cell>
          <cell r="BS90">
            <v>814351.12</v>
          </cell>
          <cell r="BT90">
            <v>814351.12</v>
          </cell>
          <cell r="BU90">
            <v>814351.12</v>
          </cell>
          <cell r="BV90">
            <v>814351.12</v>
          </cell>
          <cell r="BW90">
            <v>814351.12</v>
          </cell>
          <cell r="CP90">
            <v>20240</v>
          </cell>
          <cell r="CQ90">
            <v>86069.57</v>
          </cell>
          <cell r="CR90">
            <v>213063.14</v>
          </cell>
          <cell r="CS90">
            <v>251060.73</v>
          </cell>
          <cell r="CT90">
            <v>352563.64</v>
          </cell>
          <cell r="CU90">
            <v>473278.87</v>
          </cell>
          <cell r="CV90">
            <v>419752.98</v>
          </cell>
          <cell r="CW90">
            <v>423697.97</v>
          </cell>
          <cell r="DE90">
            <v>16560</v>
          </cell>
          <cell r="DF90">
            <v>74900.990000000005</v>
          </cell>
          <cell r="DG90">
            <v>211602.6</v>
          </cell>
          <cell r="DH90">
            <v>281519.64</v>
          </cell>
          <cell r="DI90">
            <v>360810.81</v>
          </cell>
          <cell r="DJ90">
            <v>649072.17000000004</v>
          </cell>
          <cell r="DK90">
            <v>687047.37</v>
          </cell>
          <cell r="DL90">
            <v>774494.42999999993</v>
          </cell>
          <cell r="DT90">
            <v>64492.500000000007</v>
          </cell>
          <cell r="DU90">
            <v>171595.86000000002</v>
          </cell>
          <cell r="DV90">
            <v>285833.07999999996</v>
          </cell>
          <cell r="DW90">
            <v>513079.6</v>
          </cell>
          <cell r="DX90">
            <v>521438.75999999995</v>
          </cell>
          <cell r="DY90">
            <v>605486.19999999995</v>
          </cell>
          <cell r="DZ90">
            <v>760446.21</v>
          </cell>
          <cell r="EA90">
            <v>827721.57</v>
          </cell>
          <cell r="EX90">
            <v>35395.760000000002</v>
          </cell>
          <cell r="EY90">
            <v>75070.989999999991</v>
          </cell>
          <cell r="EZ90">
            <v>155577.78</v>
          </cell>
          <cell r="FA90">
            <v>227128.31</v>
          </cell>
          <cell r="FB90">
            <v>264345.70999999996</v>
          </cell>
          <cell r="FC90">
            <v>269106.56999999995</v>
          </cell>
          <cell r="FD90">
            <v>284334.16999999993</v>
          </cell>
          <cell r="FE90">
            <v>307806.36999999994</v>
          </cell>
          <cell r="FF90">
            <v>328512.55999999994</v>
          </cell>
          <cell r="FG90">
            <v>376664.40999999992</v>
          </cell>
          <cell r="FH90">
            <v>397514.62999999989</v>
          </cell>
          <cell r="FI90">
            <v>422247.35999999987</v>
          </cell>
          <cell r="FM90">
            <v>6132.54</v>
          </cell>
          <cell r="FN90">
            <v>15126.279999999999</v>
          </cell>
          <cell r="FO90">
            <v>20207.589999999997</v>
          </cell>
          <cell r="FP90">
            <v>29401.659999999996</v>
          </cell>
          <cell r="FQ90">
            <v>36475.629999999997</v>
          </cell>
          <cell r="FR90">
            <v>39876.449999999997</v>
          </cell>
          <cell r="FS90">
            <v>41144.719999999994</v>
          </cell>
          <cell r="FT90">
            <v>48088.659999999996</v>
          </cell>
          <cell r="FU90">
            <v>59997.009999999995</v>
          </cell>
          <cell r="FV90">
            <v>87824.68</v>
          </cell>
          <cell r="FW90">
            <v>110946.40999999999</v>
          </cell>
          <cell r="FX90">
            <v>129480.54999999999</v>
          </cell>
          <cell r="GB90">
            <v>7665</v>
          </cell>
          <cell r="GC90">
            <v>21442.55</v>
          </cell>
          <cell r="GD90">
            <v>99161.41</v>
          </cell>
          <cell r="GE90">
            <v>128444.66</v>
          </cell>
          <cell r="GF90">
            <v>171124.14</v>
          </cell>
          <cell r="GG90">
            <v>246241.83000000002</v>
          </cell>
          <cell r="GH90">
            <v>296413.09000000003</v>
          </cell>
          <cell r="GI90">
            <v>363274.18000000005</v>
          </cell>
          <cell r="GJ90">
            <v>393271.79000000004</v>
          </cell>
          <cell r="GK90">
            <v>493697.47000000003</v>
          </cell>
          <cell r="GL90">
            <v>522387.64</v>
          </cell>
          <cell r="GM90">
            <v>556263.87</v>
          </cell>
        </row>
        <row r="91">
          <cell r="A91" t="str">
            <v>Subcontract</v>
          </cell>
          <cell r="C91">
            <v>2113.0847599999997</v>
          </cell>
          <cell r="D91">
            <v>0</v>
          </cell>
          <cell r="E91">
            <v>2113.0847599999997</v>
          </cell>
          <cell r="F91" t="str">
            <v>n/a</v>
          </cell>
          <cell r="G91">
            <v>1107.2121089623877</v>
          </cell>
          <cell r="H91">
            <v>782.69635999999991</v>
          </cell>
          <cell r="J91">
            <v>536.45907</v>
          </cell>
          <cell r="K91">
            <v>0</v>
          </cell>
          <cell r="L91">
            <v>536.45907</v>
          </cell>
          <cell r="M91" t="str">
            <v>n/a</v>
          </cell>
          <cell r="N91">
            <v>725.23095437113784</v>
          </cell>
          <cell r="O91">
            <v>328.51255999999995</v>
          </cell>
          <cell r="Q91">
            <v>762.27456999999993</v>
          </cell>
          <cell r="R91">
            <v>0</v>
          </cell>
          <cell r="S91">
            <v>762.27456999999993</v>
          </cell>
          <cell r="T91" t="str">
            <v>n/a</v>
          </cell>
          <cell r="U91">
            <v>76.029127312199094</v>
          </cell>
          <cell r="V91">
            <v>60.912009999999995</v>
          </cell>
          <cell r="X91">
            <v>814.35112000000004</v>
          </cell>
          <cell r="Y91">
            <v>0</v>
          </cell>
          <cell r="Z91">
            <v>814.35112000000004</v>
          </cell>
          <cell r="AA91" t="str">
            <v>n/a</v>
          </cell>
          <cell r="AB91">
            <v>305.9520272790507</v>
          </cell>
          <cell r="AC91">
            <v>393.27179000000001</v>
          </cell>
          <cell r="AD91">
            <v>2390.2310171428571</v>
          </cell>
          <cell r="AE91">
            <v>1129.3896399999999</v>
          </cell>
          <cell r="AH91">
            <v>39049.57</v>
          </cell>
          <cell r="AI91">
            <v>140811.05000000002</v>
          </cell>
          <cell r="AJ91">
            <v>278437.79000000004</v>
          </cell>
          <cell r="AK91">
            <v>413327.2</v>
          </cell>
          <cell r="AL91">
            <v>504723.91</v>
          </cell>
          <cell r="AM91">
            <v>533348.74</v>
          </cell>
          <cell r="AN91">
            <v>521104.23</v>
          </cell>
          <cell r="AO91">
            <v>536459.07000000007</v>
          </cell>
          <cell r="AP91">
            <v>536459.07000000007</v>
          </cell>
          <cell r="AQ91">
            <v>536459.07000000007</v>
          </cell>
          <cell r="AR91">
            <v>536459.07000000007</v>
          </cell>
          <cell r="AS91">
            <v>536459.07000000007</v>
          </cell>
          <cell r="AW91">
            <v>47540.990000000005</v>
          </cell>
          <cell r="AX91">
            <v>158058.6</v>
          </cell>
          <cell r="AY91">
            <v>248667.64</v>
          </cell>
          <cell r="AZ91">
            <v>334866.81</v>
          </cell>
          <cell r="BA91">
            <v>441612.17</v>
          </cell>
          <cell r="BB91">
            <v>617147.37</v>
          </cell>
          <cell r="BC91">
            <v>706194.42999999993</v>
          </cell>
          <cell r="BD91">
            <v>762274.57</v>
          </cell>
          <cell r="BE91">
            <v>762274.57</v>
          </cell>
          <cell r="BF91">
            <v>762274.57</v>
          </cell>
          <cell r="BG91">
            <v>762274.57</v>
          </cell>
          <cell r="BH91">
            <v>762274.57</v>
          </cell>
          <cell r="BL91">
            <v>60801.86</v>
          </cell>
          <cell r="BM91">
            <v>131355.68</v>
          </cell>
          <cell r="BN91">
            <v>305876.55</v>
          </cell>
          <cell r="BO91">
            <v>411605.70999999996</v>
          </cell>
          <cell r="BP91">
            <v>523089.85</v>
          </cell>
          <cell r="BQ91">
            <v>696154.61</v>
          </cell>
          <cell r="BR91">
            <v>763478.37</v>
          </cell>
          <cell r="BS91">
            <v>814351.12</v>
          </cell>
          <cell r="BT91">
            <v>814351.12</v>
          </cell>
          <cell r="BU91">
            <v>814351.12</v>
          </cell>
          <cell r="BV91">
            <v>814351.12</v>
          </cell>
          <cell r="BW91">
            <v>814351.12</v>
          </cell>
          <cell r="CP91">
            <v>20240</v>
          </cell>
          <cell r="CQ91">
            <v>96649.57</v>
          </cell>
          <cell r="CR91">
            <v>282338.79857142858</v>
          </cell>
          <cell r="CS91">
            <v>352644.64714285714</v>
          </cell>
          <cell r="CT91">
            <v>476593.48571428575</v>
          </cell>
          <cell r="CU91">
            <v>613702.76714285719</v>
          </cell>
          <cell r="CV91">
            <v>550100.16857142851</v>
          </cell>
          <cell r="CW91">
            <v>565867.91095238086</v>
          </cell>
          <cell r="DE91">
            <v>16560</v>
          </cell>
          <cell r="DF91">
            <v>74900.990000000005</v>
          </cell>
          <cell r="DG91">
            <v>211602.6</v>
          </cell>
          <cell r="DH91">
            <v>281519.64</v>
          </cell>
          <cell r="DI91">
            <v>360810.81</v>
          </cell>
          <cell r="DJ91">
            <v>649072.17000000004</v>
          </cell>
          <cell r="DK91">
            <v>687047.37</v>
          </cell>
          <cell r="DL91">
            <v>774494.42999999993</v>
          </cell>
          <cell r="DT91">
            <v>64492.500000000007</v>
          </cell>
          <cell r="DU91">
            <v>171595.86000000002</v>
          </cell>
          <cell r="DV91">
            <v>289180.81999999995</v>
          </cell>
          <cell r="DW91">
            <v>517973.33999999997</v>
          </cell>
          <cell r="DX91">
            <v>521438.75999999995</v>
          </cell>
          <cell r="DY91">
            <v>605486.19999999995</v>
          </cell>
          <cell r="DZ91">
            <v>760446.21</v>
          </cell>
          <cell r="EA91">
            <v>827721.57</v>
          </cell>
          <cell r="EX91">
            <v>35395.760000000002</v>
          </cell>
          <cell r="EY91">
            <v>75070.989999999991</v>
          </cell>
          <cell r="EZ91">
            <v>155577.78</v>
          </cell>
          <cell r="FA91">
            <v>227128.31</v>
          </cell>
          <cell r="FB91">
            <v>264345.70999999996</v>
          </cell>
          <cell r="FC91">
            <v>269106.56999999995</v>
          </cell>
          <cell r="FD91">
            <v>284334.16999999993</v>
          </cell>
          <cell r="FE91">
            <v>307806.36999999994</v>
          </cell>
          <cell r="FF91">
            <v>328512.55999999994</v>
          </cell>
          <cell r="FG91">
            <v>382232.40999999992</v>
          </cell>
          <cell r="FH91">
            <v>405494.62999999989</v>
          </cell>
          <cell r="FI91">
            <v>442730.21999999986</v>
          </cell>
          <cell r="FM91">
            <v>6132.54</v>
          </cell>
          <cell r="FN91">
            <v>15126.279999999999</v>
          </cell>
          <cell r="FO91">
            <v>20207.589999999997</v>
          </cell>
          <cell r="FP91">
            <v>29401.659999999996</v>
          </cell>
          <cell r="FQ91">
            <v>36475.629999999997</v>
          </cell>
          <cell r="FR91">
            <v>39876.449999999997</v>
          </cell>
          <cell r="FS91">
            <v>41144.719999999994</v>
          </cell>
          <cell r="FT91">
            <v>48088.659999999996</v>
          </cell>
          <cell r="FU91">
            <v>60912.009999999995</v>
          </cell>
          <cell r="FV91">
            <v>88739.68</v>
          </cell>
          <cell r="FW91">
            <v>111861.40999999999</v>
          </cell>
          <cell r="FX91">
            <v>130395.54999999999</v>
          </cell>
          <cell r="GB91">
            <v>7665</v>
          </cell>
          <cell r="GC91">
            <v>21442.55</v>
          </cell>
          <cell r="GD91">
            <v>99161.41</v>
          </cell>
          <cell r="GE91">
            <v>128444.66</v>
          </cell>
          <cell r="GF91">
            <v>171124.14</v>
          </cell>
          <cell r="GG91">
            <v>246241.83000000002</v>
          </cell>
          <cell r="GH91">
            <v>296413.09000000003</v>
          </cell>
          <cell r="GI91">
            <v>363274.18000000005</v>
          </cell>
          <cell r="GJ91">
            <v>393271.79000000004</v>
          </cell>
          <cell r="GK91">
            <v>493697.47000000003</v>
          </cell>
          <cell r="GL91">
            <v>522387.64</v>
          </cell>
          <cell r="GM91">
            <v>556263.87</v>
          </cell>
        </row>
        <row r="93">
          <cell r="A93" t="str">
            <v>Value-Added</v>
          </cell>
          <cell r="C93">
            <v>9798.3927099999983</v>
          </cell>
          <cell r="D93">
            <v>0</v>
          </cell>
          <cell r="E93">
            <v>9798.3927099999983</v>
          </cell>
          <cell r="F93" t="str">
            <v>n/a</v>
          </cell>
          <cell r="G93">
            <v>10046.916736620098</v>
          </cell>
          <cell r="H93">
            <v>9000.7204799999981</v>
          </cell>
          <cell r="J93">
            <v>7596.7551199999998</v>
          </cell>
          <cell r="K93">
            <v>0</v>
          </cell>
          <cell r="L93">
            <v>7596.7551199999998</v>
          </cell>
          <cell r="M93" t="str">
            <v>n/a</v>
          </cell>
          <cell r="N93">
            <v>7416.2869428696677</v>
          </cell>
          <cell r="O93">
            <v>6834.3787100000009</v>
          </cell>
          <cell r="Q93">
            <v>1095.3525800000002</v>
          </cell>
          <cell r="R93">
            <v>0</v>
          </cell>
          <cell r="S93">
            <v>1095.3525800000002</v>
          </cell>
          <cell r="T93" t="str">
            <v>n/a</v>
          </cell>
          <cell r="U93">
            <v>1478.0087799107864</v>
          </cell>
          <cell r="V93">
            <v>479.58235999999988</v>
          </cell>
          <cell r="X93">
            <v>1106.2850099999998</v>
          </cell>
          <cell r="Y93">
            <v>0</v>
          </cell>
          <cell r="Z93">
            <v>1106.2850099999998</v>
          </cell>
          <cell r="AA93" t="str">
            <v>n/a</v>
          </cell>
          <cell r="AB93">
            <v>1152.621013839643</v>
          </cell>
          <cell r="AC93">
            <v>1686.7594099999999</v>
          </cell>
          <cell r="AD93">
            <v>12625.522052857141</v>
          </cell>
          <cell r="AE93">
            <v>11655.73775</v>
          </cell>
          <cell r="AH93">
            <v>594344.26000000013</v>
          </cell>
          <cell r="AI93">
            <v>1297454.4000000001</v>
          </cell>
          <cell r="AJ93">
            <v>2675918.2399999998</v>
          </cell>
          <cell r="AK93">
            <v>3623836.6999999993</v>
          </cell>
          <cell r="AL93">
            <v>4657991.8899999997</v>
          </cell>
          <cell r="AM93">
            <v>6074215.8399999999</v>
          </cell>
          <cell r="AN93">
            <v>6875392.7300000004</v>
          </cell>
          <cell r="AO93">
            <v>7596755.1199999982</v>
          </cell>
          <cell r="AP93">
            <v>7596755.1199999982</v>
          </cell>
          <cell r="AQ93">
            <v>7596755.1199999982</v>
          </cell>
          <cell r="AR93">
            <v>7596755.1199999982</v>
          </cell>
          <cell r="AS93">
            <v>7596755.1199999982</v>
          </cell>
          <cell r="AW93">
            <v>165567.01</v>
          </cell>
          <cell r="AX93">
            <v>255616.84</v>
          </cell>
          <cell r="AY93">
            <v>466611.8600000001</v>
          </cell>
          <cell r="AZ93">
            <v>697087.78</v>
          </cell>
          <cell r="BA93">
            <v>873983.83000000007</v>
          </cell>
          <cell r="BB93">
            <v>921151.75999999989</v>
          </cell>
          <cell r="BC93">
            <v>989922.87000000011</v>
          </cell>
          <cell r="BD93">
            <v>1095352.58</v>
          </cell>
          <cell r="BE93">
            <v>1095352.58</v>
          </cell>
          <cell r="BF93">
            <v>1095352.58</v>
          </cell>
          <cell r="BG93">
            <v>1095352.58</v>
          </cell>
          <cell r="BH93">
            <v>1095352.58</v>
          </cell>
          <cell r="BL93">
            <v>201096.91999999998</v>
          </cell>
          <cell r="BM93">
            <v>292892.52</v>
          </cell>
          <cell r="BN93">
            <v>305935.57</v>
          </cell>
          <cell r="BO93">
            <v>305807.18000000005</v>
          </cell>
          <cell r="BP93">
            <v>496065.56000000006</v>
          </cell>
          <cell r="BQ93">
            <v>864650.03999999992</v>
          </cell>
          <cell r="BR93">
            <v>968227.99999999988</v>
          </cell>
          <cell r="BS93">
            <v>1106285.0099999998</v>
          </cell>
          <cell r="BT93">
            <v>1106285.0099999998</v>
          </cell>
          <cell r="BU93">
            <v>1106285.0099999998</v>
          </cell>
          <cell r="BV93">
            <v>1106285.0099999998</v>
          </cell>
          <cell r="BW93">
            <v>1106285.0099999998</v>
          </cell>
          <cell r="CP93">
            <v>802147.47270399996</v>
          </cell>
          <cell r="CQ93">
            <v>1423427.5265600001</v>
          </cell>
          <cell r="CR93">
            <v>2527061.9173485711</v>
          </cell>
          <cell r="CS93">
            <v>3679554.3828571425</v>
          </cell>
          <cell r="CT93">
            <v>4412552.4142857138</v>
          </cell>
          <cell r="CU93">
            <v>5517302.3248571418</v>
          </cell>
          <cell r="CV93">
            <v>6673592.4114285707</v>
          </cell>
          <cell r="CW93">
            <v>7538595.4490476185</v>
          </cell>
          <cell r="DE93">
            <v>118113.40000000002</v>
          </cell>
          <cell r="DF93">
            <v>402821.01</v>
          </cell>
          <cell r="DG93">
            <v>506072.83999999997</v>
          </cell>
          <cell r="DH93">
            <v>709759.8600000001</v>
          </cell>
          <cell r="DI93">
            <v>862143.7799999998</v>
          </cell>
          <cell r="DJ93">
            <v>1024523.83</v>
          </cell>
          <cell r="DK93">
            <v>1037251.7599999999</v>
          </cell>
          <cell r="DL93">
            <v>1142622.8700000001</v>
          </cell>
          <cell r="DT93">
            <v>193477.50000000003</v>
          </cell>
          <cell r="DU93">
            <v>266772.92000000004</v>
          </cell>
          <cell r="DV93">
            <v>302454.38</v>
          </cell>
          <cell r="DW93">
            <v>338525.78</v>
          </cell>
          <cell r="DX93">
            <v>644861.13000000012</v>
          </cell>
          <cell r="DY93">
            <v>812287.2100000002</v>
          </cell>
          <cell r="DZ93">
            <v>1016190.44</v>
          </cell>
          <cell r="EA93">
            <v>1111416.7999999998</v>
          </cell>
          <cell r="EX93">
            <v>745864.43</v>
          </cell>
          <cell r="EY93">
            <v>1461683.5499999998</v>
          </cell>
          <cell r="EZ93">
            <v>2851875.6999999997</v>
          </cell>
          <cell r="FA93">
            <v>3619353.5000000005</v>
          </cell>
          <cell r="FB93">
            <v>4606192.38</v>
          </cell>
          <cell r="FC93">
            <v>5839695.5700000003</v>
          </cell>
          <cell r="FD93">
            <v>6186018.4300000006</v>
          </cell>
          <cell r="FE93">
            <v>6641563.6000000015</v>
          </cell>
          <cell r="FF93">
            <v>7162891.2700000005</v>
          </cell>
          <cell r="FG93">
            <v>7855942.1400000006</v>
          </cell>
          <cell r="FH93">
            <v>8548904.1900000013</v>
          </cell>
          <cell r="FI93">
            <v>9268597.3600000013</v>
          </cell>
          <cell r="FM93">
            <v>86321.24</v>
          </cell>
          <cell r="FN93">
            <v>153028.24</v>
          </cell>
          <cell r="FO93">
            <v>279795.67</v>
          </cell>
          <cell r="FP93">
            <v>334554.17</v>
          </cell>
          <cell r="FQ93">
            <v>362204.17</v>
          </cell>
          <cell r="FR93">
            <v>377816.67</v>
          </cell>
          <cell r="FS93">
            <v>398941.07</v>
          </cell>
          <cell r="FT93">
            <v>453603.07</v>
          </cell>
          <cell r="FU93">
            <v>540494.37</v>
          </cell>
          <cell r="FV93">
            <v>645168.27</v>
          </cell>
          <cell r="FW93">
            <v>733814.77</v>
          </cell>
          <cell r="FX93">
            <v>844310.83000000007</v>
          </cell>
          <cell r="GB93">
            <v>124532.41</v>
          </cell>
          <cell r="GC93">
            <v>304497.32</v>
          </cell>
          <cell r="GD93">
            <v>636907.13</v>
          </cell>
          <cell r="GE93">
            <v>872457.54</v>
          </cell>
          <cell r="GF93">
            <v>1170355.3600000001</v>
          </cell>
          <cell r="GG93">
            <v>1539578.46</v>
          </cell>
          <cell r="GH93">
            <v>1781757.6099999999</v>
          </cell>
          <cell r="GI93">
            <v>1967862.69</v>
          </cell>
          <cell r="GJ93">
            <v>2080031.2</v>
          </cell>
          <cell r="GK93">
            <v>2265250.56</v>
          </cell>
          <cell r="GL93">
            <v>2477074.34</v>
          </cell>
          <cell r="GM93">
            <v>2672219.1999999997</v>
          </cell>
        </row>
        <row r="95">
          <cell r="A95" t="str">
            <v>Labor - Direct</v>
          </cell>
          <cell r="C95">
            <v>2238.6351125000001</v>
          </cell>
          <cell r="D95">
            <v>0</v>
          </cell>
          <cell r="E95">
            <v>2238.6351125000001</v>
          </cell>
          <cell r="F95" t="str">
            <v>n/a</v>
          </cell>
          <cell r="G95">
            <v>2702.6631222065998</v>
          </cell>
          <cell r="H95">
            <v>2458.2588009999999</v>
          </cell>
          <cell r="J95">
            <v>1765.9043845000001</v>
          </cell>
          <cell r="K95">
            <v>0</v>
          </cell>
          <cell r="L95">
            <v>1765.9043845000001</v>
          </cell>
          <cell r="M95" t="str">
            <v>n/a</v>
          </cell>
          <cell r="N95">
            <v>2199.1375934891998</v>
          </cell>
          <cell r="O95">
            <v>1989.779411</v>
          </cell>
          <cell r="Q95">
            <v>240.29554400000004</v>
          </cell>
          <cell r="R95">
            <v>0</v>
          </cell>
          <cell r="S95">
            <v>240.29554400000004</v>
          </cell>
          <cell r="T95" t="str">
            <v>n/a</v>
          </cell>
          <cell r="U95">
            <v>249.60403251629998</v>
          </cell>
          <cell r="V95">
            <v>167.01347000000001</v>
          </cell>
          <cell r="X95">
            <v>232.43518400000002</v>
          </cell>
          <cell r="Y95">
            <v>0</v>
          </cell>
          <cell r="Z95">
            <v>232.43518400000002</v>
          </cell>
          <cell r="AA95" t="str">
            <v>n/a</v>
          </cell>
          <cell r="AB95">
            <v>253.92149620109998</v>
          </cell>
          <cell r="AC95">
            <v>301.46591999999998</v>
          </cell>
          <cell r="AD95">
            <v>3332.8038575398182</v>
          </cell>
          <cell r="AE95">
            <v>3267.4444009999997</v>
          </cell>
          <cell r="AH95">
            <v>212272.5</v>
          </cell>
          <cell r="AI95">
            <v>420364.72</v>
          </cell>
          <cell r="AJ95">
            <v>660909.30999999994</v>
          </cell>
          <cell r="AK95">
            <v>899285.72399999993</v>
          </cell>
          <cell r="AL95">
            <v>1146549.9439999999</v>
          </cell>
          <cell r="AM95">
            <v>1363744.7279999999</v>
          </cell>
          <cell r="AN95">
            <v>1556320.8185000001</v>
          </cell>
          <cell r="AO95">
            <v>1765904.3845000002</v>
          </cell>
          <cell r="AP95">
            <v>1765904.3845000002</v>
          </cell>
          <cell r="AQ95">
            <v>1765904.3845000002</v>
          </cell>
          <cell r="AR95">
            <v>1765904.3845000002</v>
          </cell>
          <cell r="AS95">
            <v>1765904.3845000002</v>
          </cell>
          <cell r="AW95">
            <v>31140.58</v>
          </cell>
          <cell r="AX95">
            <v>62879.41</v>
          </cell>
          <cell r="AY95">
            <v>97305.35</v>
          </cell>
          <cell r="AZ95">
            <v>124798.45800000001</v>
          </cell>
          <cell r="BA95">
            <v>164797.16800000001</v>
          </cell>
          <cell r="BB95">
            <v>185558.28600000002</v>
          </cell>
          <cell r="BC95">
            <v>212109.09200000003</v>
          </cell>
          <cell r="BD95">
            <v>240295.54400000002</v>
          </cell>
          <cell r="BE95">
            <v>240295.54400000002</v>
          </cell>
          <cell r="BF95">
            <v>240295.54400000002</v>
          </cell>
          <cell r="BG95">
            <v>240295.54400000002</v>
          </cell>
          <cell r="BH95">
            <v>240295.54400000002</v>
          </cell>
          <cell r="BL95">
            <v>30832.55</v>
          </cell>
          <cell r="BM95">
            <v>55119.41</v>
          </cell>
          <cell r="BN95">
            <v>84312.99</v>
          </cell>
          <cell r="BO95">
            <v>111836.308</v>
          </cell>
          <cell r="BP95">
            <v>144559.45800000001</v>
          </cell>
          <cell r="BQ95">
            <v>175155.28600000002</v>
          </cell>
          <cell r="BR95">
            <v>206970.29200000002</v>
          </cell>
          <cell r="BS95">
            <v>232435.18400000001</v>
          </cell>
          <cell r="BT95">
            <v>232435.18400000001</v>
          </cell>
          <cell r="BU95">
            <v>232435.18400000001</v>
          </cell>
          <cell r="BV95">
            <v>232435.18400000001</v>
          </cell>
          <cell r="BW95">
            <v>232435.18400000001</v>
          </cell>
          <cell r="CP95">
            <v>266340.6597448801</v>
          </cell>
          <cell r="CQ95">
            <v>432844.47494400002</v>
          </cell>
          <cell r="CR95">
            <v>679429.75962039991</v>
          </cell>
          <cell r="CS95">
            <v>930569.21376997</v>
          </cell>
          <cell r="CT95">
            <v>1193075.4815507999</v>
          </cell>
          <cell r="CU95">
            <v>1404418.7661115997</v>
          </cell>
          <cell r="CV95">
            <v>1586154.5698783998</v>
          </cell>
          <cell r="CW95">
            <v>1775465.6838014</v>
          </cell>
          <cell r="DE95">
            <v>39148.77563012769</v>
          </cell>
          <cell r="DF95">
            <v>63561.926277538463</v>
          </cell>
          <cell r="DG95">
            <v>95542.714711476932</v>
          </cell>
          <cell r="DH95">
            <v>122293.04076154077</v>
          </cell>
          <cell r="DI95">
            <v>157817.37809609232</v>
          </cell>
          <cell r="DJ95">
            <v>195027.34949910769</v>
          </cell>
          <cell r="DK95">
            <v>212709.63554264617</v>
          </cell>
          <cell r="DL95">
            <v>239965.89332287695</v>
          </cell>
          <cell r="DT95">
            <v>29949.71493654</v>
          </cell>
          <cell r="DU95">
            <v>55635.626552000002</v>
          </cell>
          <cell r="DV95">
            <v>84264.421623200004</v>
          </cell>
          <cell r="DW95">
            <v>114051.95856000001</v>
          </cell>
          <cell r="DX95">
            <v>145515.484</v>
          </cell>
          <cell r="DY95">
            <v>175310.01</v>
          </cell>
          <cell r="DZ95">
            <v>205285.78200000001</v>
          </cell>
          <cell r="EA95">
            <v>229559.88379960001</v>
          </cell>
          <cell r="EX95">
            <v>190244.77</v>
          </cell>
          <cell r="EY95">
            <v>404782.223</v>
          </cell>
          <cell r="EZ95">
            <v>674740.29099999997</v>
          </cell>
          <cell r="FA95">
            <v>890563.89099999995</v>
          </cell>
          <cell r="FB95">
            <v>1100747.551</v>
          </cell>
          <cell r="FC95">
            <v>1336176.281</v>
          </cell>
          <cell r="FD95">
            <v>1576137.811</v>
          </cell>
          <cell r="FE95">
            <v>1782091.9410000001</v>
          </cell>
          <cell r="FF95">
            <v>1989779.4110000001</v>
          </cell>
          <cell r="FG95">
            <v>2208987.7209999999</v>
          </cell>
          <cell r="FH95">
            <v>2438046.3759999997</v>
          </cell>
          <cell r="FI95">
            <v>2643765.9559999998</v>
          </cell>
          <cell r="FM95">
            <v>17083.2</v>
          </cell>
          <cell r="FN95">
            <v>32827.130000000005</v>
          </cell>
          <cell r="FO95">
            <v>57315.29</v>
          </cell>
          <cell r="FP95">
            <v>82962.790000000008</v>
          </cell>
          <cell r="FQ95">
            <v>101131.09000000001</v>
          </cell>
          <cell r="FR95">
            <v>123267.34000000001</v>
          </cell>
          <cell r="FS95">
            <v>139567.33000000002</v>
          </cell>
          <cell r="FT95">
            <v>155023.16</v>
          </cell>
          <cell r="FU95">
            <v>167013.47</v>
          </cell>
          <cell r="FV95">
            <v>181881.72</v>
          </cell>
          <cell r="FW95">
            <v>201012.587</v>
          </cell>
          <cell r="FX95">
            <v>228802.45699999999</v>
          </cell>
          <cell r="GB95">
            <v>29271.48</v>
          </cell>
          <cell r="GC95">
            <v>56686.28</v>
          </cell>
          <cell r="GD95">
            <v>96767.19</v>
          </cell>
          <cell r="GE95">
            <v>134557.24</v>
          </cell>
          <cell r="GF95">
            <v>172739.46</v>
          </cell>
          <cell r="GG95">
            <v>204979.65999999997</v>
          </cell>
          <cell r="GH95">
            <v>229612.50999999998</v>
          </cell>
          <cell r="GI95">
            <v>268428.37</v>
          </cell>
          <cell r="GJ95">
            <v>301465.92</v>
          </cell>
          <cell r="GK95">
            <v>336591.35</v>
          </cell>
          <cell r="GL95">
            <v>372145.39799999999</v>
          </cell>
          <cell r="GM95">
            <v>394875.98800000001</v>
          </cell>
        </row>
        <row r="96">
          <cell r="A96" t="str">
            <v>Labor - Supervisory Direct</v>
          </cell>
          <cell r="C96">
            <v>606.95680000000004</v>
          </cell>
          <cell r="D96">
            <v>0</v>
          </cell>
          <cell r="E96">
            <v>606.95680000000004</v>
          </cell>
          <cell r="F96" t="str">
            <v>n/a</v>
          </cell>
          <cell r="G96">
            <v>702.98723263859995</v>
          </cell>
          <cell r="H96">
            <v>667.66689000000008</v>
          </cell>
          <cell r="J96">
            <v>408.73747000000003</v>
          </cell>
          <cell r="K96">
            <v>0</v>
          </cell>
          <cell r="L96">
            <v>408.73747000000003</v>
          </cell>
          <cell r="M96" t="str">
            <v>n/a</v>
          </cell>
          <cell r="N96">
            <v>477.4275464049</v>
          </cell>
          <cell r="O96">
            <v>449.86238000000003</v>
          </cell>
          <cell r="Q96">
            <v>119.19114999999999</v>
          </cell>
          <cell r="R96">
            <v>0</v>
          </cell>
          <cell r="S96">
            <v>119.19114999999999</v>
          </cell>
          <cell r="T96" t="str">
            <v>n/a</v>
          </cell>
          <cell r="U96">
            <v>134.54437626630002</v>
          </cell>
          <cell r="V96">
            <v>127.67962</v>
          </cell>
          <cell r="X96">
            <v>79.028179999999992</v>
          </cell>
          <cell r="Y96">
            <v>0</v>
          </cell>
          <cell r="Z96">
            <v>79.028179999999992</v>
          </cell>
          <cell r="AA96" t="str">
            <v>n/a</v>
          </cell>
          <cell r="AB96">
            <v>91.0153099674</v>
          </cell>
          <cell r="AC96">
            <v>90.124890000000008</v>
          </cell>
          <cell r="AD96">
            <v>889.24860085216005</v>
          </cell>
          <cell r="AE96">
            <v>887.29453999999998</v>
          </cell>
          <cell r="AH96">
            <v>60614.49</v>
          </cell>
          <cell r="AI96">
            <v>109171.23</v>
          </cell>
          <cell r="AJ96">
            <v>168811.56</v>
          </cell>
          <cell r="AK96">
            <v>209536.01</v>
          </cell>
          <cell r="AL96">
            <v>268380.93</v>
          </cell>
          <cell r="AM96">
            <v>314365.94</v>
          </cell>
          <cell r="AN96">
            <v>362665.83</v>
          </cell>
          <cell r="AO96">
            <v>408737.47000000003</v>
          </cell>
          <cell r="AP96">
            <v>408737.47000000003</v>
          </cell>
          <cell r="AQ96">
            <v>408737.47000000003</v>
          </cell>
          <cell r="AR96">
            <v>408737.47000000003</v>
          </cell>
          <cell r="AS96">
            <v>408737.47000000003</v>
          </cell>
          <cell r="AW96">
            <v>15469.6</v>
          </cell>
          <cell r="AX96">
            <v>29301.35</v>
          </cell>
          <cell r="AY96">
            <v>44653.63</v>
          </cell>
          <cell r="AZ96">
            <v>59139.46</v>
          </cell>
          <cell r="BA96">
            <v>75121.759999999995</v>
          </cell>
          <cell r="BB96">
            <v>89607.59</v>
          </cell>
          <cell r="BC96">
            <v>103208.84999999999</v>
          </cell>
          <cell r="BD96">
            <v>119191.15</v>
          </cell>
          <cell r="BE96">
            <v>119191.15</v>
          </cell>
          <cell r="BF96">
            <v>119191.15</v>
          </cell>
          <cell r="BG96">
            <v>119191.15</v>
          </cell>
          <cell r="BH96">
            <v>119191.15</v>
          </cell>
          <cell r="BL96">
            <v>9520.7800000000007</v>
          </cell>
          <cell r="BM96">
            <v>17602.09</v>
          </cell>
          <cell r="BN96">
            <v>28201.190000000002</v>
          </cell>
          <cell r="BO96">
            <v>37915.64</v>
          </cell>
          <cell r="BP96">
            <v>48727.6</v>
          </cell>
          <cell r="BQ96">
            <v>57974.3</v>
          </cell>
          <cell r="BR96">
            <v>68216.22</v>
          </cell>
          <cell r="BS96">
            <v>79028.179999999993</v>
          </cell>
          <cell r="BT96">
            <v>79028.179999999993</v>
          </cell>
          <cell r="BU96">
            <v>79028.179999999993</v>
          </cell>
          <cell r="BV96">
            <v>79028.179999999993</v>
          </cell>
          <cell r="BW96">
            <v>79028.179999999993</v>
          </cell>
          <cell r="CP96">
            <v>56311.967011860012</v>
          </cell>
          <cell r="CQ96">
            <v>107249.65936799999</v>
          </cell>
          <cell r="CR96">
            <v>162801.67477320001</v>
          </cell>
          <cell r="CS96">
            <v>221967.31448798999</v>
          </cell>
          <cell r="CT96">
            <v>263692.48190359998</v>
          </cell>
          <cell r="CU96">
            <v>318113.74309080001</v>
          </cell>
          <cell r="CV96">
            <v>363097.2631328</v>
          </cell>
          <cell r="CW96">
            <v>413444.33350140002</v>
          </cell>
          <cell r="DE96">
            <v>15869.336687819998</v>
          </cell>
          <cell r="DF96">
            <v>28611.907815999999</v>
          </cell>
          <cell r="DG96">
            <v>48095.0039884</v>
          </cell>
          <cell r="DH96">
            <v>59488.009947309998</v>
          </cell>
          <cell r="DI96">
            <v>74253.1139884</v>
          </cell>
          <cell r="DJ96">
            <v>88921.183206799993</v>
          </cell>
          <cell r="DK96">
            <v>103129.1285888</v>
          </cell>
          <cell r="DL96">
            <v>117081.8308998</v>
          </cell>
          <cell r="DT96">
            <v>10735.139124359999</v>
          </cell>
          <cell r="DU96">
            <v>18411.164367999998</v>
          </cell>
          <cell r="DV96">
            <v>27826.032023200001</v>
          </cell>
          <cell r="DW96">
            <v>38236.211355380001</v>
          </cell>
          <cell r="DX96">
            <v>48139.582023199997</v>
          </cell>
          <cell r="DY96">
            <v>58062.503586399995</v>
          </cell>
          <cell r="DZ96">
            <v>67121.222822399999</v>
          </cell>
          <cell r="EA96">
            <v>77600.8832004</v>
          </cell>
          <cell r="EX96">
            <v>43520.23</v>
          </cell>
          <cell r="EY96">
            <v>91095.75</v>
          </cell>
          <cell r="EZ96">
            <v>146473.41999999998</v>
          </cell>
          <cell r="FA96">
            <v>192321.74</v>
          </cell>
          <cell r="FB96">
            <v>238631.3</v>
          </cell>
          <cell r="FC96">
            <v>291281.73</v>
          </cell>
          <cell r="FD96">
            <v>351373.38</v>
          </cell>
          <cell r="FE96">
            <v>399601.99</v>
          </cell>
          <cell r="FF96">
            <v>449862.38</v>
          </cell>
          <cell r="FG96">
            <v>498806.29000000004</v>
          </cell>
          <cell r="FH96">
            <v>549913.92000000004</v>
          </cell>
          <cell r="FI96">
            <v>597512.75</v>
          </cell>
          <cell r="FM96">
            <v>12713.2</v>
          </cell>
          <cell r="FN96">
            <v>23855.370000000003</v>
          </cell>
          <cell r="FO96">
            <v>39232.14</v>
          </cell>
          <cell r="FP96">
            <v>53963.369999999995</v>
          </cell>
          <cell r="FQ96">
            <v>66230.599999999991</v>
          </cell>
          <cell r="FR96">
            <v>82944.289999999994</v>
          </cell>
          <cell r="FS96">
            <v>95933.28</v>
          </cell>
          <cell r="FT96">
            <v>113430.09</v>
          </cell>
          <cell r="FU96">
            <v>127679.62</v>
          </cell>
          <cell r="FV96">
            <v>142510.38999999998</v>
          </cell>
          <cell r="FW96">
            <v>156895</v>
          </cell>
          <cell r="FX96">
            <v>170308.88</v>
          </cell>
          <cell r="GB96">
            <v>13559.35</v>
          </cell>
          <cell r="GC96">
            <v>20816.060000000001</v>
          </cell>
          <cell r="GD96">
            <v>31241.910000000003</v>
          </cell>
          <cell r="GE96">
            <v>41919.270000000004</v>
          </cell>
          <cell r="GF96">
            <v>50678.880000000005</v>
          </cell>
          <cell r="GG96">
            <v>60397.020000000004</v>
          </cell>
          <cell r="GH96">
            <v>68024.23000000001</v>
          </cell>
          <cell r="GI96">
            <v>79973.100000000006</v>
          </cell>
          <cell r="GJ96">
            <v>90124.890000000014</v>
          </cell>
          <cell r="GK96">
            <v>100668.03000000001</v>
          </cell>
          <cell r="GL96">
            <v>110398.81000000001</v>
          </cell>
          <cell r="GM96">
            <v>119472.91000000002</v>
          </cell>
        </row>
        <row r="97">
          <cell r="A97" t="str">
            <v>Labor - Indirect</v>
          </cell>
          <cell r="C97">
            <v>736.76733000000002</v>
          </cell>
          <cell r="D97">
            <v>0</v>
          </cell>
          <cell r="E97">
            <v>736.76733000000002</v>
          </cell>
          <cell r="F97" t="str">
            <v>n/a</v>
          </cell>
          <cell r="G97">
            <v>903.90689804645319</v>
          </cell>
          <cell r="H97">
            <v>527.77431999999999</v>
          </cell>
          <cell r="J97">
            <v>328.58877000000001</v>
          </cell>
          <cell r="K97">
            <v>0</v>
          </cell>
          <cell r="L97">
            <v>328.58877000000001</v>
          </cell>
          <cell r="M97" t="str">
            <v>n/a</v>
          </cell>
          <cell r="N97">
            <v>444.78081992234326</v>
          </cell>
          <cell r="O97">
            <v>218.44875999999999</v>
          </cell>
          <cell r="Q97">
            <v>110.53644</v>
          </cell>
          <cell r="R97">
            <v>0</v>
          </cell>
          <cell r="S97">
            <v>110.53644</v>
          </cell>
          <cell r="T97" t="str">
            <v>n/a</v>
          </cell>
          <cell r="U97">
            <v>122.96622068036996</v>
          </cell>
          <cell r="V97">
            <v>10.391029999999999</v>
          </cell>
          <cell r="X97">
            <v>297.64211999999998</v>
          </cell>
          <cell r="Y97">
            <v>0</v>
          </cell>
          <cell r="Z97">
            <v>297.64211999999998</v>
          </cell>
          <cell r="AA97" t="str">
            <v>n/a</v>
          </cell>
          <cell r="AB97">
            <v>336.15985744373995</v>
          </cell>
          <cell r="AC97">
            <v>298.93453</v>
          </cell>
          <cell r="AD97">
            <v>1056.3430772880454</v>
          </cell>
          <cell r="AE97">
            <v>772.35941999999989</v>
          </cell>
          <cell r="AH97">
            <v>46514.11</v>
          </cell>
          <cell r="AI97">
            <v>83092.850000000006</v>
          </cell>
          <cell r="AJ97">
            <v>129500.57</v>
          </cell>
          <cell r="AK97">
            <v>161329.59000000003</v>
          </cell>
          <cell r="AL97">
            <v>197120.84000000003</v>
          </cell>
          <cell r="AM97">
            <v>244611.39</v>
          </cell>
          <cell r="AN97">
            <v>297487.71000000002</v>
          </cell>
          <cell r="AO97">
            <v>328588.77</v>
          </cell>
          <cell r="AP97">
            <v>328588.77</v>
          </cell>
          <cell r="AQ97">
            <v>328588.77</v>
          </cell>
          <cell r="AR97">
            <v>328588.77</v>
          </cell>
          <cell r="AS97">
            <v>328588.77</v>
          </cell>
          <cell r="AW97">
            <v>8455.6899999999987</v>
          </cell>
          <cell r="AX97">
            <v>16640.16</v>
          </cell>
          <cell r="AY97">
            <v>28833.629999999997</v>
          </cell>
          <cell r="AZ97">
            <v>48183.06</v>
          </cell>
          <cell r="BA97">
            <v>73940.09</v>
          </cell>
          <cell r="BB97">
            <v>87244.45</v>
          </cell>
          <cell r="BC97">
            <v>98387.51</v>
          </cell>
          <cell r="BD97">
            <v>110536.44</v>
          </cell>
          <cell r="BE97">
            <v>110536.44</v>
          </cell>
          <cell r="BF97">
            <v>110536.44</v>
          </cell>
          <cell r="BG97">
            <v>110536.44</v>
          </cell>
          <cell r="BH97">
            <v>110536.44</v>
          </cell>
          <cell r="BL97">
            <v>33468.840000000004</v>
          </cell>
          <cell r="BM97">
            <v>68405.540000000008</v>
          </cell>
          <cell r="BN97">
            <v>108073.96</v>
          </cell>
          <cell r="BO97">
            <v>151281.35</v>
          </cell>
          <cell r="BP97">
            <v>195044.25</v>
          </cell>
          <cell r="BQ97">
            <v>232353.33</v>
          </cell>
          <cell r="BR97">
            <v>263527.18</v>
          </cell>
          <cell r="BS97">
            <v>297642.12</v>
          </cell>
          <cell r="BT97">
            <v>297642.12</v>
          </cell>
          <cell r="BU97">
            <v>297642.12</v>
          </cell>
          <cell r="BV97">
            <v>297642.12</v>
          </cell>
          <cell r="BW97">
            <v>297642.12</v>
          </cell>
          <cell r="CP97">
            <v>46728.017329108596</v>
          </cell>
          <cell r="CQ97">
            <v>82757.18356385667</v>
          </cell>
          <cell r="CR97">
            <v>134499.62105167404</v>
          </cell>
          <cell r="CS97">
            <v>168500.38375752297</v>
          </cell>
          <cell r="CT97">
            <v>201643.06061450572</v>
          </cell>
          <cell r="CU97">
            <v>233928.79143063567</v>
          </cell>
          <cell r="CV97">
            <v>280795.13476054568</v>
          </cell>
          <cell r="CW97">
            <v>334871.22730840329</v>
          </cell>
          <cell r="DE97">
            <v>14375.502952043633</v>
          </cell>
          <cell r="DF97">
            <v>20828.757879051802</v>
          </cell>
          <cell r="DG97">
            <v>34386.840324819641</v>
          </cell>
          <cell r="DH97">
            <v>44421.025547139056</v>
          </cell>
          <cell r="DI97">
            <v>64117.06841942489</v>
          </cell>
          <cell r="DJ97">
            <v>88669.691890199538</v>
          </cell>
          <cell r="DK97">
            <v>101715.37294369085</v>
          </cell>
          <cell r="DL97">
            <v>113179.19394697537</v>
          </cell>
          <cell r="DT97">
            <v>39649.624211312919</v>
          </cell>
          <cell r="DU97">
            <v>66302.860095338197</v>
          </cell>
          <cell r="DV97">
            <v>109706.22430129227</v>
          </cell>
          <cell r="DW97">
            <v>148105.33988787132</v>
          </cell>
          <cell r="DX97">
            <v>192151.78878740274</v>
          </cell>
          <cell r="DY97">
            <v>232360.73758849816</v>
          </cell>
          <cell r="DZ97">
            <v>261480.96399149683</v>
          </cell>
          <cell r="EA97">
            <v>290759.52575075463</v>
          </cell>
          <cell r="EX97">
            <v>20932.48</v>
          </cell>
          <cell r="EY97">
            <v>45146.19</v>
          </cell>
          <cell r="EZ97">
            <v>71860.600000000006</v>
          </cell>
          <cell r="FA97">
            <v>94455.670000000013</v>
          </cell>
          <cell r="FB97">
            <v>117555.34000000001</v>
          </cell>
          <cell r="FC97">
            <v>142612.47</v>
          </cell>
          <cell r="FD97">
            <v>169337.86</v>
          </cell>
          <cell r="FE97">
            <v>195081.88999999998</v>
          </cell>
          <cell r="FF97">
            <v>218448.75999999998</v>
          </cell>
          <cell r="FG97">
            <v>241568.93999999997</v>
          </cell>
          <cell r="FH97">
            <v>271893.00999999995</v>
          </cell>
          <cell r="FI97">
            <v>306405.36999999994</v>
          </cell>
          <cell r="FM97">
            <v>293.22000000000003</v>
          </cell>
          <cell r="FN97">
            <v>550.21</v>
          </cell>
          <cell r="FO97">
            <v>904.87000000000012</v>
          </cell>
          <cell r="FP97">
            <v>1223.0800000000002</v>
          </cell>
          <cell r="FQ97">
            <v>1526.5800000000002</v>
          </cell>
          <cell r="FR97">
            <v>1893.15</v>
          </cell>
          <cell r="FS97">
            <v>2168.3200000000002</v>
          </cell>
          <cell r="FT97">
            <v>2757.04</v>
          </cell>
          <cell r="FU97">
            <v>10391.029999999999</v>
          </cell>
          <cell r="FV97">
            <v>21607.89</v>
          </cell>
          <cell r="FW97">
            <v>32487.33</v>
          </cell>
          <cell r="FX97">
            <v>42632.58</v>
          </cell>
          <cell r="GB97">
            <v>29533.279999999999</v>
          </cell>
          <cell r="GC97">
            <v>55048.72</v>
          </cell>
          <cell r="GD97">
            <v>91806.989999999991</v>
          </cell>
          <cell r="GE97">
            <v>129451.97</v>
          </cell>
          <cell r="GF97">
            <v>160335.56</v>
          </cell>
          <cell r="GG97">
            <v>196957.2</v>
          </cell>
          <cell r="GH97">
            <v>219670.71000000002</v>
          </cell>
          <cell r="GI97">
            <v>262690.12</v>
          </cell>
          <cell r="GJ97">
            <v>298934.52999999997</v>
          </cell>
          <cell r="GK97">
            <v>345182.55999999994</v>
          </cell>
          <cell r="GL97">
            <v>388344.66999999993</v>
          </cell>
          <cell r="GM97">
            <v>423321.46999999991</v>
          </cell>
        </row>
        <row r="98">
          <cell r="A98" t="str">
            <v>Overtime</v>
          </cell>
          <cell r="C98">
            <v>407.72921749999989</v>
          </cell>
          <cell r="D98">
            <v>0</v>
          </cell>
          <cell r="E98">
            <v>407.72921749999989</v>
          </cell>
          <cell r="F98" t="str">
            <v>n/a</v>
          </cell>
          <cell r="G98">
            <v>259.95611694359769</v>
          </cell>
          <cell r="H98">
            <v>326.07736899999998</v>
          </cell>
          <cell r="J98">
            <v>398.99609549999991</v>
          </cell>
          <cell r="K98">
            <v>0</v>
          </cell>
          <cell r="L98">
            <v>398.99609549999991</v>
          </cell>
          <cell r="M98" t="str">
            <v>n/a</v>
          </cell>
          <cell r="N98">
            <v>254.82980127625154</v>
          </cell>
          <cell r="O98">
            <v>307.69748899999996</v>
          </cell>
          <cell r="Q98">
            <v>7.0784659999999997</v>
          </cell>
          <cell r="R98">
            <v>0</v>
          </cell>
          <cell r="S98">
            <v>7.0784659999999997</v>
          </cell>
          <cell r="T98" t="str">
            <v>n/a</v>
          </cell>
          <cell r="U98">
            <v>3.5410753664566865</v>
          </cell>
          <cell r="V98">
            <v>14.237190000000002</v>
          </cell>
          <cell r="X98">
            <v>1.6546559999999999</v>
          </cell>
          <cell r="Y98">
            <v>0</v>
          </cell>
          <cell r="Z98">
            <v>1.6546559999999999</v>
          </cell>
          <cell r="AA98" t="str">
            <v>n/a</v>
          </cell>
          <cell r="AB98">
            <v>1.5852403008894269</v>
          </cell>
          <cell r="AC98">
            <v>4.14269</v>
          </cell>
          <cell r="AD98">
            <v>462.28888903322832</v>
          </cell>
          <cell r="AE98">
            <v>411.16758899999996</v>
          </cell>
          <cell r="AH98">
            <v>14632.41</v>
          </cell>
          <cell r="AI98">
            <v>50613.39</v>
          </cell>
          <cell r="AJ98">
            <v>145535.27000000002</v>
          </cell>
          <cell r="AK98">
            <v>218588.74600000004</v>
          </cell>
          <cell r="AL98">
            <v>320527.64600000007</v>
          </cell>
          <cell r="AM98">
            <v>372502.89200000005</v>
          </cell>
          <cell r="AN98">
            <v>377848.02149999997</v>
          </cell>
          <cell r="AO98">
            <v>398996.09549999994</v>
          </cell>
          <cell r="AP98">
            <v>398996.09549999994</v>
          </cell>
          <cell r="AQ98">
            <v>398996.09549999994</v>
          </cell>
          <cell r="AR98">
            <v>398996.09549999994</v>
          </cell>
          <cell r="AS98">
            <v>398996.09549999994</v>
          </cell>
          <cell r="AW98">
            <v>207.51</v>
          </cell>
          <cell r="AX98">
            <v>1586</v>
          </cell>
          <cell r="AY98">
            <v>4929.8600000000006</v>
          </cell>
          <cell r="AZ98">
            <v>5259.7520000000004</v>
          </cell>
          <cell r="BA98">
            <v>6729.0120000000006</v>
          </cell>
          <cell r="BB98">
            <v>7098.1140000000005</v>
          </cell>
          <cell r="BC98">
            <v>7011.0879999999997</v>
          </cell>
          <cell r="BD98">
            <v>7078.4659999999994</v>
          </cell>
          <cell r="BE98">
            <v>7078.4659999999994</v>
          </cell>
          <cell r="BF98">
            <v>7078.4659999999994</v>
          </cell>
          <cell r="BG98">
            <v>7078.4659999999994</v>
          </cell>
          <cell r="BH98">
            <v>7078.4659999999994</v>
          </cell>
          <cell r="BL98">
            <v>0</v>
          </cell>
          <cell r="BM98">
            <v>284.52</v>
          </cell>
          <cell r="BN98">
            <v>655.8</v>
          </cell>
          <cell r="BO98">
            <v>888.79199999999992</v>
          </cell>
          <cell r="BP98">
            <v>1194.4119999999998</v>
          </cell>
          <cell r="BQ98">
            <v>1418.3339999999998</v>
          </cell>
          <cell r="BR98">
            <v>1525.9379999999999</v>
          </cell>
          <cell r="BS98">
            <v>1654.6559999999999</v>
          </cell>
          <cell r="BT98">
            <v>1654.6559999999999</v>
          </cell>
          <cell r="BU98">
            <v>1654.6559999999999</v>
          </cell>
          <cell r="BV98">
            <v>1654.6559999999999</v>
          </cell>
          <cell r="BW98">
            <v>1654.6559999999999</v>
          </cell>
          <cell r="CP98">
            <v>22978.89824820037</v>
          </cell>
          <cell r="CQ98">
            <v>64731.898411714224</v>
          </cell>
          <cell r="CR98">
            <v>121056.39269267143</v>
          </cell>
          <cell r="CS98">
            <v>190235.36367973045</v>
          </cell>
          <cell r="CT98">
            <v>258382.80720777667</v>
          </cell>
          <cell r="CU98">
            <v>385135.133347422</v>
          </cell>
          <cell r="CV98">
            <v>397785.27393979923</v>
          </cell>
          <cell r="CW98">
            <v>413270.46163464943</v>
          </cell>
          <cell r="DE98">
            <v>465.08420710336247</v>
          </cell>
          <cell r="DF98">
            <v>645.47198356421904</v>
          </cell>
          <cell r="DG98">
            <v>2732.6900934493792</v>
          </cell>
          <cell r="DH98">
            <v>5366.0080502164128</v>
          </cell>
          <cell r="DI98">
            <v>5874.4673149360533</v>
          </cell>
          <cell r="DJ98">
            <v>7360.2811929248073</v>
          </cell>
          <cell r="DK98">
            <v>7334.9436378238706</v>
          </cell>
          <cell r="DL98">
            <v>7281.3707173862704</v>
          </cell>
          <cell r="DT98">
            <v>271.52627328947096</v>
          </cell>
          <cell r="DU98">
            <v>245.32318624608632</v>
          </cell>
          <cell r="DV98">
            <v>680.95035245276858</v>
          </cell>
          <cell r="DW98">
            <v>1079.0010057397828</v>
          </cell>
          <cell r="DX98">
            <v>1252.6503620586504</v>
          </cell>
          <cell r="DY98">
            <v>1568.0688277619706</v>
          </cell>
          <cell r="DZ98">
            <v>1648.0771629052695</v>
          </cell>
          <cell r="EA98">
            <v>1788.8061881483836</v>
          </cell>
          <cell r="EX98">
            <v>28671.57</v>
          </cell>
          <cell r="EY98">
            <v>63087.457000000002</v>
          </cell>
          <cell r="EZ98">
            <v>137804.43900000001</v>
          </cell>
          <cell r="FA98">
            <v>187572.55900000001</v>
          </cell>
          <cell r="FB98">
            <v>225253.829</v>
          </cell>
          <cell r="FC98">
            <v>238151.62899999999</v>
          </cell>
          <cell r="FD98">
            <v>256198.17899999997</v>
          </cell>
          <cell r="FE98">
            <v>274840.07899999997</v>
          </cell>
          <cell r="FF98">
            <v>307697.48899999994</v>
          </cell>
          <cell r="FG98">
            <v>352489.47899999993</v>
          </cell>
          <cell r="FH98">
            <v>382258.09399999992</v>
          </cell>
          <cell r="FI98">
            <v>388750.11399999994</v>
          </cell>
          <cell r="FM98">
            <v>1718.37</v>
          </cell>
          <cell r="FN98">
            <v>3799.77</v>
          </cell>
          <cell r="FO98">
            <v>8040.7800000000007</v>
          </cell>
          <cell r="FP98">
            <v>9222.2200000000012</v>
          </cell>
          <cell r="FQ98">
            <v>10103.480000000001</v>
          </cell>
          <cell r="FR98">
            <v>11281.680000000002</v>
          </cell>
          <cell r="FS98">
            <v>11780.400000000001</v>
          </cell>
          <cell r="FT98">
            <v>12584.570000000002</v>
          </cell>
          <cell r="FU98">
            <v>14237.190000000002</v>
          </cell>
          <cell r="FV98">
            <v>15775.440000000002</v>
          </cell>
          <cell r="FW98">
            <v>16746.213000000003</v>
          </cell>
          <cell r="FX98">
            <v>16952.243000000002</v>
          </cell>
          <cell r="GB98">
            <v>850.23</v>
          </cell>
          <cell r="GC98">
            <v>1167.3499999999999</v>
          </cell>
          <cell r="GD98">
            <v>1528.4099999999999</v>
          </cell>
          <cell r="GE98">
            <v>1857.7099999999998</v>
          </cell>
          <cell r="GF98">
            <v>2146.54</v>
          </cell>
          <cell r="GG98">
            <v>2649.12</v>
          </cell>
          <cell r="GH98">
            <v>2819.19</v>
          </cell>
          <cell r="GI98">
            <v>3614.6</v>
          </cell>
          <cell r="GJ98">
            <v>4142.6899999999996</v>
          </cell>
          <cell r="GK98">
            <v>4776.4399999999996</v>
          </cell>
          <cell r="GL98">
            <v>5197.7919999999995</v>
          </cell>
          <cell r="GM98">
            <v>5465.2319999999991</v>
          </cell>
        </row>
        <row r="99">
          <cell r="A99" t="str">
            <v>Payroll Taxes &amp; Employee Benefits</v>
          </cell>
          <cell r="C99">
            <v>503.61118999999997</v>
          </cell>
          <cell r="D99">
            <v>0</v>
          </cell>
          <cell r="E99">
            <v>503.61118999999997</v>
          </cell>
          <cell r="F99" t="str">
            <v>n/a</v>
          </cell>
          <cell r="G99">
            <v>649.44950978563293</v>
          </cell>
          <cell r="H99">
            <v>502.18691108473297</v>
          </cell>
          <cell r="J99">
            <v>382.66976</v>
          </cell>
          <cell r="K99">
            <v>0</v>
          </cell>
          <cell r="L99">
            <v>382.66976</v>
          </cell>
          <cell r="M99" t="str">
            <v>n/a</v>
          </cell>
          <cell r="N99">
            <v>491.10166991124947</v>
          </cell>
          <cell r="O99">
            <v>387.57081637352098</v>
          </cell>
          <cell r="Q99">
            <v>50.6004</v>
          </cell>
          <cell r="R99">
            <v>0</v>
          </cell>
          <cell r="S99">
            <v>50.6004</v>
          </cell>
          <cell r="T99" t="str">
            <v>n/a</v>
          </cell>
          <cell r="U99">
            <v>67.253687190347364</v>
          </cell>
          <cell r="V99">
            <v>38.275396555033709</v>
          </cell>
          <cell r="X99">
            <v>70.341029999999989</v>
          </cell>
          <cell r="Y99">
            <v>0</v>
          </cell>
          <cell r="Z99">
            <v>70.341029999999989</v>
          </cell>
          <cell r="AA99" t="str">
            <v>n/a</v>
          </cell>
          <cell r="AB99">
            <v>91.094152684036032</v>
          </cell>
          <cell r="AC99">
            <v>76.340698156178291</v>
          </cell>
          <cell r="AD99">
            <v>755.35887703209721</v>
          </cell>
          <cell r="AE99">
            <v>656.79798806825681</v>
          </cell>
          <cell r="AH99">
            <v>59501.070000000007</v>
          </cell>
          <cell r="AI99">
            <v>105240.25</v>
          </cell>
          <cell r="AJ99">
            <v>157463.6</v>
          </cell>
          <cell r="AK99">
            <v>206536.1</v>
          </cell>
          <cell r="AL99">
            <v>258437.57</v>
          </cell>
          <cell r="AM99">
            <v>303103.17</v>
          </cell>
          <cell r="AN99">
            <v>341652.86</v>
          </cell>
          <cell r="AO99">
            <v>382669.76</v>
          </cell>
          <cell r="AP99">
            <v>382669.76</v>
          </cell>
          <cell r="AQ99">
            <v>382669.76</v>
          </cell>
          <cell r="AR99">
            <v>382669.76</v>
          </cell>
          <cell r="AS99">
            <v>382669.76</v>
          </cell>
          <cell r="AW99">
            <v>6806.09</v>
          </cell>
          <cell r="AX99">
            <v>13378.24</v>
          </cell>
          <cell r="AY99">
            <v>21048.66</v>
          </cell>
          <cell r="AZ99">
            <v>26292.77</v>
          </cell>
          <cell r="BA99">
            <v>33518.589999999997</v>
          </cell>
          <cell r="BB99">
            <v>39352.82</v>
          </cell>
          <cell r="BC99">
            <v>44717.83</v>
          </cell>
          <cell r="BD99">
            <v>50600.4</v>
          </cell>
          <cell r="BE99">
            <v>50600.4</v>
          </cell>
          <cell r="BF99">
            <v>50600.4</v>
          </cell>
          <cell r="BG99">
            <v>50600.4</v>
          </cell>
          <cell r="BH99">
            <v>50600.4</v>
          </cell>
          <cell r="BL99">
            <v>10730.49</v>
          </cell>
          <cell r="BM99">
            <v>19220.03</v>
          </cell>
          <cell r="BN99">
            <v>28127.719999999998</v>
          </cell>
          <cell r="BO99">
            <v>36056.039999999994</v>
          </cell>
          <cell r="BP99">
            <v>45532.409999999989</v>
          </cell>
          <cell r="BQ99">
            <v>53836.76999999999</v>
          </cell>
          <cell r="BR99">
            <v>61516.079999999987</v>
          </cell>
          <cell r="BS99">
            <v>70341.029999999984</v>
          </cell>
          <cell r="BT99">
            <v>70341.029999999984</v>
          </cell>
          <cell r="BU99">
            <v>70341.029999999984</v>
          </cell>
          <cell r="BV99">
            <v>70341.029999999984</v>
          </cell>
          <cell r="BW99">
            <v>70341.029999999984</v>
          </cell>
          <cell r="CP99">
            <v>56704.884523641012</v>
          </cell>
          <cell r="CQ99">
            <v>111986.90021115771</v>
          </cell>
          <cell r="CR99">
            <v>165940.25762509304</v>
          </cell>
          <cell r="CS99">
            <v>214562.27987283058</v>
          </cell>
          <cell r="CT99">
            <v>266654.24145761918</v>
          </cell>
          <cell r="CU99">
            <v>315754.47878614889</v>
          </cell>
          <cell r="CV99">
            <v>355159.59017038078</v>
          </cell>
          <cell r="CW99">
            <v>394450.73859030136</v>
          </cell>
          <cell r="DE99">
            <v>9140.5098906585335</v>
          </cell>
          <cell r="DF99">
            <v>14772.768926910521</v>
          </cell>
          <cell r="DG99">
            <v>22560.310566194436</v>
          </cell>
          <cell r="DH99">
            <v>28116.91495054683</v>
          </cell>
          <cell r="DI99">
            <v>34566.667753786016</v>
          </cell>
          <cell r="DJ99">
            <v>41249.836943617047</v>
          </cell>
          <cell r="DK99">
            <v>47079.546807772342</v>
          </cell>
          <cell r="DL99">
            <v>52711.5367177796</v>
          </cell>
          <cell r="DT99">
            <v>10597.707022100672</v>
          </cell>
          <cell r="DU99">
            <v>19912.143888280982</v>
          </cell>
          <cell r="DV99">
            <v>29860.1293883982</v>
          </cell>
          <cell r="DW99">
            <v>38462.7315575959</v>
          </cell>
          <cell r="DX99">
            <v>47046.453903878384</v>
          </cell>
          <cell r="DY99">
            <v>55768.154131734293</v>
          </cell>
          <cell r="DZ99">
            <v>63714.220899614389</v>
          </cell>
          <cell r="EA99">
            <v>70178.474707756308</v>
          </cell>
          <cell r="EX99">
            <v>45025.25331054502</v>
          </cell>
          <cell r="EY99">
            <v>89215.118497633783</v>
          </cell>
          <cell r="EZ99">
            <v>141463.89145035343</v>
          </cell>
          <cell r="FA99">
            <v>187112.44361719524</v>
          </cell>
          <cell r="FB99">
            <v>225984.68866094342</v>
          </cell>
          <cell r="FC99">
            <v>273997.72009880241</v>
          </cell>
          <cell r="FD99">
            <v>316345.1661980853</v>
          </cell>
          <cell r="FE99">
            <v>355554.2425826785</v>
          </cell>
          <cell r="FF99">
            <v>387570.816373521</v>
          </cell>
          <cell r="FG99">
            <v>429176.01106038789</v>
          </cell>
          <cell r="FH99">
            <v>469431.36885167763</v>
          </cell>
          <cell r="FI99">
            <v>505587.7659741891</v>
          </cell>
          <cell r="FM99">
            <v>4355.4329825899758</v>
          </cell>
          <cell r="FN99">
            <v>8684.1728266696955</v>
          </cell>
          <cell r="FO99">
            <v>13611.917069378393</v>
          </cell>
          <cell r="FP99">
            <v>17660.589087938919</v>
          </cell>
          <cell r="FQ99">
            <v>21089.75178055136</v>
          </cell>
          <cell r="FR99">
            <v>26642.446771627547</v>
          </cell>
          <cell r="FS99">
            <v>30915.006085603156</v>
          </cell>
          <cell r="FT99">
            <v>34319.99224822929</v>
          </cell>
          <cell r="FU99">
            <v>38275.396555033709</v>
          </cell>
          <cell r="FV99">
            <v>42469.904151934876</v>
          </cell>
          <cell r="FW99">
            <v>46845.305148374428</v>
          </cell>
          <cell r="FX99">
            <v>52642.992431588995</v>
          </cell>
          <cell r="GB99">
            <v>9130.3787057288155</v>
          </cell>
          <cell r="GC99">
            <v>17686.089952432616</v>
          </cell>
          <cell r="GD99">
            <v>27312.40679372639</v>
          </cell>
          <cell r="GE99">
            <v>34413.407339803896</v>
          </cell>
          <cell r="GF99">
            <v>42491.457255139831</v>
          </cell>
          <cell r="GG99">
            <v>53518.497267598694</v>
          </cell>
          <cell r="GH99">
            <v>62771.086277235838</v>
          </cell>
          <cell r="GI99">
            <v>69982.232228070148</v>
          </cell>
          <cell r="GJ99">
            <v>76340.698156178289</v>
          </cell>
          <cell r="GK99">
            <v>83667.050046752847</v>
          </cell>
          <cell r="GL99">
            <v>91902.243186503852</v>
          </cell>
          <cell r="GM99">
            <v>98567.229662478727</v>
          </cell>
        </row>
        <row r="100">
          <cell r="A100" t="str">
            <v>Other Cost of Sales</v>
          </cell>
          <cell r="C100">
            <v>855.85079000000007</v>
          </cell>
          <cell r="D100">
            <v>0</v>
          </cell>
          <cell r="E100">
            <v>855.85079000000007</v>
          </cell>
          <cell r="F100" t="str">
            <v>n/a</v>
          </cell>
          <cell r="G100">
            <v>1077.858997673964</v>
          </cell>
          <cell r="H100">
            <v>897.39625099999989</v>
          </cell>
          <cell r="J100">
            <v>665.2003370000001</v>
          </cell>
          <cell r="K100">
            <v>0</v>
          </cell>
          <cell r="L100">
            <v>665.2003370000001</v>
          </cell>
          <cell r="M100" t="str">
            <v>n/a</v>
          </cell>
          <cell r="N100">
            <v>827.45623867373774</v>
          </cell>
          <cell r="O100">
            <v>734.36892099999989</v>
          </cell>
          <cell r="Q100">
            <v>105.30198300000001</v>
          </cell>
          <cell r="R100">
            <v>0</v>
          </cell>
          <cell r="S100">
            <v>105.30198300000001</v>
          </cell>
          <cell r="T100" t="str">
            <v>n/a</v>
          </cell>
          <cell r="U100">
            <v>138.3636388482856</v>
          </cell>
          <cell r="V100">
            <v>16.553349999999998</v>
          </cell>
          <cell r="X100">
            <v>85.348470000000006</v>
          </cell>
          <cell r="Y100">
            <v>0</v>
          </cell>
          <cell r="Z100">
            <v>85.348470000000006</v>
          </cell>
          <cell r="AA100" t="str">
            <v>n/a</v>
          </cell>
          <cell r="AB100">
            <v>112.03912015194061</v>
          </cell>
          <cell r="AC100">
            <v>146.47397999999998</v>
          </cell>
          <cell r="AD100">
            <v>1318.5819820000002</v>
          </cell>
          <cell r="AE100">
            <v>1234.9669209999997</v>
          </cell>
          <cell r="AH100">
            <v>65114.654999999999</v>
          </cell>
          <cell r="AI100">
            <v>140625.435</v>
          </cell>
          <cell r="AJ100">
            <v>231361.946</v>
          </cell>
          <cell r="AK100">
            <v>300596.45699999999</v>
          </cell>
          <cell r="AL100">
            <v>379562.462</v>
          </cell>
          <cell r="AM100">
            <v>479889.00699999998</v>
          </cell>
          <cell r="AN100">
            <v>595316.799</v>
          </cell>
          <cell r="AO100">
            <v>665200.33700000006</v>
          </cell>
          <cell r="AP100">
            <v>665200.33700000006</v>
          </cell>
          <cell r="AQ100">
            <v>665200.33700000006</v>
          </cell>
          <cell r="AR100">
            <v>665200.33700000006</v>
          </cell>
          <cell r="AS100">
            <v>665200.33700000006</v>
          </cell>
          <cell r="AW100">
            <v>12834.455</v>
          </cell>
          <cell r="AX100">
            <v>25289.044999999998</v>
          </cell>
          <cell r="AY100">
            <v>33470.023999999998</v>
          </cell>
          <cell r="AZ100">
            <v>48257.352999999996</v>
          </cell>
          <cell r="BA100">
            <v>60951.967999999993</v>
          </cell>
          <cell r="BB100">
            <v>77105.192999999999</v>
          </cell>
          <cell r="BC100">
            <v>92795.611000000004</v>
          </cell>
          <cell r="BD100">
            <v>105301.98300000001</v>
          </cell>
          <cell r="BE100">
            <v>105301.98300000001</v>
          </cell>
          <cell r="BF100">
            <v>105301.98300000001</v>
          </cell>
          <cell r="BG100">
            <v>105301.98300000001</v>
          </cell>
          <cell r="BH100">
            <v>105301.98300000001</v>
          </cell>
          <cell r="BL100">
            <v>10009.16</v>
          </cell>
          <cell r="BM100">
            <v>19088.72</v>
          </cell>
          <cell r="BN100">
            <v>33847.589999999997</v>
          </cell>
          <cell r="BO100">
            <v>43809.899999999994</v>
          </cell>
          <cell r="BP100">
            <v>51611.539999999994</v>
          </cell>
          <cell r="BQ100">
            <v>63533.02</v>
          </cell>
          <cell r="BR100">
            <v>75241.11</v>
          </cell>
          <cell r="BS100">
            <v>85348.47</v>
          </cell>
          <cell r="BT100">
            <v>85348.47</v>
          </cell>
          <cell r="BU100">
            <v>85348.47</v>
          </cell>
          <cell r="BV100">
            <v>85348.47</v>
          </cell>
          <cell r="BW100">
            <v>85348.47</v>
          </cell>
          <cell r="CP100">
            <v>93108.58770435481</v>
          </cell>
          <cell r="CQ100">
            <v>158230.5273138622</v>
          </cell>
          <cell r="CR100">
            <v>241149.43800561901</v>
          </cell>
          <cell r="CS100">
            <v>326258.79493780847</v>
          </cell>
          <cell r="CT100">
            <v>395058.22302956536</v>
          </cell>
          <cell r="CU100">
            <v>473574.63468834932</v>
          </cell>
          <cell r="CV100">
            <v>570409.03377607779</v>
          </cell>
          <cell r="CW100">
            <v>689694.83377607772</v>
          </cell>
          <cell r="DE100">
            <v>15461.397413361301</v>
          </cell>
          <cell r="DF100">
            <v>29573.390425097794</v>
          </cell>
          <cell r="DG100">
            <v>42514.361016499388</v>
          </cell>
          <cell r="DH100">
            <v>50243.817446628585</v>
          </cell>
          <cell r="DI100">
            <v>65119.68703803017</v>
          </cell>
          <cell r="DJ100">
            <v>77608.604995038113</v>
          </cell>
          <cell r="DK100">
            <v>92836.279091718112</v>
          </cell>
          <cell r="DL100">
            <v>108726.14709171811</v>
          </cell>
          <cell r="DT100">
            <v>12516.91792228389</v>
          </cell>
          <cell r="DU100">
            <v>22519.204527706672</v>
          </cell>
          <cell r="DV100">
            <v>31640.693511214948</v>
          </cell>
          <cell r="DW100">
            <v>45964.137615562933</v>
          </cell>
          <cell r="DX100">
            <v>56020.836599071205</v>
          </cell>
          <cell r="DY100">
            <v>63382.001516612559</v>
          </cell>
          <cell r="DZ100">
            <v>74370.217132204096</v>
          </cell>
          <cell r="EA100">
            <v>86284.817132204102</v>
          </cell>
          <cell r="EX100">
            <v>81077.152999999991</v>
          </cell>
          <cell r="EY100">
            <v>139320.47399999999</v>
          </cell>
          <cell r="EZ100">
            <v>229896.67199999996</v>
          </cell>
          <cell r="FA100">
            <v>302663.68899999995</v>
          </cell>
          <cell r="FB100">
            <v>390945.16499999992</v>
          </cell>
          <cell r="FC100">
            <v>517653.52099999995</v>
          </cell>
          <cell r="FD100">
            <v>578101.45099999988</v>
          </cell>
          <cell r="FE100">
            <v>649763.67099999986</v>
          </cell>
          <cell r="FF100">
            <v>734368.92099999986</v>
          </cell>
          <cell r="FG100">
            <v>814269.96199999982</v>
          </cell>
          <cell r="FH100">
            <v>902348.65199999977</v>
          </cell>
          <cell r="FI100">
            <v>993333.84199999971</v>
          </cell>
          <cell r="FM100">
            <v>7993.2599999999993</v>
          </cell>
          <cell r="FN100">
            <v>-11780.420000000002</v>
          </cell>
          <cell r="FO100">
            <v>-7446.1300000000019</v>
          </cell>
          <cell r="FP100">
            <v>-4868.970000000003</v>
          </cell>
          <cell r="FQ100">
            <v>-2934.180000000003</v>
          </cell>
          <cell r="FR100">
            <v>-786.33000000000311</v>
          </cell>
          <cell r="FS100">
            <v>3302.8299999999967</v>
          </cell>
          <cell r="FT100">
            <v>8089.1999999999971</v>
          </cell>
          <cell r="FU100">
            <v>16553.349999999999</v>
          </cell>
          <cell r="FV100">
            <v>27520.129000000001</v>
          </cell>
          <cell r="FW100">
            <v>39251.779000000002</v>
          </cell>
          <cell r="FX100">
            <v>58248.739000000001</v>
          </cell>
          <cell r="GB100">
            <v>16652.089999999997</v>
          </cell>
          <cell r="GC100">
            <v>36001.369999999995</v>
          </cell>
          <cell r="GD100">
            <v>49602.959999999992</v>
          </cell>
          <cell r="GE100">
            <v>67552.28</v>
          </cell>
          <cell r="GF100">
            <v>85557.28</v>
          </cell>
          <cell r="GG100">
            <v>112894.82999999999</v>
          </cell>
          <cell r="GH100">
            <v>120651.69999999998</v>
          </cell>
          <cell r="GI100">
            <v>131494.77999999997</v>
          </cell>
          <cell r="GJ100">
            <v>146473.97999999998</v>
          </cell>
          <cell r="GK100">
            <v>153452.03999999998</v>
          </cell>
          <cell r="GL100">
            <v>165378.99999999997</v>
          </cell>
          <cell r="GM100">
            <v>183384.33999999997</v>
          </cell>
        </row>
        <row r="101">
          <cell r="A101" t="str">
            <v>Cost of Sales</v>
          </cell>
          <cell r="C101">
            <v>5349.55044</v>
          </cell>
          <cell r="D101">
            <v>0</v>
          </cell>
          <cell r="E101">
            <v>5349.55044</v>
          </cell>
          <cell r="F101" t="str">
            <v>n/a</v>
          </cell>
          <cell r="G101">
            <v>6296.8218772948476</v>
          </cell>
          <cell r="H101">
            <v>5379.3605420847334</v>
          </cell>
          <cell r="J101">
            <v>3950.0968169999996</v>
          </cell>
          <cell r="K101">
            <v>0</v>
          </cell>
          <cell r="L101">
            <v>3950.0968169999996</v>
          </cell>
          <cell r="M101" t="str">
            <v>n/a</v>
          </cell>
          <cell r="N101">
            <v>4694.733669677682</v>
          </cell>
          <cell r="O101">
            <v>4087.7277773735209</v>
          </cell>
          <cell r="Q101">
            <v>633.00398300000006</v>
          </cell>
          <cell r="R101">
            <v>0</v>
          </cell>
          <cell r="S101">
            <v>633.00398300000006</v>
          </cell>
          <cell r="T101" t="str">
            <v>n/a</v>
          </cell>
          <cell r="U101">
            <v>716.27303086805966</v>
          </cell>
          <cell r="V101">
            <v>374.1500565550337</v>
          </cell>
          <cell r="X101">
            <v>766.44963999999993</v>
          </cell>
          <cell r="Y101">
            <v>0</v>
          </cell>
          <cell r="Z101">
            <v>766.44963999999993</v>
          </cell>
          <cell r="AA101" t="str">
            <v>n/a</v>
          </cell>
          <cell r="AB101">
            <v>885.81517674910583</v>
          </cell>
          <cell r="AC101">
            <v>917.48270815617821</v>
          </cell>
          <cell r="AD101">
            <v>7814.6252837453503</v>
          </cell>
          <cell r="AE101">
            <v>7230.0308590682562</v>
          </cell>
          <cell r="AH101">
            <v>458649.23499999999</v>
          </cell>
          <cell r="AI101">
            <v>909107.875</v>
          </cell>
          <cell r="AJ101">
            <v>1493582.2560000001</v>
          </cell>
          <cell r="AK101">
            <v>1995872.6270000001</v>
          </cell>
          <cell r="AL101">
            <v>2570579.3919999995</v>
          </cell>
          <cell r="AM101">
            <v>3078217.1269999994</v>
          </cell>
          <cell r="AN101">
            <v>3531292.0389999999</v>
          </cell>
          <cell r="AO101">
            <v>3950096.8170000007</v>
          </cell>
          <cell r="AP101">
            <v>3950096.8170000007</v>
          </cell>
          <cell r="AQ101">
            <v>3950096.8170000007</v>
          </cell>
          <cell r="AR101">
            <v>3950096.8170000007</v>
          </cell>
          <cell r="AS101">
            <v>3950096.8170000007</v>
          </cell>
          <cell r="AW101">
            <v>74913.925000000003</v>
          </cell>
          <cell r="AX101">
            <v>149074.20500000002</v>
          </cell>
          <cell r="AY101">
            <v>230241.15400000004</v>
          </cell>
          <cell r="AZ101">
            <v>311930.853</v>
          </cell>
          <cell r="BA101">
            <v>415058.58799999999</v>
          </cell>
          <cell r="BB101">
            <v>485966.4530000001</v>
          </cell>
          <cell r="BC101">
            <v>558229.98100000003</v>
          </cell>
          <cell r="BD101">
            <v>633003.98300000001</v>
          </cell>
          <cell r="BE101">
            <v>633003.98300000001</v>
          </cell>
          <cell r="BF101">
            <v>633003.98300000001</v>
          </cell>
          <cell r="BG101">
            <v>633003.98300000001</v>
          </cell>
          <cell r="BH101">
            <v>633003.98300000001</v>
          </cell>
          <cell r="BL101">
            <v>94561.820000000022</v>
          </cell>
          <cell r="BM101">
            <v>179720.31</v>
          </cell>
          <cell r="BN101">
            <v>283219.25</v>
          </cell>
          <cell r="BO101">
            <v>381788.03</v>
          </cell>
          <cell r="BP101">
            <v>486669.67</v>
          </cell>
          <cell r="BQ101">
            <v>584271.03999999992</v>
          </cell>
          <cell r="BR101">
            <v>676996.82</v>
          </cell>
          <cell r="BS101">
            <v>766449.6399999999</v>
          </cell>
          <cell r="BT101">
            <v>766449.6399999999</v>
          </cell>
          <cell r="BU101">
            <v>766449.6399999999</v>
          </cell>
          <cell r="BV101">
            <v>766449.6399999999</v>
          </cell>
          <cell r="BW101">
            <v>766449.6399999999</v>
          </cell>
          <cell r="CP101">
            <v>542173.01456204487</v>
          </cell>
          <cell r="CQ101">
            <v>957800.64381259086</v>
          </cell>
          <cell r="CR101">
            <v>1504877.1437686572</v>
          </cell>
          <cell r="CS101">
            <v>2052093.3505058526</v>
          </cell>
          <cell r="CT101">
            <v>2578506.295763867</v>
          </cell>
          <cell r="CU101">
            <v>3130925.547454956</v>
          </cell>
          <cell r="CV101">
            <v>3553400.8656580029</v>
          </cell>
          <cell r="CW101">
            <v>4021197.2786122318</v>
          </cell>
          <cell r="DE101">
            <v>94460.606781114533</v>
          </cell>
          <cell r="DF101">
            <v>157994.22330816279</v>
          </cell>
          <cell r="DG101">
            <v>245831.92070083978</v>
          </cell>
          <cell r="DH101">
            <v>309928.81670338172</v>
          </cell>
          <cell r="DI101">
            <v>401748.38261066948</v>
          </cell>
          <cell r="DJ101">
            <v>498836.94772768725</v>
          </cell>
          <cell r="DK101">
            <v>564804.9066124513</v>
          </cell>
          <cell r="DL101">
            <v>638945.97269653634</v>
          </cell>
          <cell r="DT101">
            <v>103720.62948988695</v>
          </cell>
          <cell r="DU101">
            <v>183026.32261757195</v>
          </cell>
          <cell r="DV101">
            <v>283978.45119975822</v>
          </cell>
          <cell r="DW101">
            <v>385899.37998214999</v>
          </cell>
          <cell r="DX101">
            <v>490126.79567561101</v>
          </cell>
          <cell r="DY101">
            <v>586451.47565100703</v>
          </cell>
          <cell r="DZ101">
            <v>673620.48400862061</v>
          </cell>
          <cell r="EA101">
            <v>756172.39077886334</v>
          </cell>
          <cell r="EX101">
            <v>409471.45631054498</v>
          </cell>
          <cell r="EY101">
            <v>832647.21249763365</v>
          </cell>
          <cell r="EZ101">
            <v>1402239.3134503535</v>
          </cell>
          <cell r="FA101">
            <v>1854689.9926171952</v>
          </cell>
          <cell r="FB101">
            <v>2299117.8736609435</v>
          </cell>
          <cell r="FC101">
            <v>2799873.3510988019</v>
          </cell>
          <cell r="FD101">
            <v>3247493.8471980854</v>
          </cell>
          <cell r="FE101">
            <v>3656933.8135826783</v>
          </cell>
          <cell r="FF101">
            <v>4087727.7773735207</v>
          </cell>
          <cell r="FG101">
            <v>4545298.4030603878</v>
          </cell>
          <cell r="FH101">
            <v>5013891.4208516767</v>
          </cell>
          <cell r="FI101">
            <v>5435355.7979741879</v>
          </cell>
          <cell r="FM101">
            <v>44156.682982589977</v>
          </cell>
          <cell r="FN101">
            <v>57936.2328266697</v>
          </cell>
          <cell r="FO101">
            <v>111658.86706937838</v>
          </cell>
          <cell r="FP101">
            <v>160163.07908793891</v>
          </cell>
          <cell r="FQ101">
            <v>197147.32178055137</v>
          </cell>
          <cell r="FR101">
            <v>245242.57677162753</v>
          </cell>
          <cell r="FS101">
            <v>283667.16608560318</v>
          </cell>
          <cell r="FT101">
            <v>326204.05224822927</v>
          </cell>
          <cell r="FU101">
            <v>374150.05655503366</v>
          </cell>
          <cell r="FV101">
            <v>431765.47315193492</v>
          </cell>
          <cell r="FW101">
            <v>493238.21414837439</v>
          </cell>
          <cell r="FX101">
            <v>569587.89143158903</v>
          </cell>
          <cell r="GB101">
            <v>98996.808705728807</v>
          </cell>
          <cell r="GC101">
            <v>187405.86995243261</v>
          </cell>
          <cell r="GD101">
            <v>298259.86679372634</v>
          </cell>
          <cell r="GE101">
            <v>409751.87733980385</v>
          </cell>
          <cell r="GF101">
            <v>513949.1772551398</v>
          </cell>
          <cell r="GG101">
            <v>631396.32726759871</v>
          </cell>
          <cell r="GH101">
            <v>703549.42627723585</v>
          </cell>
          <cell r="GI101">
            <v>816183.20222807</v>
          </cell>
          <cell r="GJ101">
            <v>917482.70815617824</v>
          </cell>
          <cell r="GK101">
            <v>1024337.4700467528</v>
          </cell>
          <cell r="GL101">
            <v>1133367.9131865038</v>
          </cell>
          <cell r="GM101">
            <v>1225087.1696624788</v>
          </cell>
        </row>
        <row r="103">
          <cell r="A103" t="str">
            <v>Labor - Sales &amp; Marketing</v>
          </cell>
          <cell r="C103">
            <v>659.49370999999996</v>
          </cell>
          <cell r="D103">
            <v>0</v>
          </cell>
          <cell r="E103">
            <v>659.49370999999996</v>
          </cell>
          <cell r="F103" t="str">
            <v>n/a</v>
          </cell>
          <cell r="G103">
            <v>631.81354926582003</v>
          </cell>
          <cell r="H103">
            <v>574.91149999999993</v>
          </cell>
          <cell r="J103">
            <v>489.09974999999997</v>
          </cell>
          <cell r="K103">
            <v>0</v>
          </cell>
          <cell r="L103">
            <v>489.09974999999997</v>
          </cell>
          <cell r="M103" t="str">
            <v>n/a</v>
          </cell>
          <cell r="N103">
            <v>552.25748774007945</v>
          </cell>
          <cell r="O103">
            <v>410.60333999999995</v>
          </cell>
          <cell r="Q103">
            <v>49.150550000000003</v>
          </cell>
          <cell r="R103">
            <v>0</v>
          </cell>
          <cell r="S103">
            <v>49.150550000000003</v>
          </cell>
          <cell r="T103" t="str">
            <v>n/a</v>
          </cell>
          <cell r="U103">
            <v>37.733130076086411</v>
          </cell>
          <cell r="V103">
            <v>15.671710000000001</v>
          </cell>
          <cell r="X103">
            <v>121.24340999999998</v>
          </cell>
          <cell r="Y103">
            <v>0</v>
          </cell>
          <cell r="Z103">
            <v>121.24340999999998</v>
          </cell>
          <cell r="AA103" t="str">
            <v>n/a</v>
          </cell>
          <cell r="AB103">
            <v>41.822931449654106</v>
          </cell>
          <cell r="AC103">
            <v>148.63645</v>
          </cell>
          <cell r="AD103">
            <v>893.48853541513574</v>
          </cell>
          <cell r="AE103">
            <v>767.36950000000002</v>
          </cell>
          <cell r="AH103">
            <v>55409.639999999992</v>
          </cell>
          <cell r="AI103">
            <v>113806.76999999999</v>
          </cell>
          <cell r="AJ103">
            <v>193258.94</v>
          </cell>
          <cell r="AK103">
            <v>243642.11</v>
          </cell>
          <cell r="AL103">
            <v>314572.69</v>
          </cell>
          <cell r="AM103">
            <v>376888.84</v>
          </cell>
          <cell r="AN103">
            <v>441934.27</v>
          </cell>
          <cell r="AO103">
            <v>489099.75</v>
          </cell>
          <cell r="AP103">
            <v>489099.75</v>
          </cell>
          <cell r="AQ103">
            <v>489099.75</v>
          </cell>
          <cell r="AR103">
            <v>489099.75</v>
          </cell>
          <cell r="AS103">
            <v>489099.75</v>
          </cell>
          <cell r="AW103">
            <v>6746.74</v>
          </cell>
          <cell r="AX103">
            <v>13286.369999999999</v>
          </cell>
          <cell r="AY103">
            <v>19185.739999999998</v>
          </cell>
          <cell r="AZ103">
            <v>25468.25</v>
          </cell>
          <cell r="BA103">
            <v>31623.43</v>
          </cell>
          <cell r="BB103">
            <v>36764.22</v>
          </cell>
          <cell r="BC103">
            <v>44442.62</v>
          </cell>
          <cell r="BD103">
            <v>49150.55</v>
          </cell>
          <cell r="BE103">
            <v>49150.55</v>
          </cell>
          <cell r="BF103">
            <v>49150.55</v>
          </cell>
          <cell r="BG103">
            <v>49150.55</v>
          </cell>
          <cell r="BH103">
            <v>49150.55</v>
          </cell>
          <cell r="BL103">
            <v>8681.9699999999993</v>
          </cell>
          <cell r="BM103">
            <v>16518.98</v>
          </cell>
          <cell r="BN103">
            <v>34728.089999999997</v>
          </cell>
          <cell r="BO103">
            <v>52455.039999999994</v>
          </cell>
          <cell r="BP103">
            <v>69628.549999999988</v>
          </cell>
          <cell r="BQ103">
            <v>93602.349999999991</v>
          </cell>
          <cell r="BR103">
            <v>112012.10999999999</v>
          </cell>
          <cell r="BS103">
            <v>121243.40999999999</v>
          </cell>
          <cell r="BT103">
            <v>121243.40999999999</v>
          </cell>
          <cell r="BU103">
            <v>121243.40999999999</v>
          </cell>
          <cell r="BV103">
            <v>121243.40999999999</v>
          </cell>
          <cell r="BW103">
            <v>121243.40999999999</v>
          </cell>
          <cell r="CP103">
            <v>62540.966929095746</v>
          </cell>
          <cell r="CQ103">
            <v>107840.87383918228</v>
          </cell>
          <cell r="CR103">
            <v>177408.06411377038</v>
          </cell>
          <cell r="CS103">
            <v>252680.09663230312</v>
          </cell>
          <cell r="CT103">
            <v>302266.07297208597</v>
          </cell>
          <cell r="CU103">
            <v>375985.14982459322</v>
          </cell>
          <cell r="CV103">
            <v>427669.37504085281</v>
          </cell>
          <cell r="CW103">
            <v>487497.09917250485</v>
          </cell>
          <cell r="DE103">
            <v>4231.7546611823636</v>
          </cell>
          <cell r="DF103">
            <v>10785.255995276644</v>
          </cell>
          <cell r="DG103">
            <v>18831.556174123507</v>
          </cell>
          <cell r="DH103">
            <v>24100.629562515904</v>
          </cell>
          <cell r="DI103">
            <v>30475.66793744699</v>
          </cell>
          <cell r="DJ103">
            <v>36927.415455671457</v>
          </cell>
          <cell r="DK103">
            <v>41243.558055801834</v>
          </cell>
          <cell r="DL103">
            <v>49038.206052424401</v>
          </cell>
          <cell r="DT103">
            <v>4690.424164375092</v>
          </cell>
          <cell r="DU103">
            <v>12416.195308876362</v>
          </cell>
          <cell r="DV103">
            <v>34870.518844481907</v>
          </cell>
          <cell r="DW103">
            <v>52574.590622032643</v>
          </cell>
          <cell r="DX103">
            <v>70566.923247253624</v>
          </cell>
          <cell r="DY103">
            <v>87168.415247027719</v>
          </cell>
          <cell r="DZ103">
            <v>111031.0944150787</v>
          </cell>
          <cell r="EA103">
            <v>116261.43172267075</v>
          </cell>
          <cell r="EX103">
            <v>59897.17</v>
          </cell>
          <cell r="EY103">
            <v>127835.06</v>
          </cell>
          <cell r="EZ103">
            <v>161213.57</v>
          </cell>
          <cell r="FA103">
            <v>193464.31</v>
          </cell>
          <cell r="FB103">
            <v>234502.66999999998</v>
          </cell>
          <cell r="FC103">
            <v>274923.07</v>
          </cell>
          <cell r="FD103">
            <v>316043.12</v>
          </cell>
          <cell r="FE103">
            <v>368631.18</v>
          </cell>
          <cell r="FF103">
            <v>410603.33999999997</v>
          </cell>
          <cell r="FG103">
            <v>457101.26999999996</v>
          </cell>
          <cell r="FH103">
            <v>522223.70999999996</v>
          </cell>
          <cell r="FI103">
            <v>575588.93999999994</v>
          </cell>
          <cell r="FM103">
            <v>3223.41</v>
          </cell>
          <cell r="FN103">
            <v>5721.41</v>
          </cell>
          <cell r="FO103">
            <v>6589.45</v>
          </cell>
          <cell r="FP103">
            <v>7974.11</v>
          </cell>
          <cell r="FQ103">
            <v>8716.94</v>
          </cell>
          <cell r="FR103">
            <v>10613.890000000001</v>
          </cell>
          <cell r="FS103">
            <v>11936.840000000002</v>
          </cell>
          <cell r="FT103">
            <v>13995.29</v>
          </cell>
          <cell r="FU103">
            <v>15671.710000000001</v>
          </cell>
          <cell r="FV103">
            <v>17416.5</v>
          </cell>
          <cell r="FW103">
            <v>19405.16</v>
          </cell>
          <cell r="FX103">
            <v>21095.15</v>
          </cell>
          <cell r="GB103">
            <v>23856.89</v>
          </cell>
          <cell r="GC103">
            <v>42692.75</v>
          </cell>
          <cell r="GD103">
            <v>59972.44</v>
          </cell>
          <cell r="GE103">
            <v>98778.61</v>
          </cell>
          <cell r="GF103">
            <v>108081.88</v>
          </cell>
          <cell r="GG103">
            <v>128702.36</v>
          </cell>
          <cell r="GH103">
            <v>133262.09</v>
          </cell>
          <cell r="GI103">
            <v>141574.34</v>
          </cell>
          <cell r="GJ103">
            <v>148636.44999999998</v>
          </cell>
          <cell r="GK103">
            <v>155970.79999999999</v>
          </cell>
          <cell r="GL103">
            <v>163925.46</v>
          </cell>
          <cell r="GM103">
            <v>170685.41</v>
          </cell>
        </row>
        <row r="104">
          <cell r="A104" t="str">
            <v>Payroll Taxes &amp; Employee Benefits</v>
          </cell>
          <cell r="C104">
            <v>58.154510000000002</v>
          </cell>
          <cell r="D104">
            <v>0</v>
          </cell>
          <cell r="E104">
            <v>58.154510000000002</v>
          </cell>
          <cell r="F104" t="str">
            <v>n/a</v>
          </cell>
          <cell r="G104">
            <v>74.483209683088347</v>
          </cell>
          <cell r="H104">
            <v>73.068834303203388</v>
          </cell>
          <cell r="J104">
            <v>45.588900000000002</v>
          </cell>
          <cell r="K104">
            <v>0</v>
          </cell>
          <cell r="L104">
            <v>45.588900000000002</v>
          </cell>
          <cell r="M104" t="str">
            <v>n/a</v>
          </cell>
          <cell r="N104">
            <v>65.373655275478839</v>
          </cell>
          <cell r="O104">
            <v>54.584777985029568</v>
          </cell>
          <cell r="Q104">
            <v>3.6263299999999998</v>
          </cell>
          <cell r="R104">
            <v>0</v>
          </cell>
          <cell r="S104">
            <v>3.6263299999999998</v>
          </cell>
          <cell r="T104" t="str">
            <v>n/a</v>
          </cell>
          <cell r="U104">
            <v>4.3206261698400033</v>
          </cell>
          <cell r="V104">
            <v>1.9615095507986333</v>
          </cell>
          <cell r="X104">
            <v>8.9392799999999983</v>
          </cell>
          <cell r="Y104">
            <v>0</v>
          </cell>
          <cell r="Z104">
            <v>8.9392799999999983</v>
          </cell>
          <cell r="AA104" t="str">
            <v>n/a</v>
          </cell>
          <cell r="AB104">
            <v>4.7889282377695057</v>
          </cell>
          <cell r="AC104">
            <v>16.522546767375186</v>
          </cell>
          <cell r="AD104">
            <v>85.137447887913424</v>
          </cell>
          <cell r="AE104">
            <v>94.116948055821581</v>
          </cell>
          <cell r="AH104">
            <v>8112.7900000000009</v>
          </cell>
          <cell r="AI104">
            <v>13444.95</v>
          </cell>
          <cell r="AJ104">
            <v>20356.669999999998</v>
          </cell>
          <cell r="AK104">
            <v>26017.199999999997</v>
          </cell>
          <cell r="AL104">
            <v>32874.57</v>
          </cell>
          <cell r="AM104">
            <v>36495.65</v>
          </cell>
          <cell r="AN104">
            <v>39704.020000000004</v>
          </cell>
          <cell r="AO104">
            <v>45588.9</v>
          </cell>
          <cell r="AP104">
            <v>45588.9</v>
          </cell>
          <cell r="AQ104">
            <v>45588.9</v>
          </cell>
          <cell r="AR104">
            <v>45588.9</v>
          </cell>
          <cell r="AS104">
            <v>45588.9</v>
          </cell>
          <cell r="AW104">
            <v>879.3</v>
          </cell>
          <cell r="AX104">
            <v>1368.53</v>
          </cell>
          <cell r="AY104">
            <v>1947.92</v>
          </cell>
          <cell r="AZ104">
            <v>2646</v>
          </cell>
          <cell r="BA104">
            <v>2951.23</v>
          </cell>
          <cell r="BB104">
            <v>3168.93</v>
          </cell>
          <cell r="BC104">
            <v>3380.5099999999998</v>
          </cell>
          <cell r="BD104">
            <v>3626.33</v>
          </cell>
          <cell r="BE104">
            <v>3626.33</v>
          </cell>
          <cell r="BF104">
            <v>3626.33</v>
          </cell>
          <cell r="BG104">
            <v>3626.33</v>
          </cell>
          <cell r="BH104">
            <v>3626.33</v>
          </cell>
          <cell r="BL104">
            <v>997.7</v>
          </cell>
          <cell r="BM104">
            <v>1549.65</v>
          </cell>
          <cell r="BN104">
            <v>3216.28</v>
          </cell>
          <cell r="BO104">
            <v>4678.66</v>
          </cell>
          <cell r="BP104">
            <v>5830.44</v>
          </cell>
          <cell r="BQ104">
            <v>7292.4299999999994</v>
          </cell>
          <cell r="BR104">
            <v>8174.4699999999993</v>
          </cell>
          <cell r="BS104">
            <v>8939.2799999999988</v>
          </cell>
          <cell r="BT104">
            <v>8939.2799999999988</v>
          </cell>
          <cell r="BU104">
            <v>8939.2799999999988</v>
          </cell>
          <cell r="BV104">
            <v>8939.2799999999988</v>
          </cell>
          <cell r="BW104">
            <v>8939.2799999999988</v>
          </cell>
          <cell r="CP104">
            <v>7414.1615019740238</v>
          </cell>
          <cell r="CQ104">
            <v>14477.16787721328</v>
          </cell>
          <cell r="CR104">
            <v>20904.504199140407</v>
          </cell>
          <cell r="CS104">
            <v>27314.893919298302</v>
          </cell>
          <cell r="CT104">
            <v>32907.89190668075</v>
          </cell>
          <cell r="CU104">
            <v>39977.664119878704</v>
          </cell>
          <cell r="CV104">
            <v>42825.977941751378</v>
          </cell>
          <cell r="CW104">
            <v>45389.302606806516</v>
          </cell>
          <cell r="DE104">
            <v>486.22935486447619</v>
          </cell>
          <cell r="DF104">
            <v>1357.1298112806819</v>
          </cell>
          <cell r="DG104">
            <v>1992.3783345527145</v>
          </cell>
          <cell r="DH104">
            <v>2506.4435216642496</v>
          </cell>
          <cell r="DI104">
            <v>3214.0048129521451</v>
          </cell>
          <cell r="DJ104">
            <v>3542.3265243560495</v>
          </cell>
          <cell r="DK104">
            <v>3720.7258519827365</v>
          </cell>
          <cell r="DL104">
            <v>3954.6147726601371</v>
          </cell>
          <cell r="DT104">
            <v>538.93056145358833</v>
          </cell>
          <cell r="DU104">
            <v>1439.5266949312181</v>
          </cell>
          <cell r="DV104">
            <v>3631.3952213849716</v>
          </cell>
          <cell r="DW104">
            <v>5208.6685988962254</v>
          </cell>
          <cell r="DX104">
            <v>6698.2476668698664</v>
          </cell>
          <cell r="DY104">
            <v>7784.6398835397968</v>
          </cell>
          <cell r="DZ104">
            <v>9347.4102049778867</v>
          </cell>
          <cell r="EA104">
            <v>8705.3176119746895</v>
          </cell>
          <cell r="EX104">
            <v>9517.2188064814327</v>
          </cell>
          <cell r="EY104">
            <v>18877.267895678622</v>
          </cell>
          <cell r="EZ104">
            <v>22963.773317242092</v>
          </cell>
          <cell r="FA104">
            <v>27371.093216366622</v>
          </cell>
          <cell r="FB104">
            <v>32399.089149327418</v>
          </cell>
          <cell r="FC104">
            <v>38351.552389999073</v>
          </cell>
          <cell r="FD104">
            <v>43401.442899642971</v>
          </cell>
          <cell r="FE104">
            <v>50307.48987857606</v>
          </cell>
          <cell r="FF104">
            <v>54584.77798502957</v>
          </cell>
          <cell r="FG104">
            <v>60341.280273731769</v>
          </cell>
          <cell r="FH104">
            <v>67333.428517627603</v>
          </cell>
          <cell r="FI104">
            <v>73088.952244992775</v>
          </cell>
          <cell r="FM104">
            <v>441.37797548384395</v>
          </cell>
          <cell r="FN104">
            <v>811.3824522261632</v>
          </cell>
          <cell r="FO104">
            <v>907.59076053601189</v>
          </cell>
          <cell r="FP104">
            <v>1041.4553989776139</v>
          </cell>
          <cell r="FQ104">
            <v>1122.0139556180907</v>
          </cell>
          <cell r="FR104">
            <v>1382.7704943659112</v>
          </cell>
          <cell r="FS104">
            <v>1570.7892146153097</v>
          </cell>
          <cell r="FT104">
            <v>1774.8621686928204</v>
          </cell>
          <cell r="FU104">
            <v>1961.5095507986334</v>
          </cell>
          <cell r="FV104">
            <v>2133.8964283532359</v>
          </cell>
          <cell r="FW104">
            <v>2325.6974335970554</v>
          </cell>
          <cell r="FX104">
            <v>2515.747435153834</v>
          </cell>
          <cell r="GB104">
            <v>2975.1335659232154</v>
          </cell>
          <cell r="GC104">
            <v>5638.659825286235</v>
          </cell>
          <cell r="GD104">
            <v>7536.9502871719087</v>
          </cell>
          <cell r="GE104">
            <v>10724.794420728025</v>
          </cell>
          <cell r="GF104">
            <v>11686.875979929418</v>
          </cell>
          <cell r="GG104">
            <v>14562.135177862665</v>
          </cell>
          <cell r="GH104">
            <v>15327.215388108358</v>
          </cell>
          <cell r="GI104">
            <v>15960.976575699358</v>
          </cell>
          <cell r="GJ104">
            <v>16522.546767375185</v>
          </cell>
          <cell r="GK104">
            <v>17103.139158313043</v>
          </cell>
          <cell r="GL104">
            <v>17840.276797183462</v>
          </cell>
          <cell r="GM104">
            <v>18512.248375674964</v>
          </cell>
        </row>
        <row r="105">
          <cell r="A105" t="str">
            <v>Other Sales &amp; Marketing Expense</v>
          </cell>
          <cell r="C105">
            <v>206.221386</v>
          </cell>
          <cell r="D105">
            <v>0</v>
          </cell>
          <cell r="E105">
            <v>206.221386</v>
          </cell>
          <cell r="F105" t="str">
            <v>n/a</v>
          </cell>
          <cell r="G105">
            <v>246.90000000000003</v>
          </cell>
          <cell r="H105">
            <v>192.508644</v>
          </cell>
          <cell r="J105">
            <v>137.844235</v>
          </cell>
          <cell r="K105">
            <v>0</v>
          </cell>
          <cell r="L105">
            <v>137.844235</v>
          </cell>
          <cell r="M105" t="str">
            <v>n/a</v>
          </cell>
          <cell r="N105">
            <v>218.75786308755386</v>
          </cell>
          <cell r="O105">
            <v>151.20791399999999</v>
          </cell>
          <cell r="Q105">
            <v>37.146628</v>
          </cell>
          <cell r="R105">
            <v>0</v>
          </cell>
          <cell r="S105">
            <v>37.146628</v>
          </cell>
          <cell r="T105" t="str">
            <v>n/a</v>
          </cell>
          <cell r="U105">
            <v>10.231918231038124</v>
          </cell>
          <cell r="V105">
            <v>16.900576000000001</v>
          </cell>
          <cell r="X105">
            <v>31.230523000000002</v>
          </cell>
          <cell r="Y105">
            <v>0</v>
          </cell>
          <cell r="Z105">
            <v>31.230523000000002</v>
          </cell>
          <cell r="AA105" t="str">
            <v>n/a</v>
          </cell>
          <cell r="AB105">
            <v>17.91021868140804</v>
          </cell>
          <cell r="AC105">
            <v>24.400154000000001</v>
          </cell>
          <cell r="AD105">
            <v>313.99666999999999</v>
          </cell>
          <cell r="AE105">
            <v>263.61545399999994</v>
          </cell>
          <cell r="AH105">
            <v>-2152.5270000000005</v>
          </cell>
          <cell r="AI105">
            <v>33288.923999999999</v>
          </cell>
          <cell r="AJ105">
            <v>50089.577999999994</v>
          </cell>
          <cell r="AK105">
            <v>64665.816999999995</v>
          </cell>
          <cell r="AL105">
            <v>78174.510999999999</v>
          </cell>
          <cell r="AM105">
            <v>98974.092000000004</v>
          </cell>
          <cell r="AN105">
            <v>117865.239</v>
          </cell>
          <cell r="AO105">
            <v>137844.23499999999</v>
          </cell>
          <cell r="AP105">
            <v>137844.23499999999</v>
          </cell>
          <cell r="AQ105">
            <v>137844.23499999999</v>
          </cell>
          <cell r="AR105">
            <v>137844.23499999999</v>
          </cell>
          <cell r="AS105">
            <v>137844.23499999999</v>
          </cell>
          <cell r="AW105">
            <v>2182.7230000000009</v>
          </cell>
          <cell r="AX105">
            <v>11359.209000000003</v>
          </cell>
          <cell r="AY105">
            <v>20681.218000000004</v>
          </cell>
          <cell r="AZ105">
            <v>22283.802000000003</v>
          </cell>
          <cell r="BA105">
            <v>27151.847000000002</v>
          </cell>
          <cell r="BB105">
            <v>29871.396000000001</v>
          </cell>
          <cell r="BC105">
            <v>32647.924999999999</v>
          </cell>
          <cell r="BD105">
            <v>37146.627999999997</v>
          </cell>
          <cell r="BE105">
            <v>37146.627999999997</v>
          </cell>
          <cell r="BF105">
            <v>37146.627999999997</v>
          </cell>
          <cell r="BG105">
            <v>37146.627999999997</v>
          </cell>
          <cell r="BH105">
            <v>37146.627999999997</v>
          </cell>
          <cell r="BL105">
            <v>-2167.942</v>
          </cell>
          <cell r="BM105">
            <v>3058.8069999999998</v>
          </cell>
          <cell r="BN105">
            <v>5748.9580000000005</v>
          </cell>
          <cell r="BO105">
            <v>14556.208000000001</v>
          </cell>
          <cell r="BP105">
            <v>23752.224000000002</v>
          </cell>
          <cell r="BQ105">
            <v>25043.811000000002</v>
          </cell>
          <cell r="BR105">
            <v>30158.517</v>
          </cell>
          <cell r="BS105">
            <v>31230.523000000001</v>
          </cell>
          <cell r="BT105">
            <v>31230.523000000001</v>
          </cell>
          <cell r="BU105">
            <v>31230.523000000001</v>
          </cell>
          <cell r="BV105">
            <v>31230.523000000001</v>
          </cell>
          <cell r="BW105">
            <v>31230.523000000001</v>
          </cell>
          <cell r="CP105">
            <v>23239.107810558584</v>
          </cell>
          <cell r="CQ105">
            <v>36046.768373114464</v>
          </cell>
          <cell r="CR105">
            <v>50627.517160134252</v>
          </cell>
          <cell r="CS105">
            <v>65478.27324099961</v>
          </cell>
          <cell r="CT105">
            <v>79524.173240999618</v>
          </cell>
          <cell r="CU105">
            <v>86060.629660932478</v>
          </cell>
          <cell r="CV105">
            <v>105546.15966093248</v>
          </cell>
          <cell r="CW105">
            <v>125422.97547118241</v>
          </cell>
          <cell r="DE105">
            <v>1149.2371926166009</v>
          </cell>
          <cell r="DF105">
            <v>7750.8137299076661</v>
          </cell>
          <cell r="DG105">
            <v>14046.068568079185</v>
          </cell>
          <cell r="DH105">
            <v>23858.032245534414</v>
          </cell>
          <cell r="DI105">
            <v>25382.462245534414</v>
          </cell>
          <cell r="DJ105">
            <v>29168.537961494822</v>
          </cell>
          <cell r="DK105">
            <v>31768.207961494823</v>
          </cell>
          <cell r="DL105">
            <v>34881.333522878427</v>
          </cell>
          <cell r="DT105">
            <v>2011.6549968248162</v>
          </cell>
          <cell r="DU105">
            <v>3570.2778969778647</v>
          </cell>
          <cell r="DV105">
            <v>4985.6642717865543</v>
          </cell>
          <cell r="DW105">
            <v>7249.1245134659757</v>
          </cell>
          <cell r="DX105">
            <v>16003.154513465977</v>
          </cell>
          <cell r="DY105">
            <v>24416.1323775727</v>
          </cell>
          <cell r="DZ105">
            <v>25605.3323775727</v>
          </cell>
          <cell r="EA105">
            <v>31245.531005939192</v>
          </cell>
          <cell r="EX105">
            <v>10824.996999999999</v>
          </cell>
          <cell r="EY105">
            <v>38397.290999999997</v>
          </cell>
          <cell r="EZ105">
            <v>65082.887999999992</v>
          </cell>
          <cell r="FA105">
            <v>92050.730999999985</v>
          </cell>
          <cell r="FB105">
            <v>92413.37999999999</v>
          </cell>
          <cell r="FC105">
            <v>107200.30399999999</v>
          </cell>
          <cell r="FD105">
            <v>119517.34399999998</v>
          </cell>
          <cell r="FE105">
            <v>133081.66399999999</v>
          </cell>
          <cell r="FF105">
            <v>151207.91399999999</v>
          </cell>
          <cell r="FG105">
            <v>172867.804</v>
          </cell>
          <cell r="FH105">
            <v>190677.79399999999</v>
          </cell>
          <cell r="FI105">
            <v>207752.204</v>
          </cell>
          <cell r="FM105">
            <v>1701.5969999999998</v>
          </cell>
          <cell r="FN105">
            <v>4989.6809999999996</v>
          </cell>
          <cell r="FO105">
            <v>7250.2139999999999</v>
          </cell>
          <cell r="FP105">
            <v>9715.6929999999993</v>
          </cell>
          <cell r="FQ105">
            <v>9505.4539999999997</v>
          </cell>
          <cell r="FR105">
            <v>11508.966</v>
          </cell>
          <cell r="FS105">
            <v>12974.106</v>
          </cell>
          <cell r="FT105">
            <v>15454.486000000001</v>
          </cell>
          <cell r="FU105">
            <v>16900.576000000001</v>
          </cell>
          <cell r="FV105">
            <v>20344.966</v>
          </cell>
          <cell r="FW105">
            <v>24595.506000000001</v>
          </cell>
          <cell r="FX105">
            <v>26140.656000000003</v>
          </cell>
          <cell r="GB105">
            <v>2348.3179999999998</v>
          </cell>
          <cell r="GC105">
            <v>8946.4139999999989</v>
          </cell>
          <cell r="GD105">
            <v>14052.065999999999</v>
          </cell>
          <cell r="GE105">
            <v>19371.612000000001</v>
          </cell>
          <cell r="GF105">
            <v>18262.876</v>
          </cell>
          <cell r="GG105">
            <v>18871.734</v>
          </cell>
          <cell r="GH105">
            <v>22016.484</v>
          </cell>
          <cell r="GI105">
            <v>21195.404000000002</v>
          </cell>
          <cell r="GJ105">
            <v>24400.154000000002</v>
          </cell>
          <cell r="GK105">
            <v>25045.234000000004</v>
          </cell>
          <cell r="GL105">
            <v>26907.744000000002</v>
          </cell>
          <cell r="GM105">
            <v>29722.594000000001</v>
          </cell>
        </row>
        <row r="106">
          <cell r="A106" t="str">
            <v>Sales &amp; Marketing Expense</v>
          </cell>
          <cell r="C106">
            <v>923.86960599999998</v>
          </cell>
          <cell r="D106">
            <v>0</v>
          </cell>
          <cell r="E106">
            <v>923.86960599999998</v>
          </cell>
          <cell r="F106" t="str">
            <v>n/a</v>
          </cell>
          <cell r="G106">
            <v>953.19675894890838</v>
          </cell>
          <cell r="H106">
            <v>840.48897830320334</v>
          </cell>
          <cell r="J106">
            <v>672.53288499999996</v>
          </cell>
          <cell r="K106">
            <v>0</v>
          </cell>
          <cell r="L106">
            <v>672.53288499999996</v>
          </cell>
          <cell r="M106" t="str">
            <v>n/a</v>
          </cell>
          <cell r="N106">
            <v>836.38900610311225</v>
          </cell>
          <cell r="O106">
            <v>616.39603198502948</v>
          </cell>
          <cell r="Q106">
            <v>89.923507999999998</v>
          </cell>
          <cell r="R106">
            <v>0</v>
          </cell>
          <cell r="S106">
            <v>89.923507999999998</v>
          </cell>
          <cell r="T106" t="str">
            <v>n/a</v>
          </cell>
          <cell r="U106">
            <v>52.285674476964537</v>
          </cell>
          <cell r="V106">
            <v>34.533795550798636</v>
          </cell>
          <cell r="X106">
            <v>161.41321299999998</v>
          </cell>
          <cell r="Y106">
            <v>0</v>
          </cell>
          <cell r="Z106">
            <v>161.41321299999998</v>
          </cell>
          <cell r="AA106" t="str">
            <v>n/a</v>
          </cell>
          <cell r="AB106">
            <v>64.522078368831643</v>
          </cell>
          <cell r="AC106">
            <v>189.55915076737517</v>
          </cell>
          <cell r="AD106">
            <v>1292.6226533030492</v>
          </cell>
          <cell r="AE106">
            <v>1125.1019020558215</v>
          </cell>
          <cell r="AH106">
            <v>61369.902999999991</v>
          </cell>
          <cell r="AI106">
            <v>160540.64399999997</v>
          </cell>
          <cell r="AJ106">
            <v>263705.18799999997</v>
          </cell>
          <cell r="AK106">
            <v>334325.12699999998</v>
          </cell>
          <cell r="AL106">
            <v>425621.77100000001</v>
          </cell>
          <cell r="AM106">
            <v>512358.58200000005</v>
          </cell>
          <cell r="AN106">
            <v>599503.5290000001</v>
          </cell>
          <cell r="AO106">
            <v>672532.88500000001</v>
          </cell>
          <cell r="AP106">
            <v>672532.88500000001</v>
          </cell>
          <cell r="AQ106">
            <v>672532.88500000001</v>
          </cell>
          <cell r="AR106">
            <v>672532.88500000001</v>
          </cell>
          <cell r="AS106">
            <v>672532.88500000001</v>
          </cell>
          <cell r="AW106">
            <v>9808.7630000000008</v>
          </cell>
          <cell r="AX106">
            <v>26014.109000000004</v>
          </cell>
          <cell r="AY106">
            <v>41814.877999999997</v>
          </cell>
          <cell r="AZ106">
            <v>50398.052000000003</v>
          </cell>
          <cell r="BA106">
            <v>61726.507000000005</v>
          </cell>
          <cell r="BB106">
            <v>69804.546000000002</v>
          </cell>
          <cell r="BC106">
            <v>80471.055000000008</v>
          </cell>
          <cell r="BD106">
            <v>89923.508000000002</v>
          </cell>
          <cell r="BE106">
            <v>89923.508000000002</v>
          </cell>
          <cell r="BF106">
            <v>89923.508000000002</v>
          </cell>
          <cell r="BG106">
            <v>89923.508000000002</v>
          </cell>
          <cell r="BH106">
            <v>89923.508000000002</v>
          </cell>
          <cell r="BL106">
            <v>7511.7280000000001</v>
          </cell>
          <cell r="BM106">
            <v>21127.437000000002</v>
          </cell>
          <cell r="BN106">
            <v>43693.327999999994</v>
          </cell>
          <cell r="BO106">
            <v>71689.907999999996</v>
          </cell>
          <cell r="BP106">
            <v>99211.213999999993</v>
          </cell>
          <cell r="BQ106">
            <v>125938.59099999999</v>
          </cell>
          <cell r="BR106">
            <v>150345.09699999998</v>
          </cell>
          <cell r="BS106">
            <v>161413.21299999999</v>
          </cell>
          <cell r="BT106">
            <v>161413.21299999999</v>
          </cell>
          <cell r="BU106">
            <v>161413.21299999999</v>
          </cell>
          <cell r="BV106">
            <v>161413.21299999999</v>
          </cell>
          <cell r="BW106">
            <v>161413.21299999999</v>
          </cell>
          <cell r="CP106">
            <v>93194.236241628358</v>
          </cell>
          <cell r="CQ106">
            <v>158364.81008951002</v>
          </cell>
          <cell r="CR106">
            <v>248940.08547304504</v>
          </cell>
          <cell r="CS106">
            <v>345473.26379260101</v>
          </cell>
          <cell r="CT106">
            <v>414698.13811976637</v>
          </cell>
          <cell r="CU106">
            <v>502023.44360540441</v>
          </cell>
          <cell r="CV106">
            <v>576041.51264353667</v>
          </cell>
          <cell r="CW106">
            <v>658309.37725049374</v>
          </cell>
          <cell r="DE106">
            <v>5867.2212086634408</v>
          </cell>
          <cell r="DF106">
            <v>19893.199536464992</v>
          </cell>
          <cell r="DG106">
            <v>34870.003076755405</v>
          </cell>
          <cell r="DH106">
            <v>50465.10532971457</v>
          </cell>
          <cell r="DI106">
            <v>59072.134995933549</v>
          </cell>
          <cell r="DJ106">
            <v>69638.279941522327</v>
          </cell>
          <cell r="DK106">
            <v>76732.491869279387</v>
          </cell>
          <cell r="DL106">
            <v>87874.154347962962</v>
          </cell>
          <cell r="DT106">
            <v>7241.0097226534963</v>
          </cell>
          <cell r="DU106">
            <v>17425.999900785442</v>
          </cell>
          <cell r="DV106">
            <v>43487.578337653431</v>
          </cell>
          <cell r="DW106">
            <v>65032.383734394847</v>
          </cell>
          <cell r="DX106">
            <v>93268.325427589472</v>
          </cell>
          <cell r="DY106">
            <v>119369.18750814022</v>
          </cell>
          <cell r="DZ106">
            <v>145983.83699762929</v>
          </cell>
          <cell r="EA106">
            <v>156212.28034058464</v>
          </cell>
          <cell r="EX106">
            <v>80239.385806481441</v>
          </cell>
          <cell r="EY106">
            <v>185109.61889567861</v>
          </cell>
          <cell r="EZ106">
            <v>249260.23131724208</v>
          </cell>
          <cell r="FA106">
            <v>312886.13421636663</v>
          </cell>
          <cell r="FB106">
            <v>359315.13914932741</v>
          </cell>
          <cell r="FC106">
            <v>420474.92638999911</v>
          </cell>
          <cell r="FD106">
            <v>478961.90689964296</v>
          </cell>
          <cell r="FE106">
            <v>552020.33387857606</v>
          </cell>
          <cell r="FF106">
            <v>616396.03198502958</v>
          </cell>
          <cell r="FG106">
            <v>690310.3542737317</v>
          </cell>
          <cell r="FH106">
            <v>780234.9325176276</v>
          </cell>
          <cell r="FI106">
            <v>856430.0962449928</v>
          </cell>
          <cell r="FM106">
            <v>5366.3849754838429</v>
          </cell>
          <cell r="FN106">
            <v>11522.473452226162</v>
          </cell>
          <cell r="FO106">
            <v>14747.254760536012</v>
          </cell>
          <cell r="FP106">
            <v>18731.25839897761</v>
          </cell>
          <cell r="FQ106">
            <v>19344.407955618091</v>
          </cell>
          <cell r="FR106">
            <v>23505.626494365912</v>
          </cell>
          <cell r="FS106">
            <v>26481.735214615313</v>
          </cell>
          <cell r="FT106">
            <v>31224.638168692822</v>
          </cell>
          <cell r="FU106">
            <v>34533.795550798633</v>
          </cell>
          <cell r="FV106">
            <v>39895.362428353241</v>
          </cell>
          <cell r="FW106">
            <v>46326.363433597056</v>
          </cell>
          <cell r="FX106">
            <v>49751.553435153837</v>
          </cell>
          <cell r="GB106">
            <v>29180.341565923212</v>
          </cell>
          <cell r="GC106">
            <v>57277.823825286228</v>
          </cell>
          <cell r="GD106">
            <v>81561.456287171895</v>
          </cell>
          <cell r="GE106">
            <v>128875.01642072803</v>
          </cell>
          <cell r="GF106">
            <v>138031.63197992943</v>
          </cell>
          <cell r="GG106">
            <v>162136.22917786267</v>
          </cell>
          <cell r="GH106">
            <v>170605.78938810836</v>
          </cell>
          <cell r="GI106">
            <v>178730.72057569938</v>
          </cell>
          <cell r="GJ106">
            <v>189559.15076737516</v>
          </cell>
          <cell r="GK106">
            <v>198119.17315831303</v>
          </cell>
          <cell r="GL106">
            <v>208673.48079718347</v>
          </cell>
          <cell r="GM106">
            <v>218920.25237567499</v>
          </cell>
        </row>
        <row r="108">
          <cell r="A108" t="str">
            <v>Labor - General &amp; Administrative</v>
          </cell>
          <cell r="C108">
            <v>642.90245000000004</v>
          </cell>
          <cell r="D108">
            <v>0</v>
          </cell>
          <cell r="E108">
            <v>642.90245000000004</v>
          </cell>
          <cell r="F108" t="str">
            <v>n/a</v>
          </cell>
          <cell r="G108">
            <v>665.24169031697875</v>
          </cell>
          <cell r="H108">
            <v>843.60037999999997</v>
          </cell>
          <cell r="J108">
            <v>510.73116800000008</v>
          </cell>
          <cell r="K108">
            <v>0</v>
          </cell>
          <cell r="L108">
            <v>510.73116800000008</v>
          </cell>
          <cell r="M108" t="str">
            <v>n/a</v>
          </cell>
          <cell r="N108">
            <v>522.00990308739608</v>
          </cell>
          <cell r="O108">
            <v>654.68737999999996</v>
          </cell>
          <cell r="Q108">
            <v>64.41775100000001</v>
          </cell>
          <cell r="R108">
            <v>0</v>
          </cell>
          <cell r="S108">
            <v>64.41775100000001</v>
          </cell>
          <cell r="T108" t="str">
            <v>n/a</v>
          </cell>
          <cell r="U108">
            <v>67.934278732683481</v>
          </cell>
          <cell r="V108">
            <v>39.988320000000002</v>
          </cell>
          <cell r="X108">
            <v>67.753531000000009</v>
          </cell>
          <cell r="Y108">
            <v>0</v>
          </cell>
          <cell r="Z108">
            <v>67.753531000000009</v>
          </cell>
          <cell r="AA108" t="str">
            <v>n/a</v>
          </cell>
          <cell r="AB108">
            <v>75.297508496899141</v>
          </cell>
          <cell r="AC108">
            <v>148.92468</v>
          </cell>
          <cell r="AD108">
            <v>892.16716866304535</v>
          </cell>
          <cell r="AE108">
            <v>1097.9114999999999</v>
          </cell>
          <cell r="AH108">
            <v>55471.498</v>
          </cell>
          <cell r="AI108">
            <v>117420.85800000001</v>
          </cell>
          <cell r="AJ108">
            <v>188774.26800000001</v>
          </cell>
          <cell r="AK108">
            <v>241374.11800000002</v>
          </cell>
          <cell r="AL108">
            <v>319435.11800000002</v>
          </cell>
          <cell r="AM108">
            <v>398568.37800000003</v>
          </cell>
          <cell r="AN108">
            <v>454788.57800000004</v>
          </cell>
          <cell r="AO108">
            <v>510731.16800000006</v>
          </cell>
          <cell r="AP108">
            <v>510731.16800000006</v>
          </cell>
          <cell r="AQ108">
            <v>510731.16800000006</v>
          </cell>
          <cell r="AR108">
            <v>510731.16800000006</v>
          </cell>
          <cell r="AS108">
            <v>510731.16800000006</v>
          </cell>
          <cell r="AW108">
            <v>6028.701</v>
          </cell>
          <cell r="AX108">
            <v>12850.151</v>
          </cell>
          <cell r="AY108">
            <v>20052.921000000002</v>
          </cell>
          <cell r="AZ108">
            <v>31363.211000000003</v>
          </cell>
          <cell r="BA108">
            <v>40482.831000000006</v>
          </cell>
          <cell r="BB108">
            <v>50937.941000000006</v>
          </cell>
          <cell r="BC108">
            <v>58072.791000000005</v>
          </cell>
          <cell r="BD108">
            <v>64417.751000000004</v>
          </cell>
          <cell r="BE108">
            <v>64417.751000000004</v>
          </cell>
          <cell r="BF108">
            <v>64417.751000000004</v>
          </cell>
          <cell r="BG108">
            <v>64417.751000000004</v>
          </cell>
          <cell r="BH108">
            <v>64417.751000000004</v>
          </cell>
          <cell r="BL108">
            <v>6028.701</v>
          </cell>
          <cell r="BM108">
            <v>12850.151</v>
          </cell>
          <cell r="BN108">
            <v>20052.921000000002</v>
          </cell>
          <cell r="BO108">
            <v>33588.991000000002</v>
          </cell>
          <cell r="BP108">
            <v>42978.611000000004</v>
          </cell>
          <cell r="BQ108">
            <v>53973.721000000005</v>
          </cell>
          <cell r="BR108">
            <v>61408.571000000004</v>
          </cell>
          <cell r="BS108">
            <v>67753.531000000003</v>
          </cell>
          <cell r="BT108">
            <v>67753.531000000003</v>
          </cell>
          <cell r="BU108">
            <v>67753.531000000003</v>
          </cell>
          <cell r="BV108">
            <v>67753.531000000003</v>
          </cell>
          <cell r="BW108">
            <v>67753.531000000003</v>
          </cell>
          <cell r="CP108">
            <v>58812.356577489882</v>
          </cell>
          <cell r="CQ108">
            <v>102407.37838253583</v>
          </cell>
          <cell r="CR108">
            <v>179071.82448103119</v>
          </cell>
          <cell r="CS108">
            <v>246669.68455141177</v>
          </cell>
          <cell r="CT108">
            <v>299217.88516698143</v>
          </cell>
          <cell r="CU108">
            <v>375307.11707147222</v>
          </cell>
          <cell r="CV108">
            <v>445829.44104775885</v>
          </cell>
          <cell r="CW108">
            <v>504560.74760778871</v>
          </cell>
          <cell r="DE108">
            <v>7653.8299389164149</v>
          </cell>
          <cell r="DF108">
            <v>13511.954010559137</v>
          </cell>
          <cell r="DG108">
            <v>22679.513457100486</v>
          </cell>
          <cell r="DH108">
            <v>29283.514879882394</v>
          </cell>
          <cell r="DI108">
            <v>40585.570126248676</v>
          </cell>
          <cell r="DJ108">
            <v>49390.819980923057</v>
          </cell>
          <cell r="DK108">
            <v>58473.039723022164</v>
          </cell>
          <cell r="DL108">
            <v>66008.249651759543</v>
          </cell>
          <cell r="DT108">
            <v>8483.4097838461676</v>
          </cell>
          <cell r="DU108">
            <v>12948.112193972738</v>
          </cell>
          <cell r="DV108">
            <v>21938.898970876726</v>
          </cell>
          <cell r="DW108">
            <v>28588.015901822946</v>
          </cell>
          <cell r="DX108">
            <v>42116.471613438953</v>
          </cell>
          <cell r="DY108">
            <v>51215.408363848495</v>
          </cell>
          <cell r="DZ108">
            <v>60941.07147955749</v>
          </cell>
          <cell r="EA108">
            <v>68746.115427111392</v>
          </cell>
          <cell r="EX108">
            <v>78259.69</v>
          </cell>
          <cell r="EY108">
            <v>167224.44</v>
          </cell>
          <cell r="EZ108">
            <v>234944.39</v>
          </cell>
          <cell r="FA108">
            <v>289105.66000000003</v>
          </cell>
          <cell r="FB108">
            <v>347835.69000000006</v>
          </cell>
          <cell r="FC108">
            <v>427495.88000000006</v>
          </cell>
          <cell r="FD108">
            <v>508351.16000000003</v>
          </cell>
          <cell r="FE108">
            <v>582030.80000000005</v>
          </cell>
          <cell r="FF108">
            <v>654687.38</v>
          </cell>
          <cell r="FG108">
            <v>725814.71</v>
          </cell>
          <cell r="FH108">
            <v>794885.01</v>
          </cell>
          <cell r="FI108">
            <v>849764.66</v>
          </cell>
          <cell r="FM108">
            <v>5159.24</v>
          </cell>
          <cell r="FN108">
            <v>9873.9599999999991</v>
          </cell>
          <cell r="FO108">
            <v>13932.259999999998</v>
          </cell>
          <cell r="FP108">
            <v>17545.05</v>
          </cell>
          <cell r="FQ108">
            <v>21138.46</v>
          </cell>
          <cell r="FR108">
            <v>26500.19</v>
          </cell>
          <cell r="FS108">
            <v>30344.75</v>
          </cell>
          <cell r="FT108">
            <v>35729.01</v>
          </cell>
          <cell r="FU108">
            <v>39988.32</v>
          </cell>
          <cell r="FV108">
            <v>44498.05</v>
          </cell>
          <cell r="FW108">
            <v>48510.840000000004</v>
          </cell>
          <cell r="FX108">
            <v>51651.48</v>
          </cell>
          <cell r="GB108">
            <v>18953.45</v>
          </cell>
          <cell r="GC108">
            <v>35508.07</v>
          </cell>
          <cell r="GD108">
            <v>50342.96</v>
          </cell>
          <cell r="GE108">
            <v>65416.94</v>
          </cell>
          <cell r="GF108">
            <v>78313.53</v>
          </cell>
          <cell r="GG108">
            <v>95988.75</v>
          </cell>
          <cell r="GH108">
            <v>109239.55</v>
          </cell>
          <cell r="GI108">
            <v>130981.82</v>
          </cell>
          <cell r="GJ108">
            <v>148924.68</v>
          </cell>
          <cell r="GK108">
            <v>167881.63</v>
          </cell>
          <cell r="GL108">
            <v>183932.79</v>
          </cell>
          <cell r="GM108">
            <v>196495.36000000002</v>
          </cell>
        </row>
        <row r="109">
          <cell r="A109" t="str">
            <v>Payroll Taxes &amp; Employee Benefits</v>
          </cell>
          <cell r="C109">
            <v>78.840319999999991</v>
          </cell>
          <cell r="D109">
            <v>0</v>
          </cell>
          <cell r="E109">
            <v>78.840319999999991</v>
          </cell>
          <cell r="F109" t="str">
            <v>n/a</v>
          </cell>
          <cell r="G109">
            <v>87.888581207648343</v>
          </cell>
          <cell r="H109">
            <v>107.88455461206362</v>
          </cell>
          <cell r="J109">
            <v>65.215599999999995</v>
          </cell>
          <cell r="K109">
            <v>0</v>
          </cell>
          <cell r="L109">
            <v>65.215599999999995</v>
          </cell>
          <cell r="M109" t="str">
            <v>n/a</v>
          </cell>
          <cell r="N109">
            <v>68.965475896185438</v>
          </cell>
          <cell r="O109">
            <v>86.320835641449435</v>
          </cell>
          <cell r="Q109">
            <v>6.81236</v>
          </cell>
          <cell r="R109">
            <v>0</v>
          </cell>
          <cell r="S109">
            <v>6.81236</v>
          </cell>
          <cell r="T109" t="str">
            <v>n/a</v>
          </cell>
          <cell r="U109">
            <v>8.975155135474953</v>
          </cell>
          <cell r="V109">
            <v>4.8849938941676578</v>
          </cell>
          <cell r="X109">
            <v>6.81236</v>
          </cell>
          <cell r="Y109">
            <v>0</v>
          </cell>
          <cell r="Z109">
            <v>6.81236</v>
          </cell>
          <cell r="AA109" t="str">
            <v>n/a</v>
          </cell>
          <cell r="AB109">
            <v>9.9479501759879518</v>
          </cell>
          <cell r="AC109">
            <v>16.678725076446529</v>
          </cell>
          <cell r="AD109">
            <v>112.64805834345427</v>
          </cell>
          <cell r="AE109">
            <v>137.0261438759216</v>
          </cell>
          <cell r="AH109">
            <v>12399.779999999999</v>
          </cell>
          <cell r="AI109">
            <v>19982.71</v>
          </cell>
          <cell r="AJ109">
            <v>28978.769999999997</v>
          </cell>
          <cell r="AK109">
            <v>37572.289999999994</v>
          </cell>
          <cell r="AL109">
            <v>45379.709999999992</v>
          </cell>
          <cell r="AM109">
            <v>51805.19999999999</v>
          </cell>
          <cell r="AN109">
            <v>58166.599999999991</v>
          </cell>
          <cell r="AO109">
            <v>65215.599999999991</v>
          </cell>
          <cell r="AP109">
            <v>65215.599999999991</v>
          </cell>
          <cell r="AQ109">
            <v>65215.599999999991</v>
          </cell>
          <cell r="AR109">
            <v>65215.599999999991</v>
          </cell>
          <cell r="AS109">
            <v>65215.599999999991</v>
          </cell>
          <cell r="AW109">
            <v>1371.17</v>
          </cell>
          <cell r="AX109">
            <v>2093.69</v>
          </cell>
          <cell r="AY109">
            <v>3038.3100000000004</v>
          </cell>
          <cell r="AZ109">
            <v>3952.3100000000004</v>
          </cell>
          <cell r="BA109">
            <v>4752.7300000000005</v>
          </cell>
          <cell r="BB109">
            <v>5400.89</v>
          </cell>
          <cell r="BC109">
            <v>6045.21</v>
          </cell>
          <cell r="BD109">
            <v>6812.36</v>
          </cell>
          <cell r="BE109">
            <v>6812.36</v>
          </cell>
          <cell r="BF109">
            <v>6812.36</v>
          </cell>
          <cell r="BG109">
            <v>6812.36</v>
          </cell>
          <cell r="BH109">
            <v>6812.36</v>
          </cell>
          <cell r="BL109">
            <v>1371.17</v>
          </cell>
          <cell r="BM109">
            <v>2093.69</v>
          </cell>
          <cell r="BN109">
            <v>3038.3100000000004</v>
          </cell>
          <cell r="BO109">
            <v>3952.3100000000004</v>
          </cell>
          <cell r="BP109">
            <v>4752.7300000000005</v>
          </cell>
          <cell r="BQ109">
            <v>5400.89</v>
          </cell>
          <cell r="BR109">
            <v>6045.21</v>
          </cell>
          <cell r="BS109">
            <v>6812.36</v>
          </cell>
          <cell r="BT109">
            <v>6812.36</v>
          </cell>
          <cell r="BU109">
            <v>6812.36</v>
          </cell>
          <cell r="BV109">
            <v>6812.36</v>
          </cell>
          <cell r="BW109">
            <v>6812.36</v>
          </cell>
          <cell r="CP109">
            <v>7765.5454690208126</v>
          </cell>
          <cell r="CQ109">
            <v>18909.377236457549</v>
          </cell>
          <cell r="CR109">
            <v>27962.42899642446</v>
          </cell>
          <cell r="CS109">
            <v>36435.864015955493</v>
          </cell>
          <cell r="CT109">
            <v>45025.519091904913</v>
          </cell>
          <cell r="CU109">
            <v>52607.02074118227</v>
          </cell>
          <cell r="CV109">
            <v>58694.327689160171</v>
          </cell>
          <cell r="CW109">
            <v>65259.76168809997</v>
          </cell>
          <cell r="DE109">
            <v>1010.6067476567855</v>
          </cell>
          <cell r="DF109">
            <v>2409.0319239743458</v>
          </cell>
          <cell r="DG109">
            <v>3365.9417553037756</v>
          </cell>
          <cell r="DH109">
            <v>4227.2366972327854</v>
          </cell>
          <cell r="DI109">
            <v>5140.6204905205368</v>
          </cell>
          <cell r="DJ109">
            <v>5905.0210494360817</v>
          </cell>
          <cell r="DK109">
            <v>6499.2626117389791</v>
          </cell>
          <cell r="DL109">
            <v>7176.1129067793327</v>
          </cell>
          <cell r="DT109">
            <v>1120.1439330524636</v>
          </cell>
          <cell r="DU109">
            <v>2330.8319818163263</v>
          </cell>
          <cell r="DV109">
            <v>3270.0812064417355</v>
          </cell>
          <cell r="DW109">
            <v>4137.6544543485907</v>
          </cell>
          <cell r="DX109">
            <v>5051.0846770583503</v>
          </cell>
          <cell r="DY109">
            <v>5818.1991983462522</v>
          </cell>
          <cell r="DZ109">
            <v>6416.5033614747172</v>
          </cell>
          <cell r="EA109">
            <v>7090.9025913668311</v>
          </cell>
          <cell r="EX109">
            <v>12434.887882973551</v>
          </cell>
          <cell r="EY109">
            <v>24691.883606687603</v>
          </cell>
          <cell r="EZ109">
            <v>32982.78523240448</v>
          </cell>
          <cell r="FA109">
            <v>40384.35316643813</v>
          </cell>
          <cell r="FB109">
            <v>47579.922189729157</v>
          </cell>
          <cell r="FC109">
            <v>59310.987511198517</v>
          </cell>
          <cell r="FD109">
            <v>69240.700902271725</v>
          </cell>
          <cell r="FE109">
            <v>78916.567538745439</v>
          </cell>
          <cell r="FF109">
            <v>86320.835641449434</v>
          </cell>
          <cell r="FG109">
            <v>95126.488665880344</v>
          </cell>
          <cell r="FH109">
            <v>103298.05763069476</v>
          </cell>
          <cell r="FI109">
            <v>110039.80678081812</v>
          </cell>
          <cell r="FM109">
            <v>706.44904192617992</v>
          </cell>
          <cell r="FN109">
            <v>1404.7947211041412</v>
          </cell>
          <cell r="FO109">
            <v>1854.5921700855924</v>
          </cell>
          <cell r="FP109">
            <v>2203.8655130834659</v>
          </cell>
          <cell r="FQ109">
            <v>2593.5642638305485</v>
          </cell>
          <cell r="FR109">
            <v>3330.5927340065423</v>
          </cell>
          <cell r="FS109">
            <v>3876.9846997815357</v>
          </cell>
          <cell r="FT109">
            <v>4410.7755830778888</v>
          </cell>
          <cell r="FU109">
            <v>4884.9938941676583</v>
          </cell>
          <cell r="FV109">
            <v>5330.5594197118889</v>
          </cell>
          <cell r="FW109">
            <v>5717.5824180285172</v>
          </cell>
          <cell r="FX109">
            <v>6070.7671332571763</v>
          </cell>
          <cell r="GB109">
            <v>2363.6377283479687</v>
          </cell>
          <cell r="GC109">
            <v>4704.580222281149</v>
          </cell>
          <cell r="GD109">
            <v>6334.2929191017029</v>
          </cell>
          <cell r="GE109">
            <v>7572.588239468083</v>
          </cell>
          <cell r="GF109">
            <v>8906.2667649307514</v>
          </cell>
          <cell r="GG109">
            <v>11370.847554538639</v>
          </cell>
          <cell r="GH109">
            <v>13594.208334655799</v>
          </cell>
          <cell r="GI109">
            <v>15251.931196230487</v>
          </cell>
          <cell r="GJ109">
            <v>16678.725076446528</v>
          </cell>
          <cell r="GK109">
            <v>18179.370794934111</v>
          </cell>
          <cell r="GL109">
            <v>19666.790016312691</v>
          </cell>
          <cell r="GM109">
            <v>20915.569961846311</v>
          </cell>
        </row>
        <row r="110">
          <cell r="A110" t="str">
            <v>Other General &amp; Administrative Expense</v>
          </cell>
          <cell r="C110">
            <v>203.59505399999998</v>
          </cell>
          <cell r="D110">
            <v>0</v>
          </cell>
          <cell r="E110">
            <v>203.59505399999998</v>
          </cell>
          <cell r="F110" t="str">
            <v>n/a</v>
          </cell>
          <cell r="G110">
            <v>259.20000000000005</v>
          </cell>
          <cell r="H110">
            <v>389.55764500000004</v>
          </cell>
          <cell r="J110">
            <v>107.16467499999997</v>
          </cell>
          <cell r="K110">
            <v>0</v>
          </cell>
          <cell r="L110">
            <v>107.16467499999997</v>
          </cell>
          <cell r="M110" t="str">
            <v>n/a</v>
          </cell>
          <cell r="N110">
            <v>202.44022986128491</v>
          </cell>
          <cell r="O110">
            <v>221.91706500000004</v>
          </cell>
          <cell r="Q110">
            <v>59.841692000000002</v>
          </cell>
          <cell r="R110">
            <v>0</v>
          </cell>
          <cell r="S110">
            <v>59.841692000000002</v>
          </cell>
          <cell r="T110" t="str">
            <v>n/a</v>
          </cell>
          <cell r="U110">
            <v>20.675453560105652</v>
          </cell>
          <cell r="V110">
            <v>27.11084</v>
          </cell>
          <cell r="X110">
            <v>36.588687</v>
          </cell>
          <cell r="Y110">
            <v>0</v>
          </cell>
          <cell r="Z110">
            <v>36.588687</v>
          </cell>
          <cell r="AA110" t="str">
            <v>n/a</v>
          </cell>
          <cell r="AB110">
            <v>36.084316578609489</v>
          </cell>
          <cell r="AC110">
            <v>140.52974</v>
          </cell>
          <cell r="AD110">
            <v>342.07297000000023</v>
          </cell>
          <cell r="AE110">
            <v>534.94555500000001</v>
          </cell>
          <cell r="AH110">
            <v>5465.0170000000144</v>
          </cell>
          <cell r="AI110">
            <v>22651.22600000001</v>
          </cell>
          <cell r="AJ110">
            <v>35993.641999999993</v>
          </cell>
          <cell r="AK110">
            <v>47706.682999999997</v>
          </cell>
          <cell r="AL110">
            <v>67912.348999999987</v>
          </cell>
          <cell r="AM110">
            <v>80661.487999999968</v>
          </cell>
          <cell r="AN110">
            <v>92435.010999999969</v>
          </cell>
          <cell r="AO110">
            <v>107164.67499999997</v>
          </cell>
          <cell r="AP110">
            <v>107164.67499999997</v>
          </cell>
          <cell r="AQ110">
            <v>107164.67499999997</v>
          </cell>
          <cell r="AR110">
            <v>107164.67499999997</v>
          </cell>
          <cell r="AS110">
            <v>107164.67499999997</v>
          </cell>
          <cell r="AW110">
            <v>14352.026999999996</v>
          </cell>
          <cell r="AX110">
            <v>17873.940999999995</v>
          </cell>
          <cell r="AY110">
            <v>21343.431999999997</v>
          </cell>
          <cell r="AZ110">
            <v>34848.667999999998</v>
          </cell>
          <cell r="BA110">
            <v>51383.743000000002</v>
          </cell>
          <cell r="BB110">
            <v>53057.194000000003</v>
          </cell>
          <cell r="BC110">
            <v>58020.115000000005</v>
          </cell>
          <cell r="BD110">
            <v>59841.692000000003</v>
          </cell>
          <cell r="BE110">
            <v>59841.692000000003</v>
          </cell>
          <cell r="BF110">
            <v>59841.692000000003</v>
          </cell>
          <cell r="BG110">
            <v>59841.692000000003</v>
          </cell>
          <cell r="BH110">
            <v>59841.692000000003</v>
          </cell>
          <cell r="BL110">
            <v>9018.4419999999973</v>
          </cell>
          <cell r="BM110">
            <v>19448.062999999998</v>
          </cell>
          <cell r="BN110">
            <v>28349.151999999995</v>
          </cell>
          <cell r="BO110">
            <v>26055.811999999994</v>
          </cell>
          <cell r="BP110">
            <v>29153.055999999997</v>
          </cell>
          <cell r="BQ110">
            <v>30845.838999999996</v>
          </cell>
          <cell r="BR110">
            <v>32793.712999999996</v>
          </cell>
          <cell r="BS110">
            <v>36588.686999999998</v>
          </cell>
          <cell r="BT110">
            <v>36588.686999999998</v>
          </cell>
          <cell r="BU110">
            <v>36588.686999999998</v>
          </cell>
          <cell r="BV110">
            <v>36588.686999999998</v>
          </cell>
          <cell r="BW110">
            <v>36588.686999999998</v>
          </cell>
          <cell r="CP110">
            <v>25076.015943320228</v>
          </cell>
          <cell r="CQ110">
            <v>21389.832441889321</v>
          </cell>
          <cell r="CR110">
            <v>48403.002441889308</v>
          </cell>
          <cell r="CS110">
            <v>68721.612441889345</v>
          </cell>
          <cell r="CT110">
            <v>79644.702441889327</v>
          </cell>
          <cell r="CU110">
            <v>100028.9424418893</v>
          </cell>
          <cell r="CV110">
            <v>118258.84244188934</v>
          </cell>
          <cell r="CW110">
            <v>128616.2124418895</v>
          </cell>
          <cell r="DE110">
            <v>2372.6140841106285</v>
          </cell>
          <cell r="DF110">
            <v>14963.02795279018</v>
          </cell>
          <cell r="DG110">
            <v>19203.707952790195</v>
          </cell>
          <cell r="DH110">
            <v>22857.767952790178</v>
          </cell>
          <cell r="DI110">
            <v>36267.097952790187</v>
          </cell>
          <cell r="DJ110">
            <v>52908.877952790208</v>
          </cell>
          <cell r="DK110">
            <v>55339.547952790163</v>
          </cell>
          <cell r="DL110">
            <v>60027.857952790197</v>
          </cell>
          <cell r="DT110">
            <v>4151.3699725691376</v>
          </cell>
          <cell r="DU110">
            <v>11176.029605320486</v>
          </cell>
          <cell r="DV110">
            <v>22903.169605320483</v>
          </cell>
          <cell r="DW110">
            <v>32926.619605320491</v>
          </cell>
          <cell r="DX110">
            <v>30509.009605320491</v>
          </cell>
          <cell r="DY110">
            <v>33301.779605320495</v>
          </cell>
          <cell r="DZ110">
            <v>35731.059605320494</v>
          </cell>
          <cell r="EA110">
            <v>37268.729605320477</v>
          </cell>
          <cell r="EX110">
            <v>21147.814999999999</v>
          </cell>
          <cell r="EY110">
            <v>56461.910000000018</v>
          </cell>
          <cell r="EZ110">
            <v>77547.120000000054</v>
          </cell>
          <cell r="FA110">
            <v>99910.115000000063</v>
          </cell>
          <cell r="FB110">
            <v>117356.84500000006</v>
          </cell>
          <cell r="FC110">
            <v>147600.20500000007</v>
          </cell>
          <cell r="FD110">
            <v>171413.94500000007</v>
          </cell>
          <cell r="FE110">
            <v>201627.52500000005</v>
          </cell>
          <cell r="FF110">
            <v>221917.06500000003</v>
          </cell>
          <cell r="FG110">
            <v>252338.31500000006</v>
          </cell>
          <cell r="FH110">
            <v>274609.58500000008</v>
          </cell>
          <cell r="FI110">
            <v>298990.51500000007</v>
          </cell>
          <cell r="FM110">
            <v>2061.2399999999989</v>
          </cell>
          <cell r="FN110">
            <v>5733.0699999999979</v>
          </cell>
          <cell r="FO110">
            <v>7640.369999999999</v>
          </cell>
          <cell r="FP110">
            <v>9576.3399999999983</v>
          </cell>
          <cell r="FQ110">
            <v>11469.679999999998</v>
          </cell>
          <cell r="FR110">
            <v>13331.069999999998</v>
          </cell>
          <cell r="FS110">
            <v>22686.489999999998</v>
          </cell>
          <cell r="FT110">
            <v>25327.79</v>
          </cell>
          <cell r="FU110">
            <v>27110.84</v>
          </cell>
          <cell r="FV110">
            <v>37454.1</v>
          </cell>
          <cell r="FW110">
            <v>48430.95</v>
          </cell>
          <cell r="FX110">
            <v>53671.85</v>
          </cell>
          <cell r="GB110">
            <v>4623.7499999999982</v>
          </cell>
          <cell r="GC110">
            <v>29204.649999999994</v>
          </cell>
          <cell r="GD110">
            <v>48662.239999999991</v>
          </cell>
          <cell r="GE110">
            <v>70886.01999999999</v>
          </cell>
          <cell r="GF110">
            <v>80495.95</v>
          </cell>
          <cell r="GG110">
            <v>95590.47</v>
          </cell>
          <cell r="GH110">
            <v>115665.67</v>
          </cell>
          <cell r="GI110">
            <v>129322.31</v>
          </cell>
          <cell r="GJ110">
            <v>140529.74</v>
          </cell>
          <cell r="GK110">
            <v>159885.38</v>
          </cell>
          <cell r="GL110">
            <v>172147.53</v>
          </cell>
          <cell r="GM110">
            <v>182283.19</v>
          </cell>
        </row>
        <row r="111">
          <cell r="A111" t="str">
            <v>General &amp; Administrative Expense</v>
          </cell>
          <cell r="C111">
            <v>925.33782400000007</v>
          </cell>
          <cell r="D111">
            <v>0</v>
          </cell>
          <cell r="E111">
            <v>925.33782400000007</v>
          </cell>
          <cell r="F111" t="str">
            <v>n/a</v>
          </cell>
          <cell r="G111">
            <v>1012.3302715246272</v>
          </cell>
          <cell r="H111">
            <v>1341.0425796120637</v>
          </cell>
          <cell r="J111">
            <v>683.11144300000001</v>
          </cell>
          <cell r="K111">
            <v>0</v>
          </cell>
          <cell r="L111">
            <v>683.11144300000001</v>
          </cell>
          <cell r="M111" t="str">
            <v>n/a</v>
          </cell>
          <cell r="N111">
            <v>793.41560884486648</v>
          </cell>
          <cell r="O111">
            <v>962.92528064144949</v>
          </cell>
          <cell r="Q111">
            <v>131.07180300000002</v>
          </cell>
          <cell r="R111">
            <v>0</v>
          </cell>
          <cell r="S111">
            <v>131.07180300000002</v>
          </cell>
          <cell r="T111" t="str">
            <v>n/a</v>
          </cell>
          <cell r="U111">
            <v>97.584887428264082</v>
          </cell>
          <cell r="V111">
            <v>71.984153894167662</v>
          </cell>
          <cell r="X111">
            <v>111.15457800000001</v>
          </cell>
          <cell r="Y111">
            <v>0</v>
          </cell>
          <cell r="Z111">
            <v>111.15457800000001</v>
          </cell>
          <cell r="AA111" t="str">
            <v>n/a</v>
          </cell>
          <cell r="AB111">
            <v>121.32977525149659</v>
          </cell>
          <cell r="AC111">
            <v>306.13314507644657</v>
          </cell>
          <cell r="AD111">
            <v>1346.8881970064999</v>
          </cell>
          <cell r="AE111">
            <v>1769.8831988759216</v>
          </cell>
          <cell r="AH111">
            <v>73336.295000000013</v>
          </cell>
          <cell r="AI111">
            <v>160054.79399999999</v>
          </cell>
          <cell r="AJ111">
            <v>253746.68</v>
          </cell>
          <cell r="AK111">
            <v>326653.09100000001</v>
          </cell>
          <cell r="AL111">
            <v>432727.17699999997</v>
          </cell>
          <cell r="AM111">
            <v>531035.06599999999</v>
          </cell>
          <cell r="AN111">
            <v>605390.18900000001</v>
          </cell>
          <cell r="AO111">
            <v>683111.44299999997</v>
          </cell>
          <cell r="AP111">
            <v>683111.44299999997</v>
          </cell>
          <cell r="AQ111">
            <v>683111.44299999997</v>
          </cell>
          <cell r="AR111">
            <v>683111.44299999997</v>
          </cell>
          <cell r="AS111">
            <v>683111.44299999997</v>
          </cell>
          <cell r="AW111">
            <v>21751.897999999997</v>
          </cell>
          <cell r="AX111">
            <v>32817.781999999992</v>
          </cell>
          <cell r="AY111">
            <v>44434.663</v>
          </cell>
          <cell r="AZ111">
            <v>70164.188999999998</v>
          </cell>
          <cell r="BA111">
            <v>96619.304000000004</v>
          </cell>
          <cell r="BB111">
            <v>109396.02500000001</v>
          </cell>
          <cell r="BC111">
            <v>122138.11600000001</v>
          </cell>
          <cell r="BD111">
            <v>131071.80300000001</v>
          </cell>
          <cell r="BE111">
            <v>131071.80300000001</v>
          </cell>
          <cell r="BF111">
            <v>131071.80300000001</v>
          </cell>
          <cell r="BG111">
            <v>131071.80300000001</v>
          </cell>
          <cell r="BH111">
            <v>131071.80300000001</v>
          </cell>
          <cell r="BL111">
            <v>16418.312999999998</v>
          </cell>
          <cell r="BM111">
            <v>34391.903999999995</v>
          </cell>
          <cell r="BN111">
            <v>51440.383000000002</v>
          </cell>
          <cell r="BO111">
            <v>63597.112999999998</v>
          </cell>
          <cell r="BP111">
            <v>76884.396999999997</v>
          </cell>
          <cell r="BQ111">
            <v>90220.45</v>
          </cell>
          <cell r="BR111">
            <v>100247.49400000001</v>
          </cell>
          <cell r="BS111">
            <v>111154.57800000001</v>
          </cell>
          <cell r="BT111">
            <v>111154.57800000001</v>
          </cell>
          <cell r="BU111">
            <v>111154.57800000001</v>
          </cell>
          <cell r="BV111">
            <v>111154.57800000001</v>
          </cell>
          <cell r="BW111">
            <v>111154.57800000001</v>
          </cell>
          <cell r="CP111">
            <v>91653.917989830923</v>
          </cell>
          <cell r="CQ111">
            <v>142706.5880608827</v>
          </cell>
          <cell r="CR111">
            <v>255437.25591934496</v>
          </cell>
          <cell r="CS111">
            <v>351827.16100925661</v>
          </cell>
          <cell r="CT111">
            <v>423888.10670077568</v>
          </cell>
          <cell r="CU111">
            <v>527943.08025454381</v>
          </cell>
          <cell r="CV111">
            <v>622782.61117880838</v>
          </cell>
          <cell r="CW111">
            <v>698436.72173777816</v>
          </cell>
          <cell r="DE111">
            <v>11037.050770683829</v>
          </cell>
          <cell r="DF111">
            <v>30884.013887323665</v>
          </cell>
          <cell r="DG111">
            <v>45249.163165194455</v>
          </cell>
          <cell r="DH111">
            <v>56368.519529905359</v>
          </cell>
          <cell r="DI111">
            <v>81993.288569559401</v>
          </cell>
          <cell r="DJ111">
            <v>108204.71898314935</v>
          </cell>
          <cell r="DK111">
            <v>120311.85028755131</v>
          </cell>
          <cell r="DL111">
            <v>133212.22051132907</v>
          </cell>
          <cell r="DT111">
            <v>13754.923689467767</v>
          </cell>
          <cell r="DU111">
            <v>26454.973781109547</v>
          </cell>
          <cell r="DV111">
            <v>48112.149782638946</v>
          </cell>
          <cell r="DW111">
            <v>65652.289961492032</v>
          </cell>
          <cell r="DX111">
            <v>77676.565895817796</v>
          </cell>
          <cell r="DY111">
            <v>90335.387167515233</v>
          </cell>
          <cell r="DZ111">
            <v>103088.63444635271</v>
          </cell>
          <cell r="EA111">
            <v>113105.7476237987</v>
          </cell>
          <cell r="EX111">
            <v>111842.39288297355</v>
          </cell>
          <cell r="EY111">
            <v>248378.23360668763</v>
          </cell>
          <cell r="EZ111">
            <v>345474.29523240455</v>
          </cell>
          <cell r="FA111">
            <v>429400.1281664382</v>
          </cell>
          <cell r="FB111">
            <v>512772.45718972932</v>
          </cell>
          <cell r="FC111">
            <v>634407.0725111987</v>
          </cell>
          <cell r="FD111">
            <v>749005.80590227176</v>
          </cell>
          <cell r="FE111">
            <v>862574.89253874554</v>
          </cell>
          <cell r="FF111">
            <v>962925.2806414495</v>
          </cell>
          <cell r="FG111">
            <v>1073279.5136658805</v>
          </cell>
          <cell r="FH111">
            <v>1172792.6526306947</v>
          </cell>
          <cell r="FI111">
            <v>1258794.9817808182</v>
          </cell>
          <cell r="FM111">
            <v>7926.9290419261788</v>
          </cell>
          <cell r="FN111">
            <v>17011.824721104138</v>
          </cell>
          <cell r="FO111">
            <v>23427.222170085588</v>
          </cell>
          <cell r="FP111">
            <v>29325.255513083466</v>
          </cell>
          <cell r="FQ111">
            <v>35201.704263830543</v>
          </cell>
          <cell r="FR111">
            <v>43161.852734006541</v>
          </cell>
          <cell r="FS111">
            <v>56908.224699781531</v>
          </cell>
          <cell r="FT111">
            <v>65467.575583077894</v>
          </cell>
          <cell r="FU111">
            <v>71984.153894167655</v>
          </cell>
          <cell r="FV111">
            <v>87282.7094197119</v>
          </cell>
          <cell r="FW111">
            <v>102659.37241802852</v>
          </cell>
          <cell r="FX111">
            <v>111394.09713325718</v>
          </cell>
          <cell r="GB111">
            <v>25940.837728347971</v>
          </cell>
          <cell r="GC111">
            <v>69417.300222281134</v>
          </cell>
          <cell r="GD111">
            <v>105339.4929191017</v>
          </cell>
          <cell r="GE111">
            <v>143875.54823946807</v>
          </cell>
          <cell r="GF111">
            <v>167715.74676493075</v>
          </cell>
          <cell r="GG111">
            <v>202950.06755453863</v>
          </cell>
          <cell r="GH111">
            <v>238499.42833465582</v>
          </cell>
          <cell r="GI111">
            <v>275556.06119623047</v>
          </cell>
          <cell r="GJ111">
            <v>306133.14507644653</v>
          </cell>
          <cell r="GK111">
            <v>345946.38079493411</v>
          </cell>
          <cell r="GL111">
            <v>375747.11001631268</v>
          </cell>
          <cell r="GM111">
            <v>399694.11996184633</v>
          </cell>
        </row>
        <row r="114">
          <cell r="A114" t="str">
            <v>Operating Income/(Loss)</v>
          </cell>
          <cell r="C114">
            <v>2599.6348399999979</v>
          </cell>
          <cell r="D114">
            <v>0</v>
          </cell>
          <cell r="E114">
            <v>2599.6348399999979</v>
          </cell>
          <cell r="F114" t="str">
            <v>n/a</v>
          </cell>
          <cell r="G114">
            <v>1784.5678288517147</v>
          </cell>
          <cell r="H114">
            <v>1439.8283799999979</v>
          </cell>
          <cell r="J114">
            <v>2291.0139749999998</v>
          </cell>
          <cell r="K114">
            <v>0</v>
          </cell>
          <cell r="L114">
            <v>2291.0139749999998</v>
          </cell>
          <cell r="M114" t="str">
            <v>n/a</v>
          </cell>
          <cell r="N114">
            <v>1091.7486582440069</v>
          </cell>
          <cell r="O114">
            <v>1167.3296200000011</v>
          </cell>
          <cell r="Q114">
            <v>241.35328600000017</v>
          </cell>
          <cell r="R114">
            <v>0</v>
          </cell>
          <cell r="S114">
            <v>241.35328600000017</v>
          </cell>
          <cell r="T114" t="str">
            <v>n/a</v>
          </cell>
          <cell r="U114">
            <v>611.86518713749808</v>
          </cell>
          <cell r="V114">
            <v>-1.0856460000001107</v>
          </cell>
          <cell r="X114">
            <v>67.267578999999898</v>
          </cell>
          <cell r="Y114">
            <v>0</v>
          </cell>
          <cell r="Z114">
            <v>67.267578999999898</v>
          </cell>
          <cell r="AA114" t="str">
            <v>n/a</v>
          </cell>
          <cell r="AB114">
            <v>80.953983470208897</v>
          </cell>
          <cell r="AC114">
            <v>273.58440599999994</v>
          </cell>
          <cell r="AD114">
            <v>2171.3859188022411</v>
          </cell>
          <cell r="AE114">
            <v>1530.721790000001</v>
          </cell>
          <cell r="AH114">
            <v>988.82700000013574</v>
          </cell>
          <cell r="AI114">
            <v>67751.087000000174</v>
          </cell>
          <cell r="AJ114">
            <v>664884.11599999969</v>
          </cell>
          <cell r="AK114">
            <v>966985.85499999905</v>
          </cell>
          <cell r="AL114">
            <v>1229063.5500000003</v>
          </cell>
          <cell r="AM114">
            <v>1952605.0650000004</v>
          </cell>
          <cell r="AN114">
            <v>2139206.9730000002</v>
          </cell>
          <cell r="AO114">
            <v>2291013.9749999978</v>
          </cell>
          <cell r="AP114">
            <v>2291013.9749999978</v>
          </cell>
          <cell r="AQ114">
            <v>2291013.9749999978</v>
          </cell>
          <cell r="AR114">
            <v>2291013.9749999978</v>
          </cell>
          <cell r="AS114">
            <v>2291013.9749999978</v>
          </cell>
          <cell r="AW114">
            <v>59092.423999999999</v>
          </cell>
          <cell r="AX114">
            <v>47710.743999999992</v>
          </cell>
          <cell r="AY114">
            <v>150121.16500000007</v>
          </cell>
          <cell r="AZ114">
            <v>264594.68599999999</v>
          </cell>
          <cell r="BA114">
            <v>300579.4310000001</v>
          </cell>
          <cell r="BB114">
            <v>255984.7359999998</v>
          </cell>
          <cell r="BC114">
            <v>229083.71800000008</v>
          </cell>
          <cell r="BD114">
            <v>241353.28600000002</v>
          </cell>
          <cell r="BE114">
            <v>241353.28600000002</v>
          </cell>
          <cell r="BF114">
            <v>241353.28600000002</v>
          </cell>
          <cell r="BG114">
            <v>241353.28600000002</v>
          </cell>
          <cell r="BH114">
            <v>241353.28600000002</v>
          </cell>
          <cell r="BL114">
            <v>82605.058999999965</v>
          </cell>
          <cell r="BM114">
            <v>57652.869000000021</v>
          </cell>
          <cell r="BN114">
            <v>-72417.390999999989</v>
          </cell>
          <cell r="BO114">
            <v>-211267.87099999998</v>
          </cell>
          <cell r="BP114">
            <v>-166699.7209999999</v>
          </cell>
          <cell r="BQ114">
            <v>64219.959000000017</v>
          </cell>
          <cell r="BR114">
            <v>40638.588999999949</v>
          </cell>
          <cell r="BS114">
            <v>67267.578999999881</v>
          </cell>
          <cell r="BT114">
            <v>67267.578999999881</v>
          </cell>
          <cell r="BU114">
            <v>67267.578999999881</v>
          </cell>
          <cell r="BV114">
            <v>67267.578999999881</v>
          </cell>
          <cell r="BW114">
            <v>67267.578999999881</v>
          </cell>
          <cell r="CP114">
            <v>75126.303910495801</v>
          </cell>
          <cell r="CQ114">
            <v>164555.48459701653</v>
          </cell>
          <cell r="CR114">
            <v>517807.43218752393</v>
          </cell>
          <cell r="CS114">
            <v>930160.60754943232</v>
          </cell>
          <cell r="CT114">
            <v>995459.87370130466</v>
          </cell>
          <cell r="CU114">
            <v>1356410.2535422377</v>
          </cell>
          <cell r="CV114">
            <v>1921367.4219482229</v>
          </cell>
          <cell r="CW114">
            <v>2160652.0714471149</v>
          </cell>
          <cell r="DE114">
            <v>6748.5212395382223</v>
          </cell>
          <cell r="DF114">
            <v>194049.57326804855</v>
          </cell>
          <cell r="DG114">
            <v>180121.75305721033</v>
          </cell>
          <cell r="DH114">
            <v>292997.41843699844</v>
          </cell>
          <cell r="DI114">
            <v>319329.97382383735</v>
          </cell>
          <cell r="DJ114">
            <v>347843.88334764098</v>
          </cell>
          <cell r="DK114">
            <v>275402.51123071788</v>
          </cell>
          <cell r="DL114">
            <v>282590.52244417177</v>
          </cell>
          <cell r="DT114">
            <v>68760.937097991817</v>
          </cell>
          <cell r="DU114">
            <v>39865.623700533099</v>
          </cell>
          <cell r="DV114">
            <v>-73123.799320050588</v>
          </cell>
          <cell r="DW114">
            <v>-178058.27367803684</v>
          </cell>
          <cell r="DX114">
            <v>-16210.556999018154</v>
          </cell>
          <cell r="DY114">
            <v>16131.159673337708</v>
          </cell>
          <cell r="DZ114">
            <v>93497.48454739734</v>
          </cell>
          <cell r="EA114">
            <v>85926.381256753142</v>
          </cell>
          <cell r="EX114">
            <v>144311.19500000007</v>
          </cell>
          <cell r="EY114">
            <v>195548.48499999993</v>
          </cell>
          <cell r="EZ114">
            <v>854901.85999999964</v>
          </cell>
          <cell r="FA114">
            <v>1022377.2450000005</v>
          </cell>
          <cell r="FB114">
            <v>1434986.9099999997</v>
          </cell>
          <cell r="FC114">
            <v>1984940.2200000004</v>
          </cell>
          <cell r="FD114">
            <v>1710556.8700000003</v>
          </cell>
          <cell r="FE114">
            <v>1570034.5600000019</v>
          </cell>
          <cell r="FF114">
            <v>1495842.1800000006</v>
          </cell>
          <cell r="FG114">
            <v>1547053.8690000004</v>
          </cell>
          <cell r="FH114">
            <v>1581985.1840000022</v>
          </cell>
          <cell r="FI114">
            <v>1718016.4840000025</v>
          </cell>
          <cell r="FM114">
            <v>28871.243000000006</v>
          </cell>
          <cell r="FN114">
            <v>66557.709000000003</v>
          </cell>
          <cell r="FO114">
            <v>129962.326</v>
          </cell>
          <cell r="FP114">
            <v>126334.577</v>
          </cell>
          <cell r="FQ114">
            <v>110510.73599999999</v>
          </cell>
          <cell r="FR114">
            <v>65906.614000000001</v>
          </cell>
          <cell r="FS114">
            <v>31883.943999999981</v>
          </cell>
          <cell r="FT114">
            <v>30706.804000000018</v>
          </cell>
          <cell r="FU114">
            <v>59826.364000000031</v>
          </cell>
          <cell r="FV114">
            <v>86224.724999999977</v>
          </cell>
          <cell r="FW114">
            <v>91590.820000000051</v>
          </cell>
          <cell r="FX114">
            <v>113577.28800000002</v>
          </cell>
          <cell r="GB114">
            <v>-29585.577999999987</v>
          </cell>
          <cell r="GC114">
            <v>-9603.6739999999627</v>
          </cell>
          <cell r="GD114">
            <v>151746.31400000007</v>
          </cell>
          <cell r="GE114">
            <v>189955.09800000006</v>
          </cell>
          <cell r="GF114">
            <v>350658.80400000012</v>
          </cell>
          <cell r="GG114">
            <v>543095.83600000001</v>
          </cell>
          <cell r="GH114">
            <v>669102.9659999999</v>
          </cell>
          <cell r="GI114">
            <v>697392.70600000012</v>
          </cell>
          <cell r="GJ114">
            <v>666856.196</v>
          </cell>
          <cell r="GK114">
            <v>696847.53600000008</v>
          </cell>
          <cell r="GL114">
            <v>759285.83599999989</v>
          </cell>
          <cell r="GM114">
            <v>828517.65799999959</v>
          </cell>
        </row>
        <row r="116">
          <cell r="A116" t="str">
            <v>Other Income/(Expense)</v>
          </cell>
          <cell r="C116">
            <v>-139.60287000000002</v>
          </cell>
          <cell r="D116">
            <v>0</v>
          </cell>
          <cell r="E116">
            <v>-139.60287000000002</v>
          </cell>
          <cell r="F116" t="str">
            <v>n/a</v>
          </cell>
          <cell r="G116">
            <v>-150.6120499999999</v>
          </cell>
          <cell r="H116">
            <v>-40.384209999999996</v>
          </cell>
          <cell r="J116">
            <v>-48.487179999999995</v>
          </cell>
          <cell r="K116">
            <v>0</v>
          </cell>
          <cell r="L116">
            <v>-48.487179999999995</v>
          </cell>
          <cell r="M116" t="str">
            <v>n/a</v>
          </cell>
          <cell r="N116">
            <v>175.08485964024152</v>
          </cell>
          <cell r="O116">
            <v>-10.889200000000001</v>
          </cell>
          <cell r="Q116">
            <v>-80.03425</v>
          </cell>
          <cell r="R116">
            <v>0</v>
          </cell>
          <cell r="S116">
            <v>-80.03425</v>
          </cell>
          <cell r="T116" t="str">
            <v>n/a</v>
          </cell>
          <cell r="U116">
            <v>-307.21501115454959</v>
          </cell>
          <cell r="V116">
            <v>1.0055800000000001</v>
          </cell>
          <cell r="X116">
            <v>-11.081440000000002</v>
          </cell>
          <cell r="Y116">
            <v>0</v>
          </cell>
          <cell r="Z116">
            <v>-11.081440000000002</v>
          </cell>
          <cell r="AA116" t="str">
            <v>n/a</v>
          </cell>
          <cell r="AB116">
            <v>-18.481898485691843</v>
          </cell>
          <cell r="AC116">
            <v>-30.500589999999995</v>
          </cell>
          <cell r="AD116">
            <v>-180.20557000000002</v>
          </cell>
          <cell r="AE116">
            <v>-102.80721</v>
          </cell>
          <cell r="AH116">
            <v>0</v>
          </cell>
          <cell r="AI116">
            <v>-5.88</v>
          </cell>
          <cell r="AJ116">
            <v>-33837.579999999994</v>
          </cell>
          <cell r="AK116">
            <v>-33837.649999999994</v>
          </cell>
          <cell r="AL116">
            <v>-471.73999999999069</v>
          </cell>
          <cell r="AM116">
            <v>-30930.829999999994</v>
          </cell>
          <cell r="AN116">
            <v>-40030.829999999994</v>
          </cell>
          <cell r="AO116">
            <v>-48487.179999999993</v>
          </cell>
          <cell r="AP116">
            <v>-48487.179999999993</v>
          </cell>
          <cell r="AQ116">
            <v>-48487.179999999993</v>
          </cell>
          <cell r="AR116">
            <v>-48487.179999999993</v>
          </cell>
          <cell r="AS116">
            <v>-48487.179999999993</v>
          </cell>
          <cell r="AW116">
            <v>0</v>
          </cell>
          <cell r="AX116">
            <v>0</v>
          </cell>
          <cell r="AY116">
            <v>-6766.34</v>
          </cell>
          <cell r="AZ116">
            <v>-41766.350000000006</v>
          </cell>
          <cell r="BA116">
            <v>-75132.260000000009</v>
          </cell>
          <cell r="BB116">
            <v>-41184.98000000001</v>
          </cell>
          <cell r="BC116">
            <v>-43004.98000000001</v>
          </cell>
          <cell r="BD116">
            <v>-80034.25</v>
          </cell>
          <cell r="BE116">
            <v>-80034.25</v>
          </cell>
          <cell r="BF116">
            <v>-80034.25</v>
          </cell>
          <cell r="BG116">
            <v>-80034.25</v>
          </cell>
          <cell r="BH116">
            <v>-80034.25</v>
          </cell>
          <cell r="BL116">
            <v>0</v>
          </cell>
          <cell r="BM116">
            <v>0</v>
          </cell>
          <cell r="BN116">
            <v>-7732.96</v>
          </cell>
          <cell r="BO116">
            <v>-7732.9800000000005</v>
          </cell>
          <cell r="BP116">
            <v>-7732.9800000000005</v>
          </cell>
          <cell r="BQ116">
            <v>-7068.56</v>
          </cell>
          <cell r="BR116">
            <v>-9148.5600000000013</v>
          </cell>
          <cell r="BS116">
            <v>-11081.440000000002</v>
          </cell>
          <cell r="BT116">
            <v>-11081.440000000002</v>
          </cell>
          <cell r="BU116">
            <v>-11081.440000000002</v>
          </cell>
          <cell r="BV116">
            <v>-11081.440000000002</v>
          </cell>
          <cell r="BW116">
            <v>-11081.440000000002</v>
          </cell>
          <cell r="CP116">
            <v>-11360.830720048163</v>
          </cell>
          <cell r="CQ116">
            <v>17787.05058086483</v>
          </cell>
          <cell r="CR116">
            <v>21387.416344768913</v>
          </cell>
          <cell r="CS116">
            <v>-2938.4735396245023</v>
          </cell>
          <cell r="CT116">
            <v>-2983.5182541886329</v>
          </cell>
          <cell r="CU116">
            <v>-32360.268037449132</v>
          </cell>
          <cell r="CV116">
            <v>-39700.609999999993</v>
          </cell>
          <cell r="CW116">
            <v>-50477.259999999995</v>
          </cell>
          <cell r="DE116">
            <v>-1650.1656676700784</v>
          </cell>
          <cell r="DF116">
            <v>-32844.930580864828</v>
          </cell>
          <cell r="DG116">
            <v>-42361.226344768911</v>
          </cell>
          <cell r="DH116">
            <v>-40491.19646037549</v>
          </cell>
          <cell r="DI116">
            <v>-75446.231745811354</v>
          </cell>
          <cell r="DJ116">
            <v>-85593.680962550876</v>
          </cell>
          <cell r="DK116">
            <v>-43338.95</v>
          </cell>
          <cell r="DL116">
            <v>-45598.95</v>
          </cell>
          <cell r="DT116">
            <v>-2933.7036122817581</v>
          </cell>
          <cell r="DU116">
            <v>-2123.31</v>
          </cell>
          <cell r="DV116">
            <v>-2087.84</v>
          </cell>
          <cell r="DW116">
            <v>-8046.93</v>
          </cell>
          <cell r="DX116">
            <v>-8046.9500000000007</v>
          </cell>
          <cell r="DY116">
            <v>-15966.059599999999</v>
          </cell>
          <cell r="DZ116">
            <v>-9520.8499999999985</v>
          </cell>
          <cell r="EA116">
            <v>-11606.849999999999</v>
          </cell>
          <cell r="EX116">
            <v>-6670.5899999999992</v>
          </cell>
          <cell r="EY116">
            <v>-6795.0899999999992</v>
          </cell>
          <cell r="EZ116">
            <v>-9088.34</v>
          </cell>
          <cell r="FA116">
            <v>-14691.24</v>
          </cell>
          <cell r="FB116">
            <v>-16822.09</v>
          </cell>
          <cell r="FC116">
            <v>-26752.95</v>
          </cell>
          <cell r="FD116">
            <v>-26710.95</v>
          </cell>
          <cell r="FE116">
            <v>-27473.11</v>
          </cell>
          <cell r="FF116">
            <v>-10889.2</v>
          </cell>
          <cell r="FG116">
            <v>-38118.97</v>
          </cell>
          <cell r="FH116">
            <v>-45436.92</v>
          </cell>
          <cell r="FI116">
            <v>-55220.99</v>
          </cell>
          <cell r="FM116">
            <v>0</v>
          </cell>
          <cell r="FN116">
            <v>0</v>
          </cell>
          <cell r="FO116">
            <v>0</v>
          </cell>
          <cell r="FP116">
            <v>0</v>
          </cell>
          <cell r="FQ116">
            <v>0</v>
          </cell>
          <cell r="FR116">
            <v>0</v>
          </cell>
          <cell r="FS116">
            <v>0</v>
          </cell>
          <cell r="FT116">
            <v>0</v>
          </cell>
          <cell r="FU116">
            <v>1005.58</v>
          </cell>
          <cell r="FV116">
            <v>-1325.12</v>
          </cell>
          <cell r="FW116">
            <v>-1791.2599999999998</v>
          </cell>
          <cell r="FX116">
            <v>-2138.6699999999996</v>
          </cell>
          <cell r="GB116">
            <v>0</v>
          </cell>
          <cell r="GC116">
            <v>-6000</v>
          </cell>
          <cell r="GD116">
            <v>-6000</v>
          </cell>
          <cell r="GE116">
            <v>-12000</v>
          </cell>
          <cell r="GF116">
            <v>-12000</v>
          </cell>
          <cell r="GG116">
            <v>-35280.85</v>
          </cell>
          <cell r="GH116">
            <v>-35280.85</v>
          </cell>
          <cell r="GI116">
            <v>-35280.85</v>
          </cell>
          <cell r="GJ116">
            <v>-30500.589999999997</v>
          </cell>
          <cell r="GK116">
            <v>-41580.119999999995</v>
          </cell>
          <cell r="GL116">
            <v>-43796.03</v>
          </cell>
          <cell r="GM116">
            <v>-45447.549999999996</v>
          </cell>
        </row>
        <row r="118">
          <cell r="A118" t="str">
            <v>EBITDA</v>
          </cell>
          <cell r="C118">
            <v>2460.0319699999977</v>
          </cell>
          <cell r="D118">
            <v>0</v>
          </cell>
          <cell r="E118">
            <v>2460.0319699999977</v>
          </cell>
          <cell r="F118" t="str">
            <v>n/a</v>
          </cell>
          <cell r="G118">
            <v>1633.9557788517147</v>
          </cell>
          <cell r="H118">
            <v>1399.4441699999979</v>
          </cell>
          <cell r="J118">
            <v>2242.5267949999998</v>
          </cell>
          <cell r="K118">
            <v>0</v>
          </cell>
          <cell r="L118">
            <v>2242.5267949999998</v>
          </cell>
          <cell r="M118" t="str">
            <v>n/a</v>
          </cell>
          <cell r="N118">
            <v>1266.8335178842485</v>
          </cell>
          <cell r="O118">
            <v>1156.440420000001</v>
          </cell>
          <cell r="Q118">
            <v>161.31903600000015</v>
          </cell>
          <cell r="R118">
            <v>0</v>
          </cell>
          <cell r="S118">
            <v>161.31903600000015</v>
          </cell>
          <cell r="T118" t="str">
            <v>n/a</v>
          </cell>
          <cell r="U118">
            <v>304.6501759829485</v>
          </cell>
          <cell r="V118">
            <v>-8.0066000000110549E-2</v>
          </cell>
          <cell r="X118">
            <v>56.186138999999898</v>
          </cell>
          <cell r="Y118">
            <v>0</v>
          </cell>
          <cell r="Z118">
            <v>56.186138999999898</v>
          </cell>
          <cell r="AA118" t="str">
            <v>n/a</v>
          </cell>
          <cell r="AB118">
            <v>62.472084984517053</v>
          </cell>
          <cell r="AC118">
            <v>243.08381599999996</v>
          </cell>
          <cell r="AD118">
            <v>1991.180348802241</v>
          </cell>
          <cell r="AE118">
            <v>1427.914580000001</v>
          </cell>
          <cell r="AH118">
            <v>988.82700000013574</v>
          </cell>
          <cell r="AI118">
            <v>67745.20700000017</v>
          </cell>
          <cell r="AJ118">
            <v>631046.53599999973</v>
          </cell>
          <cell r="AK118">
            <v>933148.20499999903</v>
          </cell>
          <cell r="AL118">
            <v>1228591.8100000003</v>
          </cell>
          <cell r="AM118">
            <v>1921674.2350000003</v>
          </cell>
          <cell r="AN118">
            <v>2099176.1430000002</v>
          </cell>
          <cell r="AO118">
            <v>2242526.7949999976</v>
          </cell>
          <cell r="AP118">
            <v>2242526.7949999976</v>
          </cell>
          <cell r="AQ118">
            <v>2242526.7949999976</v>
          </cell>
          <cell r="AR118">
            <v>2242526.7949999976</v>
          </cell>
          <cell r="AS118">
            <v>2242526.7949999976</v>
          </cell>
          <cell r="AW118">
            <v>59092.423999999999</v>
          </cell>
          <cell r="AX118">
            <v>47710.743999999992</v>
          </cell>
          <cell r="AY118">
            <v>143354.82500000007</v>
          </cell>
          <cell r="AZ118">
            <v>222828.33599999998</v>
          </cell>
          <cell r="BA118">
            <v>225447.17100000009</v>
          </cell>
          <cell r="BB118">
            <v>214799.75599999979</v>
          </cell>
          <cell r="BC118">
            <v>186078.73800000007</v>
          </cell>
          <cell r="BD118">
            <v>161319.03600000002</v>
          </cell>
          <cell r="BE118">
            <v>161319.03600000002</v>
          </cell>
          <cell r="BF118">
            <v>161319.03600000002</v>
          </cell>
          <cell r="BG118">
            <v>161319.03600000002</v>
          </cell>
          <cell r="BH118">
            <v>161319.03600000002</v>
          </cell>
          <cell r="BL118">
            <v>82605.058999999965</v>
          </cell>
          <cell r="BM118">
            <v>57652.869000000021</v>
          </cell>
          <cell r="BN118">
            <v>-80150.350999999995</v>
          </cell>
          <cell r="BO118">
            <v>-219000.851</v>
          </cell>
          <cell r="BP118">
            <v>-174432.70099999991</v>
          </cell>
          <cell r="BQ118">
            <v>57151.399000000019</v>
          </cell>
          <cell r="BR118">
            <v>31490.028999999948</v>
          </cell>
          <cell r="BS118">
            <v>56186.138999999879</v>
          </cell>
          <cell r="BT118">
            <v>56186.138999999879</v>
          </cell>
          <cell r="BU118">
            <v>56186.138999999879</v>
          </cell>
          <cell r="BV118">
            <v>56186.138999999879</v>
          </cell>
          <cell r="BW118">
            <v>56186.138999999879</v>
          </cell>
          <cell r="CP118">
            <v>63765.473190447636</v>
          </cell>
          <cell r="CQ118">
            <v>182342.53517788136</v>
          </cell>
          <cell r="CR118">
            <v>539194.84853229288</v>
          </cell>
          <cell r="CS118">
            <v>927222.13400980784</v>
          </cell>
          <cell r="CT118">
            <v>992476.35544711608</v>
          </cell>
          <cell r="CU118">
            <v>1324049.9855047886</v>
          </cell>
          <cell r="CV118">
            <v>1881666.8119482228</v>
          </cell>
          <cell r="CW118">
            <v>2110174.8114471151</v>
          </cell>
          <cell r="DE118">
            <v>5098.3555718681437</v>
          </cell>
          <cell r="DF118">
            <v>161204.64268718372</v>
          </cell>
          <cell r="DG118">
            <v>137760.52671244141</v>
          </cell>
          <cell r="DH118">
            <v>252506.22197662294</v>
          </cell>
          <cell r="DI118">
            <v>243883.742078026</v>
          </cell>
          <cell r="DJ118">
            <v>262250.20238509012</v>
          </cell>
          <cell r="DK118">
            <v>232063.56123071787</v>
          </cell>
          <cell r="DL118">
            <v>236991.57244417176</v>
          </cell>
          <cell r="DT118">
            <v>65827.233485710065</v>
          </cell>
          <cell r="DU118">
            <v>37742.313700533101</v>
          </cell>
          <cell r="DV118">
            <v>-75211.639320050585</v>
          </cell>
          <cell r="DW118">
            <v>-186105.20367803684</v>
          </cell>
          <cell r="DX118">
            <v>-24257.506999018155</v>
          </cell>
          <cell r="DY118">
            <v>165.10007333770955</v>
          </cell>
          <cell r="DZ118">
            <v>83976.634547397349</v>
          </cell>
          <cell r="EA118">
            <v>74319.531256753136</v>
          </cell>
          <cell r="EX118">
            <v>137640.60500000007</v>
          </cell>
          <cell r="EY118">
            <v>188753.39499999993</v>
          </cell>
          <cell r="EZ118">
            <v>845813.51999999967</v>
          </cell>
          <cell r="FA118">
            <v>1007686.0050000005</v>
          </cell>
          <cell r="FB118">
            <v>1418164.8199999996</v>
          </cell>
          <cell r="FC118">
            <v>1958187.2700000005</v>
          </cell>
          <cell r="FD118">
            <v>1683845.9200000004</v>
          </cell>
          <cell r="FE118">
            <v>1542561.4500000018</v>
          </cell>
          <cell r="FF118">
            <v>1484952.9800000007</v>
          </cell>
          <cell r="FG118">
            <v>1508934.8990000004</v>
          </cell>
          <cell r="FH118">
            <v>1536548.2640000023</v>
          </cell>
          <cell r="FI118">
            <v>1662795.4940000025</v>
          </cell>
          <cell r="FM118">
            <v>28871.243000000006</v>
          </cell>
          <cell r="FN118">
            <v>66557.709000000003</v>
          </cell>
          <cell r="FO118">
            <v>129962.326</v>
          </cell>
          <cell r="FP118">
            <v>126334.577</v>
          </cell>
          <cell r="FQ118">
            <v>110510.73599999999</v>
          </cell>
          <cell r="FR118">
            <v>65906.614000000001</v>
          </cell>
          <cell r="FS118">
            <v>31883.943999999981</v>
          </cell>
          <cell r="FT118">
            <v>30706.804000000018</v>
          </cell>
          <cell r="FU118">
            <v>60831.944000000032</v>
          </cell>
          <cell r="FV118">
            <v>84899.604999999981</v>
          </cell>
          <cell r="FW118">
            <v>89799.560000000056</v>
          </cell>
          <cell r="FX118">
            <v>111438.61800000002</v>
          </cell>
          <cell r="GB118">
            <v>-29585.577999999987</v>
          </cell>
          <cell r="GC118">
            <v>-15603.673999999963</v>
          </cell>
          <cell r="GD118">
            <v>145746.31400000007</v>
          </cell>
          <cell r="GE118">
            <v>177955.09800000006</v>
          </cell>
          <cell r="GF118">
            <v>338658.80400000012</v>
          </cell>
          <cell r="GG118">
            <v>507814.98600000003</v>
          </cell>
          <cell r="GH118">
            <v>633822.11599999992</v>
          </cell>
          <cell r="GI118">
            <v>662111.85600000015</v>
          </cell>
          <cell r="GJ118">
            <v>636355.60600000003</v>
          </cell>
          <cell r="GK118">
            <v>655267.41600000008</v>
          </cell>
          <cell r="GL118">
            <v>715489.80599999987</v>
          </cell>
          <cell r="GM118">
            <v>783070.10799999954</v>
          </cell>
        </row>
        <row r="120">
          <cell r="A120" t="str">
            <v>Interest Expense (Net)</v>
          </cell>
          <cell r="C120">
            <v>-27.282979999999998</v>
          </cell>
          <cell r="D120">
            <v>0</v>
          </cell>
          <cell r="E120">
            <v>-27.282979999999998</v>
          </cell>
          <cell r="F120" t="str">
            <v>n/a</v>
          </cell>
          <cell r="G120">
            <v>0</v>
          </cell>
          <cell r="H120">
            <v>163.12027999999998</v>
          </cell>
          <cell r="J120">
            <v>-19.963609999999999</v>
          </cell>
          <cell r="K120">
            <v>0</v>
          </cell>
          <cell r="L120">
            <v>-19.963609999999999</v>
          </cell>
          <cell r="M120" t="str">
            <v>n/a</v>
          </cell>
          <cell r="N120">
            <v>0</v>
          </cell>
          <cell r="O120">
            <v>131.15669999999997</v>
          </cell>
          <cell r="Q120">
            <v>-3.5972999999999997</v>
          </cell>
          <cell r="R120">
            <v>0</v>
          </cell>
          <cell r="S120">
            <v>-3.5972999999999997</v>
          </cell>
          <cell r="T120" t="str">
            <v>n/a</v>
          </cell>
          <cell r="U120">
            <v>0</v>
          </cell>
          <cell r="V120">
            <v>9.4773499999999977</v>
          </cell>
          <cell r="X120">
            <v>-3.72207</v>
          </cell>
          <cell r="Y120">
            <v>0</v>
          </cell>
          <cell r="Z120">
            <v>-3.72207</v>
          </cell>
          <cell r="AA120" t="str">
            <v>n/a</v>
          </cell>
          <cell r="AB120">
            <v>0</v>
          </cell>
          <cell r="AC120">
            <v>22.486229999999999</v>
          </cell>
          <cell r="AD120">
            <v>-27.282979999999995</v>
          </cell>
          <cell r="AE120">
            <v>249.63954999999999</v>
          </cell>
          <cell r="AH120">
            <v>44.660000000000004</v>
          </cell>
          <cell r="AI120">
            <v>-21131.260000000002</v>
          </cell>
          <cell r="AJ120">
            <v>-20695.640000000003</v>
          </cell>
          <cell r="AK120">
            <v>-20155.520000000004</v>
          </cell>
          <cell r="AL120">
            <v>-20012.980000000003</v>
          </cell>
          <cell r="AM120">
            <v>-19960.760000000002</v>
          </cell>
          <cell r="AN120">
            <v>-19958.29</v>
          </cell>
          <cell r="AO120">
            <v>-19963.61</v>
          </cell>
          <cell r="AP120">
            <v>-19963.61</v>
          </cell>
          <cell r="AQ120">
            <v>-19963.61</v>
          </cell>
          <cell r="AR120">
            <v>-19963.61</v>
          </cell>
          <cell r="AS120">
            <v>-19963.61</v>
          </cell>
          <cell r="AW120">
            <v>4.87</v>
          </cell>
          <cell r="AX120">
            <v>-3043.68</v>
          </cell>
          <cell r="AY120">
            <v>-3252.14</v>
          </cell>
          <cell r="AZ120">
            <v>-3504.19</v>
          </cell>
          <cell r="BA120">
            <v>-3570.71</v>
          </cell>
          <cell r="BB120">
            <v>-3595.08</v>
          </cell>
          <cell r="BC120">
            <v>-3596.24</v>
          </cell>
          <cell r="BD120">
            <v>-3597.2999999999997</v>
          </cell>
          <cell r="BE120">
            <v>-3597.2999999999997</v>
          </cell>
          <cell r="BF120">
            <v>-3597.2999999999997</v>
          </cell>
          <cell r="BG120">
            <v>-3597.2999999999997</v>
          </cell>
          <cell r="BH120">
            <v>-3597.2999999999997</v>
          </cell>
          <cell r="BL120">
            <v>4.5999999999999996</v>
          </cell>
          <cell r="BM120">
            <v>-3089.36</v>
          </cell>
          <cell r="BN120">
            <v>-3327.6000000000004</v>
          </cell>
          <cell r="BO120">
            <v>-3615.6600000000003</v>
          </cell>
          <cell r="BP120">
            <v>-3691.6800000000003</v>
          </cell>
          <cell r="BQ120">
            <v>-3719.53</v>
          </cell>
          <cell r="BR120">
            <v>-3720.8500000000004</v>
          </cell>
          <cell r="BS120">
            <v>-3722.07</v>
          </cell>
          <cell r="BT120">
            <v>-3722.07</v>
          </cell>
          <cell r="BU120">
            <v>-3722.07</v>
          </cell>
          <cell r="BV120">
            <v>-3722.07</v>
          </cell>
          <cell r="BW120">
            <v>-3722.07</v>
          </cell>
          <cell r="CP120">
            <v>0</v>
          </cell>
          <cell r="CQ120">
            <v>44.660000000000004</v>
          </cell>
          <cell r="CR120">
            <v>-21131.260000000002</v>
          </cell>
          <cell r="CS120">
            <v>-20695.640000000003</v>
          </cell>
          <cell r="CT120">
            <v>-20155.520000000004</v>
          </cell>
          <cell r="CU120">
            <v>-20012.980000000003</v>
          </cell>
          <cell r="CV120">
            <v>-19960.760000000002</v>
          </cell>
          <cell r="CW120">
            <v>-19958.29</v>
          </cell>
          <cell r="DE120">
            <v>0</v>
          </cell>
          <cell r="DF120">
            <v>4.87</v>
          </cell>
          <cell r="DG120">
            <v>-3043.68</v>
          </cell>
          <cell r="DH120">
            <v>-3252.14</v>
          </cell>
          <cell r="DI120">
            <v>-3504.19</v>
          </cell>
          <cell r="DJ120">
            <v>-3570.71</v>
          </cell>
          <cell r="DK120">
            <v>-3595.08</v>
          </cell>
          <cell r="DL120">
            <v>-3596.24</v>
          </cell>
          <cell r="DT120">
            <v>0</v>
          </cell>
          <cell r="DU120">
            <v>4.5999999999999996</v>
          </cell>
          <cell r="DV120">
            <v>-3089.36</v>
          </cell>
          <cell r="DW120">
            <v>-3327.6000000000004</v>
          </cell>
          <cell r="DX120">
            <v>-3615.6600000000003</v>
          </cell>
          <cell r="DY120">
            <v>-3691.6800000000003</v>
          </cell>
          <cell r="DZ120">
            <v>-3719.53</v>
          </cell>
          <cell r="EA120">
            <v>-3720.8500000000004</v>
          </cell>
          <cell r="EX120">
            <v>10383.01</v>
          </cell>
          <cell r="EY120">
            <v>19786.11</v>
          </cell>
          <cell r="EZ120">
            <v>34917.81</v>
          </cell>
          <cell r="FA120">
            <v>43947.369999999995</v>
          </cell>
          <cell r="FB120">
            <v>54360.099999999991</v>
          </cell>
          <cell r="FC120">
            <v>61608.539999999994</v>
          </cell>
          <cell r="FD120">
            <v>90002.049999999988</v>
          </cell>
          <cell r="FE120">
            <v>111800.02999999998</v>
          </cell>
          <cell r="FF120">
            <v>131156.69999999998</v>
          </cell>
          <cell r="FG120">
            <v>159129.03999999998</v>
          </cell>
          <cell r="FH120">
            <v>180362.91999999998</v>
          </cell>
          <cell r="FI120">
            <v>203808.33</v>
          </cell>
          <cell r="FM120">
            <v>1204.8599999999999</v>
          </cell>
          <cell r="FN120">
            <v>3324.8199999999997</v>
          </cell>
          <cell r="FO120">
            <v>4677.1399999999994</v>
          </cell>
          <cell r="FP120">
            <v>5316.4299999999994</v>
          </cell>
          <cell r="FQ120">
            <v>5585.5599999999995</v>
          </cell>
          <cell r="FR120">
            <v>5674.2499999999991</v>
          </cell>
          <cell r="FS120">
            <v>7271.5999999999985</v>
          </cell>
          <cell r="FT120">
            <v>8472.7699999999986</v>
          </cell>
          <cell r="FU120">
            <v>9477.3499999999985</v>
          </cell>
          <cell r="FV120">
            <v>10856.829999999998</v>
          </cell>
          <cell r="FW120">
            <v>12297.299999999997</v>
          </cell>
          <cell r="FX120">
            <v>13838.849999999997</v>
          </cell>
          <cell r="GB120">
            <v>1737.06</v>
          </cell>
          <cell r="GC120">
            <v>4048.18</v>
          </cell>
          <cell r="GD120">
            <v>7594.24</v>
          </cell>
          <cell r="GE120">
            <v>10274.17</v>
          </cell>
          <cell r="GF120">
            <v>13190.74</v>
          </cell>
          <cell r="GG120">
            <v>15151.58</v>
          </cell>
          <cell r="GH120">
            <v>18128.2</v>
          </cell>
          <cell r="GI120">
            <v>20618.07</v>
          </cell>
          <cell r="GJ120">
            <v>22486.23</v>
          </cell>
          <cell r="GK120">
            <v>25281.94</v>
          </cell>
          <cell r="GL120">
            <v>28470.18</v>
          </cell>
          <cell r="GM120">
            <v>31992.37</v>
          </cell>
        </row>
        <row r="121">
          <cell r="A121" t="str">
            <v>Taxes on Income</v>
          </cell>
          <cell r="C121">
            <v>873.83299999999963</v>
          </cell>
          <cell r="D121">
            <v>0</v>
          </cell>
          <cell r="E121">
            <v>873.83299999999963</v>
          </cell>
          <cell r="F121" t="str">
            <v>n/a</v>
          </cell>
          <cell r="G121">
            <v>488.37386932920333</v>
          </cell>
          <cell r="H121">
            <v>377.95600043500008</v>
          </cell>
          <cell r="J121">
            <v>823.43976428999963</v>
          </cell>
          <cell r="K121">
            <v>0</v>
          </cell>
          <cell r="L121">
            <v>823.43976428999963</v>
          </cell>
          <cell r="M121" t="str">
            <v>n/a</v>
          </cell>
          <cell r="N121">
            <v>469.49326322866688</v>
          </cell>
          <cell r="O121">
            <v>328.24902067500005</v>
          </cell>
          <cell r="Q121">
            <v>59.314866870000039</v>
          </cell>
          <cell r="R121">
            <v>0</v>
          </cell>
          <cell r="S121">
            <v>59.314866870000039</v>
          </cell>
          <cell r="T121" t="str">
            <v>n/a</v>
          </cell>
          <cell r="U121">
            <v>11.409557619639997</v>
          </cell>
          <cell r="V121">
            <v>-11.027194565000013</v>
          </cell>
          <cell r="X121">
            <v>-8.9216311600000111</v>
          </cell>
          <cell r="Y121">
            <v>0</v>
          </cell>
          <cell r="Z121">
            <v>-8.9216311600000111</v>
          </cell>
          <cell r="AA121" t="str">
            <v>n/a</v>
          </cell>
          <cell r="AB121">
            <v>7.4710484808964637</v>
          </cell>
          <cell r="AC121">
            <v>60.734174325000012</v>
          </cell>
          <cell r="AD121">
            <v>590.43350197558641</v>
          </cell>
          <cell r="AE121">
            <v>-204.90903596500002</v>
          </cell>
          <cell r="AH121">
            <v>-12520.051510000028</v>
          </cell>
          <cell r="AI121">
            <v>10625.031509999963</v>
          </cell>
          <cell r="AJ121">
            <v>228492.81221999988</v>
          </cell>
          <cell r="AK121">
            <v>339225.88732999994</v>
          </cell>
          <cell r="AL121">
            <v>447392.16399999976</v>
          </cell>
          <cell r="AM121">
            <v>718627.38806999964</v>
          </cell>
          <cell r="AN121">
            <v>778494.9976699996</v>
          </cell>
          <cell r="AO121">
            <v>823439.76428999961</v>
          </cell>
          <cell r="AP121">
            <v>823439.76428999961</v>
          </cell>
          <cell r="AQ121">
            <v>823439.76428999961</v>
          </cell>
          <cell r="AR121">
            <v>823439.76428999961</v>
          </cell>
          <cell r="AS121">
            <v>823439.76428999961</v>
          </cell>
          <cell r="AW121">
            <v>23197.390819999993</v>
          </cell>
          <cell r="AX121">
            <v>18752.301199999994</v>
          </cell>
          <cell r="AY121">
            <v>57023.336690000004</v>
          </cell>
          <cell r="AZ121">
            <v>88682.31038000001</v>
          </cell>
          <cell r="BA121">
            <v>88754.799610000031</v>
          </cell>
          <cell r="BB121">
            <v>83370.844840000034</v>
          </cell>
          <cell r="BC121">
            <v>70567.196740000043</v>
          </cell>
          <cell r="BD121">
            <v>59314.866870000042</v>
          </cell>
          <cell r="BE121">
            <v>59314.866870000042</v>
          </cell>
          <cell r="BF121">
            <v>59314.866870000042</v>
          </cell>
          <cell r="BG121">
            <v>59314.866870000042</v>
          </cell>
          <cell r="BH121">
            <v>59314.866870000042</v>
          </cell>
          <cell r="BL121">
            <v>29718.26738999999</v>
          </cell>
          <cell r="BM121">
            <v>16608.47229000002</v>
          </cell>
          <cell r="BN121">
            <v>-43941.09030999997</v>
          </cell>
          <cell r="BO121">
            <v>-104899.61150999997</v>
          </cell>
          <cell r="BP121">
            <v>-90743.42260999998</v>
          </cell>
          <cell r="BQ121">
            <v>69.556089999998221</v>
          </cell>
          <cell r="BR121">
            <v>-14598.985210000008</v>
          </cell>
          <cell r="BS121">
            <v>-8921.6311600000117</v>
          </cell>
          <cell r="BT121">
            <v>-8921.6311600000117</v>
          </cell>
          <cell r="BU121">
            <v>-8921.6311600000117</v>
          </cell>
          <cell r="BV121">
            <v>-8921.6311600000117</v>
          </cell>
          <cell r="BW121">
            <v>-8921.6311600000117</v>
          </cell>
          <cell r="CP121">
            <v>10425.495101001121</v>
          </cell>
          <cell r="CQ121">
            <v>46095.791726227231</v>
          </cell>
          <cell r="CR121">
            <v>188066.35468519005</v>
          </cell>
          <cell r="CS121">
            <v>333985.25814795878</v>
          </cell>
          <cell r="CT121">
            <v>347524.36035424296</v>
          </cell>
          <cell r="CU121">
            <v>484111.11766154284</v>
          </cell>
          <cell r="CV121">
            <v>686025.23715367122</v>
          </cell>
          <cell r="CW121">
            <v>766718.82486520451</v>
          </cell>
          <cell r="DE121">
            <v>373.3046567790243</v>
          </cell>
          <cell r="DF121">
            <v>63070.120973745987</v>
          </cell>
          <cell r="DG121">
            <v>53664.889176294462</v>
          </cell>
          <cell r="DH121">
            <v>99756.459753468298</v>
          </cell>
          <cell r="DI121">
            <v>95284.95041390312</v>
          </cell>
          <cell r="DJ121">
            <v>101804.54759199216</v>
          </cell>
          <cell r="DK121">
            <v>88396.675004225632</v>
          </cell>
          <cell r="DL121">
            <v>89378.00212060113</v>
          </cell>
          <cell r="DT121">
            <v>25053.174652799389</v>
          </cell>
          <cell r="DU121">
            <v>9379.2762196997428</v>
          </cell>
          <cell r="DV121">
            <v>-39825.206665697551</v>
          </cell>
          <cell r="DW121">
            <v>-89352.358732763314</v>
          </cell>
          <cell r="DX121">
            <v>-27035.167574657098</v>
          </cell>
          <cell r="DY121">
            <v>-21147.491221949283</v>
          </cell>
          <cell r="DZ121">
            <v>9066.4789987905096</v>
          </cell>
          <cell r="EA121">
            <v>949.1387693349734</v>
          </cell>
          <cell r="EX121">
            <v>30004.994740000024</v>
          </cell>
          <cell r="EY121">
            <v>22698.800685000035</v>
          </cell>
          <cell r="EZ121">
            <v>245233.98531500017</v>
          </cell>
          <cell r="FA121">
            <v>267986.62617500016</v>
          </cell>
          <cell r="FB121">
            <v>409882.19162500004</v>
          </cell>
          <cell r="FC121">
            <v>612444.96302500006</v>
          </cell>
          <cell r="FD121">
            <v>473922.12317500007</v>
          </cell>
          <cell r="FE121">
            <v>389276.49157500005</v>
          </cell>
          <cell r="FF121">
            <v>328249.02067500004</v>
          </cell>
          <cell r="FG121">
            <v>291557.95831500005</v>
          </cell>
          <cell r="FH121">
            <v>-40232.564254999976</v>
          </cell>
          <cell r="FI121">
            <v>-92359.038679999998</v>
          </cell>
          <cell r="FM121">
            <v>8216.6777750000001</v>
          </cell>
          <cell r="FN121">
            <v>18464.888535000002</v>
          </cell>
          <cell r="FO121">
            <v>41216.72722999999</v>
          </cell>
          <cell r="FP121">
            <v>34889.169554999986</v>
          </cell>
          <cell r="FQ121">
            <v>24841.672244999987</v>
          </cell>
          <cell r="FR121">
            <v>4071.4158249999855</v>
          </cell>
          <cell r="FS121">
            <v>-11663.289065000012</v>
          </cell>
          <cell r="FT121">
            <v>-16095.913865000013</v>
          </cell>
          <cell r="FU121">
            <v>-11027.194565000013</v>
          </cell>
          <cell r="FV121">
            <v>-14121.737830000015</v>
          </cell>
          <cell r="FW121">
            <v>-64509.464165000005</v>
          </cell>
          <cell r="FX121">
            <v>-73381.531040000016</v>
          </cell>
          <cell r="GB121">
            <v>-18493.351555000019</v>
          </cell>
          <cell r="GC121">
            <v>-22012.097015000018</v>
          </cell>
          <cell r="GD121">
            <v>8328.3705899999804</v>
          </cell>
          <cell r="GE121">
            <v>5261.5794049999986</v>
          </cell>
          <cell r="GF121">
            <v>50256.306165000002</v>
          </cell>
          <cell r="GG121">
            <v>83320.457685000001</v>
          </cell>
          <cell r="GH121">
            <v>110506.489225</v>
          </cell>
          <cell r="GI121">
            <v>90985.134625000006</v>
          </cell>
          <cell r="GJ121">
            <v>60734.174325000015</v>
          </cell>
          <cell r="GK121">
            <v>21954.563150000024</v>
          </cell>
          <cell r="GL121">
            <v>-33473.480144999987</v>
          </cell>
          <cell r="GM121">
            <v>-39168.466244999996</v>
          </cell>
        </row>
        <row r="122">
          <cell r="A122" t="str">
            <v>Depreciation Expense</v>
          </cell>
          <cell r="C122">
            <v>356.01494999999994</v>
          </cell>
          <cell r="D122">
            <v>0</v>
          </cell>
          <cell r="E122">
            <v>356.01494999999994</v>
          </cell>
          <cell r="F122" t="str">
            <v>n/a</v>
          </cell>
          <cell r="G122">
            <v>442.79999999999995</v>
          </cell>
          <cell r="H122">
            <v>314.47996999999998</v>
          </cell>
          <cell r="J122">
            <v>254.10073599999998</v>
          </cell>
          <cell r="K122">
            <v>0</v>
          </cell>
          <cell r="L122">
            <v>254.10073599999998</v>
          </cell>
          <cell r="M122" t="str">
            <v>n/a</v>
          </cell>
          <cell r="N122">
            <v>359.29532721180459</v>
          </cell>
          <cell r="O122">
            <v>224.67634099999998</v>
          </cell>
          <cell r="Q122">
            <v>20.245929</v>
          </cell>
          <cell r="R122">
            <v>0</v>
          </cell>
          <cell r="S122">
            <v>20.245929</v>
          </cell>
          <cell r="T122" t="str">
            <v>n/a</v>
          </cell>
          <cell r="U122">
            <v>39.254657269279889</v>
          </cell>
          <cell r="V122">
            <v>17.338161500000002</v>
          </cell>
          <cell r="X122">
            <v>81.668284999999983</v>
          </cell>
          <cell r="Y122">
            <v>0</v>
          </cell>
          <cell r="Z122">
            <v>81.668284999999983</v>
          </cell>
          <cell r="AA122" t="str">
            <v>n/a</v>
          </cell>
          <cell r="AB122">
            <v>44.25001551891549</v>
          </cell>
          <cell r="AC122">
            <v>72.465467500000003</v>
          </cell>
          <cell r="AD122">
            <v>578.38161666666656</v>
          </cell>
          <cell r="AE122">
            <v>478.05513999999999</v>
          </cell>
          <cell r="AH122">
            <v>31480.877999999997</v>
          </cell>
          <cell r="AI122">
            <v>62961.755999999994</v>
          </cell>
          <cell r="AJ122">
            <v>94442.633999999991</v>
          </cell>
          <cell r="AK122">
            <v>125923.51199999999</v>
          </cell>
          <cell r="AL122">
            <v>157404.38999999998</v>
          </cell>
          <cell r="AM122">
            <v>188885.26799999998</v>
          </cell>
          <cell r="AN122">
            <v>220366.14599999998</v>
          </cell>
          <cell r="AO122">
            <v>254100.73599999998</v>
          </cell>
          <cell r="AP122">
            <v>254100.73599999998</v>
          </cell>
          <cell r="AQ122">
            <v>254100.73599999998</v>
          </cell>
          <cell r="AR122">
            <v>254100.73599999998</v>
          </cell>
          <cell r="AS122">
            <v>254100.73599999998</v>
          </cell>
          <cell r="AW122">
            <v>2508.5520000000001</v>
          </cell>
          <cell r="AX122">
            <v>5017.1040000000003</v>
          </cell>
          <cell r="AY122">
            <v>7525.6560000000009</v>
          </cell>
          <cell r="AZ122">
            <v>10034.208000000001</v>
          </cell>
          <cell r="BA122">
            <v>12542.76</v>
          </cell>
          <cell r="BB122">
            <v>15051.312</v>
          </cell>
          <cell r="BC122">
            <v>17559.864000000001</v>
          </cell>
          <cell r="BD122">
            <v>20245.929</v>
          </cell>
          <cell r="BE122">
            <v>20245.929</v>
          </cell>
          <cell r="BF122">
            <v>20245.929</v>
          </cell>
          <cell r="BG122">
            <v>20245.929</v>
          </cell>
          <cell r="BH122">
            <v>20245.929</v>
          </cell>
          <cell r="BL122">
            <v>10116.879999999999</v>
          </cell>
          <cell r="BM122">
            <v>20233.759999999998</v>
          </cell>
          <cell r="BN122">
            <v>30350.639999999999</v>
          </cell>
          <cell r="BO122">
            <v>40467.519999999997</v>
          </cell>
          <cell r="BP122">
            <v>50584.399999999994</v>
          </cell>
          <cell r="BQ122">
            <v>60701.279999999992</v>
          </cell>
          <cell r="BR122">
            <v>70818.159999999989</v>
          </cell>
          <cell r="BS122">
            <v>81668.284999999989</v>
          </cell>
          <cell r="BT122">
            <v>81668.284999999989</v>
          </cell>
          <cell r="BU122">
            <v>81668.284999999989</v>
          </cell>
          <cell r="BV122">
            <v>81668.284999999989</v>
          </cell>
          <cell r="BW122">
            <v>81668.284999999989</v>
          </cell>
          <cell r="CP122">
            <v>38337.436358737701</v>
          </cell>
          <cell r="CQ122">
            <v>69869.114870009987</v>
          </cell>
          <cell r="CR122">
            <v>101627.68247085347</v>
          </cell>
          <cell r="CS122">
            <v>133319.58340503031</v>
          </cell>
          <cell r="CT122">
            <v>165011.48433920712</v>
          </cell>
          <cell r="CU122">
            <v>196670.05194005062</v>
          </cell>
          <cell r="CV122">
            <v>228395.28620756077</v>
          </cell>
          <cell r="CW122">
            <v>260087.18714173761</v>
          </cell>
          <cell r="DE122">
            <v>4187.8564089924812</v>
          </cell>
          <cell r="DF122">
            <v>7370.2093365837136</v>
          </cell>
          <cell r="DG122">
            <v>9914.233111723277</v>
          </cell>
          <cell r="DH122">
            <v>12449.923553529507</v>
          </cell>
          <cell r="DI122">
            <v>14985.613995335736</v>
          </cell>
          <cell r="DJ122">
            <v>17517.137770475299</v>
          </cell>
          <cell r="DK122">
            <v>20056.994878948193</v>
          </cell>
          <cell r="DL122">
            <v>22592.685320754426</v>
          </cell>
          <cell r="DT122">
            <v>4721.9294544920394</v>
          </cell>
          <cell r="DU122">
            <v>14861.430237850745</v>
          </cell>
          <cell r="DV122">
            <v>25012.371084089908</v>
          </cell>
          <cell r="DW122">
            <v>35154.978596995745</v>
          </cell>
          <cell r="DX122">
            <v>45297.586109901575</v>
          </cell>
          <cell r="DY122">
            <v>55436.026956140733</v>
          </cell>
          <cell r="DZ122">
            <v>65582.801135713235</v>
          </cell>
          <cell r="EA122">
            <v>75725.408648619064</v>
          </cell>
          <cell r="EX122">
            <v>18678.936999999998</v>
          </cell>
          <cell r="EY122">
            <v>38533.377</v>
          </cell>
          <cell r="EZ122">
            <v>57186.262000000002</v>
          </cell>
          <cell r="FA122">
            <v>82984.421000000002</v>
          </cell>
          <cell r="FB122">
            <v>99746.350999999995</v>
          </cell>
          <cell r="FC122">
            <v>133703.951</v>
          </cell>
          <cell r="FD122">
            <v>153602.071</v>
          </cell>
          <cell r="FE122">
            <v>173500.19099999999</v>
          </cell>
          <cell r="FF122">
            <v>224676.34099999999</v>
          </cell>
          <cell r="FG122">
            <v>256456.46599999999</v>
          </cell>
          <cell r="FH122">
            <v>298820.913</v>
          </cell>
          <cell r="FI122">
            <v>341524.88300000003</v>
          </cell>
          <cell r="FM122">
            <v>1493.1655000000001</v>
          </cell>
          <cell r="FN122">
            <v>3070.2955000000002</v>
          </cell>
          <cell r="FO122">
            <v>4548.9930000000004</v>
          </cell>
          <cell r="FP122">
            <v>6520.9415000000008</v>
          </cell>
          <cell r="FQ122">
            <v>7860.0915000000005</v>
          </cell>
          <cell r="FR122">
            <v>10425.611500000001</v>
          </cell>
          <cell r="FS122">
            <v>11914.6515</v>
          </cell>
          <cell r="FT122">
            <v>13403.691500000001</v>
          </cell>
          <cell r="FU122">
            <v>17338.161500000002</v>
          </cell>
          <cell r="FV122">
            <v>19746.339000000004</v>
          </cell>
          <cell r="FW122">
            <v>22980.984500000002</v>
          </cell>
          <cell r="FX122">
            <v>26183.524500000003</v>
          </cell>
          <cell r="GB122">
            <v>6118.1075000000001</v>
          </cell>
          <cell r="GC122">
            <v>12593.637500000001</v>
          </cell>
          <cell r="GD122">
            <v>18677.565000000002</v>
          </cell>
          <cell r="GE122">
            <v>26403.147500000003</v>
          </cell>
          <cell r="GF122">
            <v>31767.567500000005</v>
          </cell>
          <cell r="GG122">
            <v>43200.947500000002</v>
          </cell>
          <cell r="GH122">
            <v>49752.797500000001</v>
          </cell>
          <cell r="GI122">
            <v>56304.647499999999</v>
          </cell>
          <cell r="GJ122">
            <v>72465.467499999999</v>
          </cell>
          <cell r="GK122">
            <v>82740.304999999993</v>
          </cell>
          <cell r="GL122">
            <v>96274.642499999987</v>
          </cell>
          <cell r="GM122">
            <v>110346.73249999998</v>
          </cell>
        </row>
        <row r="123">
          <cell r="A123" t="str">
            <v>Amortization Expense</v>
          </cell>
          <cell r="C123">
            <v>0</v>
          </cell>
          <cell r="D123">
            <v>0</v>
          </cell>
          <cell r="E123">
            <v>0</v>
          </cell>
          <cell r="F123" t="str">
            <v>n/a</v>
          </cell>
          <cell r="G123">
            <v>0</v>
          </cell>
          <cell r="H123">
            <v>0</v>
          </cell>
          <cell r="J123">
            <v>0</v>
          </cell>
          <cell r="K123">
            <v>0</v>
          </cell>
          <cell r="L123">
            <v>0</v>
          </cell>
          <cell r="M123" t="str">
            <v>n/a</v>
          </cell>
          <cell r="N123">
            <v>0</v>
          </cell>
          <cell r="O123">
            <v>0</v>
          </cell>
          <cell r="Q123">
            <v>0</v>
          </cell>
          <cell r="R123">
            <v>0</v>
          </cell>
          <cell r="S123">
            <v>0</v>
          </cell>
          <cell r="T123" t="str">
            <v>n/a</v>
          </cell>
          <cell r="U123">
            <v>0</v>
          </cell>
          <cell r="V123">
            <v>0</v>
          </cell>
          <cell r="X123">
            <v>0</v>
          </cell>
          <cell r="Y123">
            <v>0</v>
          </cell>
          <cell r="Z123">
            <v>0</v>
          </cell>
          <cell r="AA123" t="str">
            <v>n/a</v>
          </cell>
          <cell r="AB123">
            <v>0</v>
          </cell>
          <cell r="AC123">
            <v>0</v>
          </cell>
          <cell r="AD123">
            <v>0</v>
          </cell>
          <cell r="AE123">
            <v>1200</v>
          </cell>
          <cell r="AH123">
            <v>0</v>
          </cell>
          <cell r="AI123">
            <v>0</v>
          </cell>
          <cell r="AJ123">
            <v>0</v>
          </cell>
          <cell r="AK123">
            <v>0</v>
          </cell>
          <cell r="AL123">
            <v>0</v>
          </cell>
          <cell r="AM123">
            <v>0</v>
          </cell>
          <cell r="AN123">
            <v>0</v>
          </cell>
          <cell r="AO123">
            <v>0</v>
          </cell>
          <cell r="AP123">
            <v>0</v>
          </cell>
          <cell r="AQ123">
            <v>0</v>
          </cell>
          <cell r="AR123">
            <v>0</v>
          </cell>
          <cell r="AS123">
            <v>0</v>
          </cell>
          <cell r="AW123">
            <v>0</v>
          </cell>
          <cell r="AX123">
            <v>0</v>
          </cell>
          <cell r="AY123">
            <v>0</v>
          </cell>
          <cell r="AZ123">
            <v>0</v>
          </cell>
          <cell r="BA123">
            <v>0</v>
          </cell>
          <cell r="BB123">
            <v>0</v>
          </cell>
          <cell r="BC123">
            <v>0</v>
          </cell>
          <cell r="BD123">
            <v>0</v>
          </cell>
          <cell r="BE123">
            <v>0</v>
          </cell>
          <cell r="BF123">
            <v>0</v>
          </cell>
          <cell r="BG123">
            <v>0</v>
          </cell>
          <cell r="BH123">
            <v>0</v>
          </cell>
          <cell r="BL123">
            <v>0</v>
          </cell>
          <cell r="BM123">
            <v>0</v>
          </cell>
          <cell r="BN123">
            <v>0</v>
          </cell>
          <cell r="BO123">
            <v>0</v>
          </cell>
          <cell r="BP123">
            <v>0</v>
          </cell>
          <cell r="BQ123">
            <v>0</v>
          </cell>
          <cell r="BR123">
            <v>0</v>
          </cell>
          <cell r="BS123">
            <v>0</v>
          </cell>
          <cell r="BT123">
            <v>0</v>
          </cell>
          <cell r="BU123">
            <v>0</v>
          </cell>
          <cell r="BV123">
            <v>0</v>
          </cell>
          <cell r="BW123">
            <v>0</v>
          </cell>
          <cell r="CP123">
            <v>0</v>
          </cell>
          <cell r="CQ123">
            <v>0</v>
          </cell>
          <cell r="CR123">
            <v>0</v>
          </cell>
          <cell r="CS123">
            <v>0</v>
          </cell>
          <cell r="CT123">
            <v>0</v>
          </cell>
          <cell r="CU123">
            <v>0</v>
          </cell>
          <cell r="CV123">
            <v>0</v>
          </cell>
          <cell r="CW123">
            <v>0</v>
          </cell>
          <cell r="DE123">
            <v>0</v>
          </cell>
          <cell r="DF123">
            <v>0</v>
          </cell>
          <cell r="DG123">
            <v>0</v>
          </cell>
          <cell r="DH123">
            <v>0</v>
          </cell>
          <cell r="DI123">
            <v>0</v>
          </cell>
          <cell r="DJ123">
            <v>0</v>
          </cell>
          <cell r="DK123">
            <v>0</v>
          </cell>
          <cell r="DL123">
            <v>0</v>
          </cell>
          <cell r="DT123">
            <v>0</v>
          </cell>
          <cell r="DU123">
            <v>0</v>
          </cell>
          <cell r="DV123">
            <v>0</v>
          </cell>
          <cell r="DW123">
            <v>0</v>
          </cell>
          <cell r="DX123">
            <v>0</v>
          </cell>
          <cell r="DY123">
            <v>0</v>
          </cell>
          <cell r="DZ123">
            <v>0</v>
          </cell>
          <cell r="EA123">
            <v>0</v>
          </cell>
          <cell r="EX123">
            <v>0</v>
          </cell>
          <cell r="EY123">
            <v>0</v>
          </cell>
          <cell r="EZ123">
            <v>0</v>
          </cell>
          <cell r="FA123">
            <v>0</v>
          </cell>
          <cell r="FB123">
            <v>0</v>
          </cell>
          <cell r="FC123">
            <v>0</v>
          </cell>
          <cell r="FD123">
            <v>0</v>
          </cell>
          <cell r="FE123">
            <v>0</v>
          </cell>
          <cell r="FF123">
            <v>0</v>
          </cell>
          <cell r="FG123">
            <v>0</v>
          </cell>
          <cell r="FH123">
            <v>750000</v>
          </cell>
          <cell r="FI123">
            <v>900000</v>
          </cell>
          <cell r="FM123">
            <v>0</v>
          </cell>
          <cell r="FN123">
            <v>0</v>
          </cell>
          <cell r="FO123">
            <v>0</v>
          </cell>
          <cell r="FP123">
            <v>0</v>
          </cell>
          <cell r="FQ123">
            <v>0</v>
          </cell>
          <cell r="FR123">
            <v>0</v>
          </cell>
          <cell r="FS123">
            <v>0</v>
          </cell>
          <cell r="FT123">
            <v>0</v>
          </cell>
          <cell r="FU123">
            <v>0</v>
          </cell>
          <cell r="FV123">
            <v>0</v>
          </cell>
          <cell r="FW123">
            <v>100000</v>
          </cell>
          <cell r="FX123">
            <v>120000</v>
          </cell>
          <cell r="GB123">
            <v>0</v>
          </cell>
          <cell r="GC123">
            <v>0</v>
          </cell>
          <cell r="GD123">
            <v>0</v>
          </cell>
          <cell r="GE123">
            <v>0</v>
          </cell>
          <cell r="GF123">
            <v>0</v>
          </cell>
          <cell r="GG123">
            <v>0</v>
          </cell>
          <cell r="GH123">
            <v>0</v>
          </cell>
          <cell r="GI123">
            <v>0</v>
          </cell>
          <cell r="GJ123">
            <v>0</v>
          </cell>
          <cell r="GK123">
            <v>0</v>
          </cell>
          <cell r="GL123">
            <v>150000</v>
          </cell>
          <cell r="GM123">
            <v>180000</v>
          </cell>
        </row>
        <row r="124">
          <cell r="A124" t="str">
            <v>EBITDA Items</v>
          </cell>
          <cell r="C124">
            <v>1202.5649699999997</v>
          </cell>
          <cell r="D124">
            <v>0</v>
          </cell>
          <cell r="E124">
            <v>1202.5649699999997</v>
          </cell>
          <cell r="F124" t="str">
            <v>n/a</v>
          </cell>
          <cell r="G124">
            <v>931.17386932920328</v>
          </cell>
          <cell r="H124">
            <v>855.55625043500004</v>
          </cell>
          <cell r="J124">
            <v>1057.5768902899995</v>
          </cell>
          <cell r="K124">
            <v>0</v>
          </cell>
          <cell r="L124">
            <v>1057.5768902899995</v>
          </cell>
          <cell r="M124" t="str">
            <v>n/a</v>
          </cell>
          <cell r="N124">
            <v>828.78859044047147</v>
          </cell>
          <cell r="O124">
            <v>684.08206167499998</v>
          </cell>
          <cell r="Q124">
            <v>75.963495870000045</v>
          </cell>
          <cell r="R124">
            <v>0</v>
          </cell>
          <cell r="S124">
            <v>75.963495870000045</v>
          </cell>
          <cell r="T124" t="str">
            <v>n/a</v>
          </cell>
          <cell r="U124">
            <v>50.664214888919886</v>
          </cell>
          <cell r="V124">
            <v>15.788316934999987</v>
          </cell>
          <cell r="X124">
            <v>69.024583839999977</v>
          </cell>
          <cell r="Y124">
            <v>0</v>
          </cell>
          <cell r="Z124">
            <v>69.024583839999977</v>
          </cell>
          <cell r="AA124" t="str">
            <v>n/a</v>
          </cell>
          <cell r="AB124">
            <v>51.721063999811953</v>
          </cell>
          <cell r="AC124">
            <v>155.68587182499999</v>
          </cell>
          <cell r="AD124">
            <v>1141.5321386422529</v>
          </cell>
          <cell r="AE124">
            <v>1722.7856540349999</v>
          </cell>
          <cell r="AH124">
            <v>19005.486489999967</v>
          </cell>
          <cell r="AI124">
            <v>52455.527509999956</v>
          </cell>
          <cell r="AJ124">
            <v>302239.80621999985</v>
          </cell>
          <cell r="AK124">
            <v>444993.87932999991</v>
          </cell>
          <cell r="AL124">
            <v>584783.57399999979</v>
          </cell>
          <cell r="AM124">
            <v>887551.89606999955</v>
          </cell>
          <cell r="AN124">
            <v>978902.85366999952</v>
          </cell>
          <cell r="AO124">
            <v>1057576.8902899995</v>
          </cell>
          <cell r="AP124">
            <v>1057576.8902899995</v>
          </cell>
          <cell r="AQ124">
            <v>1057576.8902899995</v>
          </cell>
          <cell r="AR124">
            <v>1057576.8902899995</v>
          </cell>
          <cell r="AS124">
            <v>1057576.8902899995</v>
          </cell>
          <cell r="AW124">
            <v>25710.812819999992</v>
          </cell>
          <cell r="AX124">
            <v>20725.725199999993</v>
          </cell>
          <cell r="AY124">
            <v>61296.852690000007</v>
          </cell>
          <cell r="AZ124">
            <v>95212.328380000006</v>
          </cell>
          <cell r="BA124">
            <v>97726.849610000019</v>
          </cell>
          <cell r="BB124">
            <v>94827.076840000038</v>
          </cell>
          <cell r="BC124">
            <v>84530.820740000039</v>
          </cell>
          <cell r="BD124">
            <v>75963.495870000042</v>
          </cell>
          <cell r="BE124">
            <v>75963.495870000042</v>
          </cell>
          <cell r="BF124">
            <v>75963.495870000042</v>
          </cell>
          <cell r="BG124">
            <v>75963.495870000042</v>
          </cell>
          <cell r="BH124">
            <v>75963.495870000042</v>
          </cell>
          <cell r="BL124">
            <v>39839.74738999999</v>
          </cell>
          <cell r="BM124">
            <v>33752.872290000014</v>
          </cell>
          <cell r="BN124">
            <v>-16918.05030999997</v>
          </cell>
          <cell r="BO124">
            <v>-68047.751509999973</v>
          </cell>
          <cell r="BP124">
            <v>-43850.702609999978</v>
          </cell>
          <cell r="BQ124">
            <v>57051.306089999991</v>
          </cell>
          <cell r="BR124">
            <v>52498.324789999984</v>
          </cell>
          <cell r="BS124">
            <v>69024.583839999977</v>
          </cell>
          <cell r="BT124">
            <v>69024.583839999977</v>
          </cell>
          <cell r="BU124">
            <v>69024.583839999977</v>
          </cell>
          <cell r="BV124">
            <v>69024.583839999977</v>
          </cell>
          <cell r="BW124">
            <v>69024.583839999977</v>
          </cell>
          <cell r="CP124">
            <v>48762.931459738822</v>
          </cell>
          <cell r="CQ124">
            <v>116009.56659623721</v>
          </cell>
          <cell r="CR124">
            <v>268562.77715604351</v>
          </cell>
          <cell r="CS124">
            <v>446609.20155298908</v>
          </cell>
          <cell r="CT124">
            <v>492380.32469345006</v>
          </cell>
          <cell r="CU124">
            <v>660768.18960159342</v>
          </cell>
          <cell r="CV124">
            <v>894459.76336123201</v>
          </cell>
          <cell r="CW124">
            <v>1006847.7220069421</v>
          </cell>
          <cell r="DE124">
            <v>4561.1610657715055</v>
          </cell>
          <cell r="DF124">
            <v>70445.200310329703</v>
          </cell>
          <cell r="DG124">
            <v>60535.442288017737</v>
          </cell>
          <cell r="DH124">
            <v>108954.2433069978</v>
          </cell>
          <cell r="DI124">
            <v>106766.37440923885</v>
          </cell>
          <cell r="DJ124">
            <v>115750.97536246745</v>
          </cell>
          <cell r="DK124">
            <v>104858.58988317382</v>
          </cell>
          <cell r="DL124">
            <v>108374.44744135556</v>
          </cell>
          <cell r="DT124">
            <v>29775.10410729143</v>
          </cell>
          <cell r="DU124">
            <v>24245.30645755049</v>
          </cell>
          <cell r="DV124">
            <v>-17902.195581607644</v>
          </cell>
          <cell r="DW124">
            <v>-57524.980135767575</v>
          </cell>
          <cell r="DX124">
            <v>14646.758535244477</v>
          </cell>
          <cell r="DY124">
            <v>30596.855734191449</v>
          </cell>
          <cell r="DZ124">
            <v>70929.750134503745</v>
          </cell>
          <cell r="EA124">
            <v>72953.697417954041</v>
          </cell>
          <cell r="EX124">
            <v>59066.941740000024</v>
          </cell>
          <cell r="EY124">
            <v>81018.287685000047</v>
          </cell>
          <cell r="EZ124">
            <v>337338.05731500016</v>
          </cell>
          <cell r="FA124">
            <v>394918.41717500018</v>
          </cell>
          <cell r="FB124">
            <v>563988.64262499998</v>
          </cell>
          <cell r="FC124">
            <v>807757.4540250001</v>
          </cell>
          <cell r="FD124">
            <v>717526.24417500012</v>
          </cell>
          <cell r="FE124">
            <v>674576.71257500001</v>
          </cell>
          <cell r="FF124">
            <v>684082.061675</v>
          </cell>
          <cell r="FG124">
            <v>707143.46431499999</v>
          </cell>
          <cell r="FH124">
            <v>1188951.268745</v>
          </cell>
          <cell r="FI124">
            <v>1352974.17432</v>
          </cell>
          <cell r="FM124">
            <v>10914.703275</v>
          </cell>
          <cell r="FN124">
            <v>24860.004035000002</v>
          </cell>
          <cell r="FO124">
            <v>50442.860229999991</v>
          </cell>
          <cell r="FP124">
            <v>46726.541054999987</v>
          </cell>
          <cell r="FQ124">
            <v>38287.323744999987</v>
          </cell>
          <cell r="FR124">
            <v>20171.277324999988</v>
          </cell>
          <cell r="FS124">
            <v>7522.9624349999867</v>
          </cell>
          <cell r="FT124">
            <v>5780.5476349999863</v>
          </cell>
          <cell r="FU124">
            <v>15788.316934999988</v>
          </cell>
          <cell r="FV124">
            <v>16481.431169999989</v>
          </cell>
          <cell r="FW124">
            <v>70768.820334999997</v>
          </cell>
          <cell r="FX124">
            <v>86640.843459999989</v>
          </cell>
          <cell r="GB124">
            <v>-10638.184055000018</v>
          </cell>
          <cell r="GC124">
            <v>-5370.2795150000165</v>
          </cell>
          <cell r="GD124">
            <v>34600.175589999984</v>
          </cell>
          <cell r="GE124">
            <v>41938.896905000001</v>
          </cell>
          <cell r="GF124">
            <v>95214.613665000012</v>
          </cell>
          <cell r="GG124">
            <v>141672.985185</v>
          </cell>
          <cell r="GH124">
            <v>178387.486725</v>
          </cell>
          <cell r="GI124">
            <v>167907.852125</v>
          </cell>
          <cell r="GJ124">
            <v>155685.87182500001</v>
          </cell>
          <cell r="GK124">
            <v>129976.80815000001</v>
          </cell>
          <cell r="GL124">
            <v>241271.342355</v>
          </cell>
          <cell r="GM124">
            <v>283170.63625500002</v>
          </cell>
        </row>
        <row r="126">
          <cell r="A126" t="str">
            <v>Net Income After Tax</v>
          </cell>
          <cell r="C126">
            <v>1257.4669999999981</v>
          </cell>
          <cell r="D126">
            <v>0</v>
          </cell>
          <cell r="E126">
            <v>1257.4669999999981</v>
          </cell>
          <cell r="F126" t="str">
            <v>n/a</v>
          </cell>
          <cell r="G126">
            <v>702.78190952251146</v>
          </cell>
          <cell r="H126">
            <v>543.8879195649979</v>
          </cell>
          <cell r="J126">
            <v>1184.9499047100003</v>
          </cell>
          <cell r="K126">
            <v>0</v>
          </cell>
          <cell r="L126">
            <v>1184.9499047100003</v>
          </cell>
          <cell r="M126" t="str">
            <v>n/a</v>
          </cell>
          <cell r="N126">
            <v>438.04492744377706</v>
          </cell>
          <cell r="O126">
            <v>472.35835832500106</v>
          </cell>
          <cell r="Q126">
            <v>85.355540130000108</v>
          </cell>
          <cell r="R126">
            <v>0</v>
          </cell>
          <cell r="S126">
            <v>85.355540130000108</v>
          </cell>
          <cell r="T126" t="str">
            <v>n/a</v>
          </cell>
          <cell r="U126">
            <v>253.9859610940286</v>
          </cell>
          <cell r="V126">
            <v>-15.868382935000097</v>
          </cell>
          <cell r="X126">
            <v>-12.838444840000079</v>
          </cell>
          <cell r="Y126">
            <v>0</v>
          </cell>
          <cell r="Z126">
            <v>-12.838444840000079</v>
          </cell>
          <cell r="AA126" t="str">
            <v>n/a</v>
          </cell>
          <cell r="AB126">
            <v>10.7510209847051</v>
          </cell>
          <cell r="AC126">
            <v>87.397944174999964</v>
          </cell>
          <cell r="AD126">
            <v>849.64821015998814</v>
          </cell>
          <cell r="AE126">
            <v>-294.87107403499886</v>
          </cell>
          <cell r="AH126">
            <v>-18016.659489999831</v>
          </cell>
          <cell r="AI126">
            <v>15289.679490000213</v>
          </cell>
          <cell r="AJ126">
            <v>328806.72977999988</v>
          </cell>
          <cell r="AK126">
            <v>488154.32566999912</v>
          </cell>
          <cell r="AL126">
            <v>643808.2360000005</v>
          </cell>
          <cell r="AM126">
            <v>1034122.3389300008</v>
          </cell>
          <cell r="AN126">
            <v>1120273.2893300005</v>
          </cell>
          <cell r="AO126">
            <v>1184949.9047099981</v>
          </cell>
          <cell r="AP126">
            <v>1184949.9047099981</v>
          </cell>
          <cell r="AQ126">
            <v>1184949.9047099981</v>
          </cell>
          <cell r="AR126">
            <v>1184949.9047099981</v>
          </cell>
          <cell r="AS126">
            <v>1184949.9047099981</v>
          </cell>
          <cell r="AW126">
            <v>33381.611180000007</v>
          </cell>
          <cell r="AX126">
            <v>26985.018799999998</v>
          </cell>
          <cell r="AY126">
            <v>82057.97231000007</v>
          </cell>
          <cell r="AZ126">
            <v>127616.00761999997</v>
          </cell>
          <cell r="BA126">
            <v>127720.32139000007</v>
          </cell>
          <cell r="BB126">
            <v>119972.67915999975</v>
          </cell>
          <cell r="BC126">
            <v>101547.91726000003</v>
          </cell>
          <cell r="BD126">
            <v>85355.540129999979</v>
          </cell>
          <cell r="BE126">
            <v>85355.540129999979</v>
          </cell>
          <cell r="BF126">
            <v>85355.540129999979</v>
          </cell>
          <cell r="BG126">
            <v>85355.540129999979</v>
          </cell>
          <cell r="BH126">
            <v>85355.540129999979</v>
          </cell>
          <cell r="BL126">
            <v>42765.311609999975</v>
          </cell>
          <cell r="BM126">
            <v>23899.996710000007</v>
          </cell>
          <cell r="BN126">
            <v>-63232.300690000025</v>
          </cell>
          <cell r="BO126">
            <v>-150953.09949000002</v>
          </cell>
          <cell r="BP126">
            <v>-130581.99838999994</v>
          </cell>
          <cell r="BQ126">
            <v>100.0929100000285</v>
          </cell>
          <cell r="BR126">
            <v>-21008.295790000037</v>
          </cell>
          <cell r="BS126">
            <v>-12838.444840000098</v>
          </cell>
          <cell r="BT126">
            <v>-12838.444840000098</v>
          </cell>
          <cell r="BU126">
            <v>-12838.444840000098</v>
          </cell>
          <cell r="BV126">
            <v>-12838.444840000098</v>
          </cell>
          <cell r="BW126">
            <v>-12838.444840000098</v>
          </cell>
          <cell r="CP126">
            <v>15002.541730708814</v>
          </cell>
          <cell r="CQ126">
            <v>66332.968581644149</v>
          </cell>
          <cell r="CR126">
            <v>270632.07137624937</v>
          </cell>
          <cell r="CS126">
            <v>480612.93245681876</v>
          </cell>
          <cell r="CT126">
            <v>500096.03075366601</v>
          </cell>
          <cell r="CU126">
            <v>663281.79590319516</v>
          </cell>
          <cell r="CV126">
            <v>987207.0485869908</v>
          </cell>
          <cell r="CW126">
            <v>1103327.089440173</v>
          </cell>
          <cell r="DE126">
            <v>537.19450609663818</v>
          </cell>
          <cell r="DF126">
            <v>90759.442376854015</v>
          </cell>
          <cell r="DG126">
            <v>77225.084424423665</v>
          </cell>
          <cell r="DH126">
            <v>143551.97866962512</v>
          </cell>
          <cell r="DI126">
            <v>137117.36766878713</v>
          </cell>
          <cell r="DJ126">
            <v>146499.22702262265</v>
          </cell>
          <cell r="DK126">
            <v>127204.97134754405</v>
          </cell>
          <cell r="DL126">
            <v>128617.1250028162</v>
          </cell>
          <cell r="DT126">
            <v>36052.129378418635</v>
          </cell>
          <cell r="DU126">
            <v>13497.00724298261</v>
          </cell>
          <cell r="DV126">
            <v>-57309.44373844294</v>
          </cell>
          <cell r="DW126">
            <v>-128580.22354226926</v>
          </cell>
          <cell r="DX126">
            <v>-38904.265534262631</v>
          </cell>
          <cell r="DY126">
            <v>-30431.755660853742</v>
          </cell>
          <cell r="DZ126">
            <v>13046.884412893603</v>
          </cell>
          <cell r="EA126">
            <v>1365.8338387990952</v>
          </cell>
          <cell r="EX126">
            <v>78573.663260000045</v>
          </cell>
          <cell r="EY126">
            <v>107735.10731499988</v>
          </cell>
          <cell r="EZ126">
            <v>508475.46268499951</v>
          </cell>
          <cell r="FA126">
            <v>612767.58782500029</v>
          </cell>
          <cell r="FB126">
            <v>854176.17737499962</v>
          </cell>
          <cell r="FC126">
            <v>1150429.8159750004</v>
          </cell>
          <cell r="FD126">
            <v>966319.67582500027</v>
          </cell>
          <cell r="FE126">
            <v>867984.7374250018</v>
          </cell>
          <cell r="FF126">
            <v>800870.91832500068</v>
          </cell>
          <cell r="FG126">
            <v>801791.43468500045</v>
          </cell>
          <cell r="FH126">
            <v>347596.99525500229</v>
          </cell>
          <cell r="FI126">
            <v>309821.31968000252</v>
          </cell>
          <cell r="FM126">
            <v>17956.539725000006</v>
          </cell>
          <cell r="FN126">
            <v>41697.704964999997</v>
          </cell>
          <cell r="FO126">
            <v>79519.46577000001</v>
          </cell>
          <cell r="FP126">
            <v>79608.035945000011</v>
          </cell>
          <cell r="FQ126">
            <v>72223.412255000003</v>
          </cell>
          <cell r="FR126">
            <v>45735.336675000013</v>
          </cell>
          <cell r="FS126">
            <v>24360.981564999995</v>
          </cell>
          <cell r="FT126">
            <v>24926.25636500003</v>
          </cell>
          <cell r="FU126">
            <v>45043.627065000044</v>
          </cell>
          <cell r="FV126">
            <v>68418.173829999985</v>
          </cell>
          <cell r="FW126">
            <v>19030.739665000059</v>
          </cell>
          <cell r="FX126">
            <v>24797.774540000028</v>
          </cell>
          <cell r="GB126">
            <v>-18947.393944999967</v>
          </cell>
          <cell r="GC126">
            <v>-10233.394484999946</v>
          </cell>
          <cell r="GD126">
            <v>111146.13841000009</v>
          </cell>
          <cell r="GE126">
            <v>136016.20109500005</v>
          </cell>
          <cell r="GF126">
            <v>243444.19033500011</v>
          </cell>
          <cell r="GG126">
            <v>366142.00081500004</v>
          </cell>
          <cell r="GH126">
            <v>455434.62927499996</v>
          </cell>
          <cell r="GI126">
            <v>494204.00387500017</v>
          </cell>
          <cell r="GJ126">
            <v>480669.73417499999</v>
          </cell>
          <cell r="GK126">
            <v>525290.60785000003</v>
          </cell>
          <cell r="GL126">
            <v>474218.46364499989</v>
          </cell>
          <cell r="GM126">
            <v>499899.47174499952</v>
          </cell>
        </row>
        <row r="128">
          <cell r="A128" t="str">
            <v>Current Month FTE Staffing</v>
          </cell>
          <cell r="C128">
            <v>63.270019273207183</v>
          </cell>
          <cell r="J128">
            <v>43.13221875</v>
          </cell>
          <cell r="Q128">
            <v>4.6236369930190966</v>
          </cell>
          <cell r="X128">
            <v>5.8856562500000003</v>
          </cell>
          <cell r="AH128">
            <v>94.616536142762371</v>
          </cell>
          <cell r="AI128">
            <v>98.222077583222742</v>
          </cell>
          <cell r="AJ128">
            <v>103.74253269053251</v>
          </cell>
          <cell r="AK128">
            <v>114.22919563996423</v>
          </cell>
          <cell r="AL128">
            <v>116.41780523401893</v>
          </cell>
          <cell r="AM128">
            <v>105.10592475876939</v>
          </cell>
          <cell r="AN128">
            <v>94.235230902757735</v>
          </cell>
          <cell r="AO128">
            <v>88.146290610035763</v>
          </cell>
          <cell r="AP128">
            <v>43.13221875</v>
          </cell>
          <cell r="AQ128">
            <v>0</v>
          </cell>
          <cell r="AR128">
            <v>0</v>
          </cell>
          <cell r="AS128">
            <v>0</v>
          </cell>
          <cell r="AW128">
            <v>10.5</v>
          </cell>
          <cell r="AX128">
            <v>12.157978617377259</v>
          </cell>
          <cell r="AY128">
            <v>14.550086947585532</v>
          </cell>
          <cell r="AZ128">
            <v>15.816762491345989</v>
          </cell>
          <cell r="BA128">
            <v>14.678705998673051</v>
          </cell>
          <cell r="BB128">
            <v>12.140251572145619</v>
          </cell>
          <cell r="BC128">
            <v>10.546673974499509</v>
          </cell>
          <cell r="BD128">
            <v>9.7841112329083249</v>
          </cell>
          <cell r="BE128">
            <v>4.6236369930190966</v>
          </cell>
          <cell r="BF128">
            <v>0</v>
          </cell>
          <cell r="BG128">
            <v>0</v>
          </cell>
          <cell r="BH128">
            <v>0</v>
          </cell>
          <cell r="BL128">
            <v>13.4883875</v>
          </cell>
          <cell r="BM128">
            <v>13.816881602290428</v>
          </cell>
          <cell r="BN128">
            <v>14.903487469710957</v>
          </cell>
          <cell r="BO128">
            <v>16.342085968239772</v>
          </cell>
          <cell r="BP128">
            <v>16.736971765923382</v>
          </cell>
          <cell r="BQ128">
            <v>16.046828019529222</v>
          </cell>
          <cell r="BR128">
            <v>14.569970339453644</v>
          </cell>
          <cell r="BS128">
            <v>12.702852735028559</v>
          </cell>
          <cell r="BT128">
            <v>5.8856562500000003</v>
          </cell>
          <cell r="BU128">
            <v>0</v>
          </cell>
          <cell r="BV128">
            <v>0</v>
          </cell>
          <cell r="BW128">
            <v>0</v>
          </cell>
          <cell r="CP128">
            <v>0</v>
          </cell>
          <cell r="DE128">
            <v>0</v>
          </cell>
          <cell r="DT128">
            <v>0</v>
          </cell>
          <cell r="EX128">
            <v>0</v>
          </cell>
          <cell r="EY128">
            <v>0</v>
          </cell>
          <cell r="EZ128">
            <v>0</v>
          </cell>
          <cell r="FA128">
            <v>0</v>
          </cell>
          <cell r="FB128">
            <v>0</v>
          </cell>
          <cell r="FC128">
            <v>0</v>
          </cell>
          <cell r="FD128">
            <v>0</v>
          </cell>
          <cell r="FE128">
            <v>0</v>
          </cell>
          <cell r="FF128">
            <v>0</v>
          </cell>
          <cell r="FG128">
            <v>0</v>
          </cell>
          <cell r="FH128">
            <v>0</v>
          </cell>
          <cell r="FI128">
            <v>0</v>
          </cell>
          <cell r="FM128">
            <v>0</v>
          </cell>
          <cell r="FN128">
            <v>0</v>
          </cell>
          <cell r="FO128">
            <v>0</v>
          </cell>
          <cell r="FP128">
            <v>0</v>
          </cell>
          <cell r="FQ128">
            <v>0</v>
          </cell>
          <cell r="FR128">
            <v>0</v>
          </cell>
          <cell r="FS128">
            <v>0</v>
          </cell>
          <cell r="FT128">
            <v>0</v>
          </cell>
          <cell r="FU128">
            <v>0</v>
          </cell>
          <cell r="FV128">
            <v>0</v>
          </cell>
          <cell r="FW128">
            <v>0</v>
          </cell>
          <cell r="FX128">
            <v>0</v>
          </cell>
          <cell r="GB128">
            <v>0</v>
          </cell>
          <cell r="GC128">
            <v>0</v>
          </cell>
          <cell r="GD128">
            <v>0</v>
          </cell>
          <cell r="GE128">
            <v>0</v>
          </cell>
          <cell r="GF128">
            <v>0</v>
          </cell>
          <cell r="GG128">
            <v>0</v>
          </cell>
          <cell r="GH128">
            <v>0</v>
          </cell>
          <cell r="GI128">
            <v>0</v>
          </cell>
          <cell r="GJ128">
            <v>0</v>
          </cell>
          <cell r="GK128">
            <v>0</v>
          </cell>
          <cell r="GL128">
            <v>0</v>
          </cell>
          <cell r="GM128">
            <v>0</v>
          </cell>
        </row>
        <row r="129">
          <cell r="A129" t="str">
            <v>YTD Average Staffing</v>
          </cell>
          <cell r="C129">
            <v>138.60206876113003</v>
          </cell>
          <cell r="J129">
            <v>95.316423590229292</v>
          </cell>
          <cell r="Q129">
            <v>11.644245314172709</v>
          </cell>
          <cell r="X129">
            <v>13.832569072241773</v>
          </cell>
          <cell r="AH129">
            <v>94.616536142762371</v>
          </cell>
          <cell r="AI129">
            <v>96.419306862992556</v>
          </cell>
          <cell r="AJ129">
            <v>98.860382138839213</v>
          </cell>
          <cell r="AK129">
            <v>102.70258551412047</v>
          </cell>
          <cell r="AL129">
            <v>105.44562945810017</v>
          </cell>
          <cell r="AM129">
            <v>105.38901200821169</v>
          </cell>
          <cell r="AN129">
            <v>103.79561470743256</v>
          </cell>
          <cell r="AO129">
            <v>101.83944919525796</v>
          </cell>
          <cell r="AP129">
            <v>95.316423590229292</v>
          </cell>
          <cell r="AQ129">
            <v>85.784781231206367</v>
          </cell>
          <cell r="AR129">
            <v>77.98616475564215</v>
          </cell>
          <cell r="AS129">
            <v>71.487317692671965</v>
          </cell>
          <cell r="AW129">
            <v>10.5</v>
          </cell>
          <cell r="AX129">
            <v>11.32898930868863</v>
          </cell>
          <cell r="AY129">
            <v>12.402688521654264</v>
          </cell>
          <cell r="AZ129">
            <v>13.256207014077196</v>
          </cell>
          <cell r="BA129">
            <v>13.540706810996365</v>
          </cell>
          <cell r="BB129">
            <v>13.30729760452124</v>
          </cell>
          <cell r="BC129">
            <v>12.912922800232423</v>
          </cell>
          <cell r="BD129">
            <v>12.521821354316911</v>
          </cell>
          <cell r="BE129">
            <v>11.644245314172709</v>
          </cell>
          <cell r="BF129">
            <v>10.479820782755437</v>
          </cell>
          <cell r="BG129">
            <v>9.5271098025049437</v>
          </cell>
          <cell r="BH129">
            <v>8.7331839856295321</v>
          </cell>
          <cell r="BL129">
            <v>13.4883875</v>
          </cell>
          <cell r="BM129">
            <v>13.652634551145214</v>
          </cell>
          <cell r="BN129">
            <v>14.069585524000461</v>
          </cell>
          <cell r="BO129">
            <v>14.637710635060289</v>
          </cell>
          <cell r="BP129">
            <v>15.057562861232906</v>
          </cell>
          <cell r="BQ129">
            <v>15.222440387615626</v>
          </cell>
          <cell r="BR129">
            <v>15.129230380735342</v>
          </cell>
          <cell r="BS129">
            <v>14.825933175021994</v>
          </cell>
          <cell r="BT129">
            <v>13.832569072241773</v>
          </cell>
          <cell r="BU129">
            <v>12.449312165017595</v>
          </cell>
          <cell r="BV129">
            <v>11.317556513652359</v>
          </cell>
          <cell r="BW129">
            <v>10.374426804181329</v>
          </cell>
          <cell r="CP129">
            <v>0</v>
          </cell>
          <cell r="CQ129" t="e">
            <v>#DIV/0!</v>
          </cell>
          <cell r="CR129" t="e">
            <v>#DIV/0!</v>
          </cell>
          <cell r="CS129" t="e">
            <v>#DIV/0!</v>
          </cell>
          <cell r="CT129" t="e">
            <v>#DIV/0!</v>
          </cell>
          <cell r="CU129" t="e">
            <v>#DIV/0!</v>
          </cell>
          <cell r="CV129" t="e">
            <v>#DIV/0!</v>
          </cell>
          <cell r="CW129" t="e">
            <v>#DIV/0!</v>
          </cell>
          <cell r="DE129">
            <v>0</v>
          </cell>
          <cell r="DF129" t="e">
            <v>#DIV/0!</v>
          </cell>
          <cell r="DG129" t="e">
            <v>#DIV/0!</v>
          </cell>
          <cell r="DH129" t="e">
            <v>#DIV/0!</v>
          </cell>
          <cell r="DI129" t="e">
            <v>#DIV/0!</v>
          </cell>
          <cell r="DJ129" t="e">
            <v>#DIV/0!</v>
          </cell>
          <cell r="DK129" t="e">
            <v>#DIV/0!</v>
          </cell>
          <cell r="DL129" t="e">
            <v>#DIV/0!</v>
          </cell>
          <cell r="DT129">
            <v>0</v>
          </cell>
          <cell r="DU129" t="e">
            <v>#DIV/0!</v>
          </cell>
          <cell r="DV129" t="e">
            <v>#DIV/0!</v>
          </cell>
          <cell r="DW129" t="e">
            <v>#DIV/0!</v>
          </cell>
          <cell r="DX129" t="e">
            <v>#DIV/0!</v>
          </cell>
          <cell r="DY129" t="e">
            <v>#DIV/0!</v>
          </cell>
          <cell r="DZ129" t="e">
            <v>#DIV/0!</v>
          </cell>
          <cell r="EA129" t="e">
            <v>#DIV/0!</v>
          </cell>
          <cell r="EX129">
            <v>0</v>
          </cell>
          <cell r="EY129">
            <v>0</v>
          </cell>
          <cell r="EZ129">
            <v>0</v>
          </cell>
          <cell r="FA129">
            <v>0</v>
          </cell>
          <cell r="FB129">
            <v>0</v>
          </cell>
          <cell r="FC129">
            <v>0</v>
          </cell>
          <cell r="FD129">
            <v>0</v>
          </cell>
          <cell r="FE129">
            <v>0</v>
          </cell>
          <cell r="FF129">
            <v>0</v>
          </cell>
          <cell r="FG129">
            <v>0</v>
          </cell>
          <cell r="FH129">
            <v>0</v>
          </cell>
          <cell r="FI129">
            <v>0</v>
          </cell>
          <cell r="FM129">
            <v>0</v>
          </cell>
          <cell r="FN129">
            <v>0</v>
          </cell>
          <cell r="FO129">
            <v>0</v>
          </cell>
          <cell r="FP129">
            <v>0</v>
          </cell>
          <cell r="FQ129">
            <v>0</v>
          </cell>
          <cell r="FR129">
            <v>0</v>
          </cell>
          <cell r="FS129">
            <v>0</v>
          </cell>
          <cell r="FT129">
            <v>0</v>
          </cell>
          <cell r="FU129">
            <v>0</v>
          </cell>
          <cell r="FV129">
            <v>0</v>
          </cell>
          <cell r="FW129">
            <v>0</v>
          </cell>
          <cell r="FX129">
            <v>0</v>
          </cell>
          <cell r="GB129">
            <v>0</v>
          </cell>
          <cell r="GC129">
            <v>0</v>
          </cell>
          <cell r="GD129">
            <v>0</v>
          </cell>
          <cell r="GE129">
            <v>0</v>
          </cell>
          <cell r="GF129">
            <v>0</v>
          </cell>
          <cell r="GG129">
            <v>0</v>
          </cell>
          <cell r="GH129">
            <v>0</v>
          </cell>
          <cell r="GI129">
            <v>0</v>
          </cell>
          <cell r="GJ129">
            <v>0</v>
          </cell>
          <cell r="GK129">
            <v>0</v>
          </cell>
          <cell r="GL129">
            <v>0</v>
          </cell>
          <cell r="GM129">
            <v>0</v>
          </cell>
        </row>
        <row r="131">
          <cell r="A131" t="str">
            <v>Note:  Corporate staffing is not allocated to divisions but is included in GTS Total column.</v>
          </cell>
        </row>
        <row r="134">
          <cell r="AH134">
            <v>1</v>
          </cell>
          <cell r="AI134">
            <v>2</v>
          </cell>
          <cell r="AJ134">
            <v>3</v>
          </cell>
          <cell r="AK134">
            <v>4</v>
          </cell>
          <cell r="AL134">
            <v>5</v>
          </cell>
          <cell r="AM134">
            <v>6</v>
          </cell>
          <cell r="AN134">
            <v>7</v>
          </cell>
          <cell r="AO134">
            <v>8</v>
          </cell>
          <cell r="AP134">
            <v>9</v>
          </cell>
          <cell r="AQ134">
            <v>10</v>
          </cell>
          <cell r="AR134">
            <v>11</v>
          </cell>
          <cell r="AS134">
            <v>12</v>
          </cell>
          <cell r="AW134">
            <v>1</v>
          </cell>
          <cell r="AX134">
            <v>2</v>
          </cell>
          <cell r="AY134">
            <v>3</v>
          </cell>
          <cell r="AZ134">
            <v>4</v>
          </cell>
          <cell r="BA134">
            <v>5</v>
          </cell>
          <cell r="BB134">
            <v>6</v>
          </cell>
          <cell r="BC134">
            <v>7</v>
          </cell>
          <cell r="BD134">
            <v>8</v>
          </cell>
          <cell r="BE134">
            <v>9</v>
          </cell>
          <cell r="BF134">
            <v>10</v>
          </cell>
          <cell r="BG134">
            <v>11</v>
          </cell>
          <cell r="BH134">
            <v>12</v>
          </cell>
          <cell r="BL134">
            <v>1</v>
          </cell>
          <cell r="BM134">
            <v>2</v>
          </cell>
          <cell r="BN134">
            <v>3</v>
          </cell>
          <cell r="BO134">
            <v>4</v>
          </cell>
          <cell r="BP134">
            <v>5</v>
          </cell>
          <cell r="BQ134">
            <v>6</v>
          </cell>
          <cell r="BR134">
            <v>7</v>
          </cell>
          <cell r="BS134">
            <v>8</v>
          </cell>
          <cell r="BT134">
            <v>9</v>
          </cell>
          <cell r="BU134">
            <v>10</v>
          </cell>
          <cell r="BV134">
            <v>11</v>
          </cell>
          <cell r="BW134">
            <v>12</v>
          </cell>
        </row>
        <row r="135">
          <cell r="AH135">
            <v>209359.80961718416</v>
          </cell>
          <cell r="AI135">
            <v>231859.80961718416</v>
          </cell>
          <cell r="AJ135">
            <v>258609.80961718416</v>
          </cell>
          <cell r="AK135">
            <v>349609.80961718416</v>
          </cell>
          <cell r="AL135">
            <v>446609.80961718416</v>
          </cell>
          <cell r="AM135">
            <v>413859.80961718416</v>
          </cell>
          <cell r="AN135">
            <v>358109.80961718416</v>
          </cell>
          <cell r="AO135">
            <v>298109.80961718416</v>
          </cell>
          <cell r="AP135">
            <v>248109.80961718419</v>
          </cell>
          <cell r="AQ135">
            <v>215109.80961718419</v>
          </cell>
          <cell r="AR135">
            <v>165109.80961718419</v>
          </cell>
          <cell r="AS135">
            <v>141109.80961718419</v>
          </cell>
          <cell r="AW135">
            <v>25500</v>
          </cell>
          <cell r="AX135">
            <v>27500</v>
          </cell>
          <cell r="AY135">
            <v>21000</v>
          </cell>
          <cell r="AZ135">
            <v>33750</v>
          </cell>
          <cell r="BA135">
            <v>18750</v>
          </cell>
          <cell r="BB135">
            <v>18750</v>
          </cell>
          <cell r="BC135">
            <v>23000</v>
          </cell>
          <cell r="BD135">
            <v>29000</v>
          </cell>
          <cell r="BE135">
            <v>29000</v>
          </cell>
          <cell r="BF135">
            <v>29250</v>
          </cell>
          <cell r="BG135">
            <v>29250</v>
          </cell>
          <cell r="BH135">
            <v>25500</v>
          </cell>
          <cell r="BL135">
            <v>0</v>
          </cell>
          <cell r="BM135">
            <v>0</v>
          </cell>
          <cell r="BN135">
            <v>0</v>
          </cell>
          <cell r="BO135">
            <v>0</v>
          </cell>
          <cell r="BP135">
            <v>0</v>
          </cell>
          <cell r="BQ135">
            <v>0</v>
          </cell>
          <cell r="BR135">
            <v>0</v>
          </cell>
          <cell r="BS135">
            <v>0</v>
          </cell>
          <cell r="BT135">
            <v>0</v>
          </cell>
          <cell r="BU135">
            <v>0</v>
          </cell>
          <cell r="BV135">
            <v>0</v>
          </cell>
          <cell r="BW135">
            <v>0</v>
          </cell>
        </row>
        <row r="136">
          <cell r="AH136">
            <v>662273.68921258766</v>
          </cell>
          <cell r="AI136">
            <v>666773.68921258766</v>
          </cell>
          <cell r="AJ136">
            <v>683773.68921258766</v>
          </cell>
          <cell r="AK136">
            <v>695043.68921258778</v>
          </cell>
          <cell r="AL136">
            <v>612043.68921258766</v>
          </cell>
          <cell r="AM136">
            <v>676043.68921258766</v>
          </cell>
          <cell r="AN136">
            <v>598713.68921258778</v>
          </cell>
          <cell r="AO136">
            <v>636713.68921258778</v>
          </cell>
          <cell r="AP136">
            <v>696713.68921258778</v>
          </cell>
          <cell r="AQ136">
            <v>642813.68921258778</v>
          </cell>
          <cell r="AR136">
            <v>603813.68921258778</v>
          </cell>
          <cell r="AS136">
            <v>623813.68921258778</v>
          </cell>
          <cell r="AW136">
            <v>106374.32621047054</v>
          </cell>
          <cell r="AX136">
            <v>144374.32621047055</v>
          </cell>
          <cell r="AY136">
            <v>148374.32621047055</v>
          </cell>
          <cell r="AZ136">
            <v>125484.32621047055</v>
          </cell>
          <cell r="BA136">
            <v>132624.32621047055</v>
          </cell>
          <cell r="BB136">
            <v>148484.32621047055</v>
          </cell>
          <cell r="BC136">
            <v>186434.32621047055</v>
          </cell>
          <cell r="BD136">
            <v>192434.32621047055</v>
          </cell>
          <cell r="BE136">
            <v>183434.32621047055</v>
          </cell>
          <cell r="BF136">
            <v>151464.32621047055</v>
          </cell>
          <cell r="BG136">
            <v>168464.32621047055</v>
          </cell>
          <cell r="BH136">
            <v>161214.32621047055</v>
          </cell>
          <cell r="BL136">
            <v>0</v>
          </cell>
          <cell r="BM136">
            <v>0</v>
          </cell>
          <cell r="BN136">
            <v>0</v>
          </cell>
          <cell r="BO136">
            <v>0</v>
          </cell>
          <cell r="BP136">
            <v>0</v>
          </cell>
          <cell r="BQ136">
            <v>0</v>
          </cell>
          <cell r="BR136">
            <v>0</v>
          </cell>
          <cell r="BS136">
            <v>0</v>
          </cell>
          <cell r="BT136">
            <v>0</v>
          </cell>
          <cell r="BU136">
            <v>0</v>
          </cell>
          <cell r="BV136">
            <v>0</v>
          </cell>
          <cell r="BW136">
            <v>0</v>
          </cell>
        </row>
        <row r="137">
          <cell r="AH137">
            <v>0</v>
          </cell>
          <cell r="AI137">
            <v>0</v>
          </cell>
          <cell r="AJ137">
            <v>0</v>
          </cell>
          <cell r="AK137">
            <v>0</v>
          </cell>
          <cell r="AL137">
            <v>0</v>
          </cell>
          <cell r="AM137">
            <v>0</v>
          </cell>
          <cell r="AN137">
            <v>0</v>
          </cell>
          <cell r="AO137">
            <v>0</v>
          </cell>
          <cell r="AP137">
            <v>0</v>
          </cell>
          <cell r="AQ137">
            <v>0</v>
          </cell>
          <cell r="AR137">
            <v>0</v>
          </cell>
          <cell r="AS137">
            <v>0</v>
          </cell>
          <cell r="AW137">
            <v>0</v>
          </cell>
          <cell r="AX137">
            <v>0</v>
          </cell>
          <cell r="AY137">
            <v>0</v>
          </cell>
          <cell r="AZ137">
            <v>0</v>
          </cell>
          <cell r="BA137">
            <v>0</v>
          </cell>
          <cell r="BB137">
            <v>0</v>
          </cell>
          <cell r="BC137">
            <v>0</v>
          </cell>
          <cell r="BD137">
            <v>0</v>
          </cell>
          <cell r="BE137">
            <v>0</v>
          </cell>
          <cell r="BF137">
            <v>0</v>
          </cell>
          <cell r="BG137">
            <v>0</v>
          </cell>
          <cell r="BH137">
            <v>0</v>
          </cell>
          <cell r="BL137">
            <v>173902.17495975754</v>
          </cell>
          <cell r="BM137">
            <v>159902.17495975757</v>
          </cell>
          <cell r="BN137">
            <v>162902.17495975754</v>
          </cell>
          <cell r="BO137">
            <v>183732.17495975754</v>
          </cell>
          <cell r="BP137">
            <v>175732.17495975754</v>
          </cell>
          <cell r="BQ137">
            <v>165732.17495975754</v>
          </cell>
          <cell r="BR137">
            <v>166227.17495975751</v>
          </cell>
          <cell r="BS137">
            <v>170227.17495975754</v>
          </cell>
          <cell r="BT137">
            <v>171227.17495975754</v>
          </cell>
          <cell r="BU137">
            <v>184107.17495975751</v>
          </cell>
          <cell r="BV137">
            <v>242107.17495975751</v>
          </cell>
          <cell r="BW137">
            <v>200107.17495975751</v>
          </cell>
        </row>
        <row r="138">
          <cell r="AH138">
            <v>5000</v>
          </cell>
          <cell r="AI138">
            <v>5000</v>
          </cell>
          <cell r="AJ138">
            <v>5000</v>
          </cell>
          <cell r="AK138">
            <v>5000</v>
          </cell>
          <cell r="AL138">
            <v>5000</v>
          </cell>
          <cell r="AM138">
            <v>5000</v>
          </cell>
          <cell r="AN138">
            <v>5000</v>
          </cell>
          <cell r="AO138">
            <v>5000</v>
          </cell>
          <cell r="AP138">
            <v>5000</v>
          </cell>
          <cell r="AQ138">
            <v>5000</v>
          </cell>
          <cell r="AR138">
            <v>5000</v>
          </cell>
          <cell r="AS138">
            <v>5000</v>
          </cell>
          <cell r="AW138">
            <v>0</v>
          </cell>
          <cell r="AX138">
            <v>0</v>
          </cell>
          <cell r="AY138">
            <v>0</v>
          </cell>
          <cell r="AZ138">
            <v>0</v>
          </cell>
          <cell r="BA138">
            <v>0</v>
          </cell>
          <cell r="BB138">
            <v>0</v>
          </cell>
          <cell r="BC138">
            <v>0</v>
          </cell>
          <cell r="BD138">
            <v>0</v>
          </cell>
          <cell r="BE138">
            <v>0</v>
          </cell>
          <cell r="BF138">
            <v>0</v>
          </cell>
          <cell r="BG138">
            <v>0</v>
          </cell>
          <cell r="BH138">
            <v>0</v>
          </cell>
          <cell r="BL138">
            <v>0</v>
          </cell>
          <cell r="BM138">
            <v>0</v>
          </cell>
          <cell r="BN138">
            <v>0</v>
          </cell>
          <cell r="BO138">
            <v>0</v>
          </cell>
          <cell r="BP138">
            <v>0</v>
          </cell>
          <cell r="BQ138">
            <v>0</v>
          </cell>
          <cell r="BR138">
            <v>0</v>
          </cell>
          <cell r="BS138">
            <v>0</v>
          </cell>
          <cell r="BT138">
            <v>0</v>
          </cell>
          <cell r="BU138">
            <v>0</v>
          </cell>
          <cell r="BV138">
            <v>0</v>
          </cell>
          <cell r="BW138">
            <v>0</v>
          </cell>
        </row>
        <row r="139">
          <cell r="AH139">
            <v>22352.680186835281</v>
          </cell>
          <cell r="AI139">
            <v>22352.680186835281</v>
          </cell>
          <cell r="AJ139">
            <v>22352.680186835281</v>
          </cell>
          <cell r="AK139">
            <v>-40979.913675864686</v>
          </cell>
          <cell r="AL139">
            <v>-40979.913675864686</v>
          </cell>
          <cell r="AM139">
            <v>-40979.913675864686</v>
          </cell>
          <cell r="AN139">
            <v>-94626.346124269359</v>
          </cell>
          <cell r="AO139">
            <v>-93881.256784708181</v>
          </cell>
          <cell r="AP139">
            <v>-86430.363389096427</v>
          </cell>
          <cell r="AQ139">
            <v>110273.22225505406</v>
          </cell>
          <cell r="AR139">
            <v>110273.22225505406</v>
          </cell>
          <cell r="AS139">
            <v>110273.22225505406</v>
          </cell>
          <cell r="AW139">
            <v>2780.4125627820981</v>
          </cell>
          <cell r="AX139">
            <v>2780.4125627820981</v>
          </cell>
          <cell r="AY139">
            <v>2780.4125627820981</v>
          </cell>
          <cell r="AZ139">
            <v>-5097.42303176718</v>
          </cell>
          <cell r="BA139">
            <v>-5097.42303176718</v>
          </cell>
          <cell r="BB139">
            <v>-5097.42303176718</v>
          </cell>
          <cell r="BC139">
            <v>-11770.413182444216</v>
          </cell>
          <cell r="BD139">
            <v>-11677.732763684813</v>
          </cell>
          <cell r="BE139">
            <v>-10750.928576090781</v>
          </cell>
          <cell r="BF139">
            <v>13716.701976391685</v>
          </cell>
          <cell r="BG139">
            <v>13716.701976391685</v>
          </cell>
          <cell r="BH139">
            <v>13716.701976391685</v>
          </cell>
          <cell r="BL139">
            <v>4866.9072503826201</v>
          </cell>
          <cell r="BM139">
            <v>4866.9072503826201</v>
          </cell>
          <cell r="BN139">
            <v>4866.9072503826201</v>
          </cell>
          <cell r="BO139">
            <v>-8922.6632923681373</v>
          </cell>
          <cell r="BP139">
            <v>-8922.6632923681373</v>
          </cell>
          <cell r="BQ139">
            <v>-8922.6632923681373</v>
          </cell>
          <cell r="BR139">
            <v>-20603.240693286425</v>
          </cell>
          <cell r="BS139">
            <v>-20441.010451607006</v>
          </cell>
          <cell r="BT139">
            <v>-18818.7080348128</v>
          </cell>
          <cell r="BU139">
            <v>24010.075768554259</v>
          </cell>
          <cell r="BV139">
            <v>24010.075768554259</v>
          </cell>
          <cell r="BW139">
            <v>24010.075768554259</v>
          </cell>
        </row>
        <row r="142">
          <cell r="AH142">
            <v>898986.179016607</v>
          </cell>
          <cell r="AI142">
            <v>925986.179016607</v>
          </cell>
          <cell r="AJ142">
            <v>969736.179016607</v>
          </cell>
          <cell r="AK142">
            <v>1008673.5851539073</v>
          </cell>
          <cell r="AL142">
            <v>1022673.5851539071</v>
          </cell>
          <cell r="AM142">
            <v>1053923.5851539071</v>
          </cell>
          <cell r="AN142">
            <v>867197.1527055027</v>
          </cell>
          <cell r="AO142">
            <v>845942.24204506376</v>
          </cell>
          <cell r="AP142">
            <v>863393.13544067554</v>
          </cell>
          <cell r="AQ142">
            <v>973196.72108482604</v>
          </cell>
          <cell r="AR142">
            <v>884196.72108482604</v>
          </cell>
          <cell r="AS142">
            <v>880196.72108482604</v>
          </cell>
          <cell r="AW142">
            <v>134654.73877325261</v>
          </cell>
          <cell r="AX142">
            <v>174654.73877325264</v>
          </cell>
          <cell r="AY142">
            <v>172154.73877325264</v>
          </cell>
          <cell r="AZ142">
            <v>154136.90317870336</v>
          </cell>
          <cell r="BA142">
            <v>146276.90317870336</v>
          </cell>
          <cell r="BB142">
            <v>162136.90317870336</v>
          </cell>
          <cell r="BC142">
            <v>197663.91302802635</v>
          </cell>
          <cell r="BD142">
            <v>209756.59344678573</v>
          </cell>
          <cell r="BE142">
            <v>201683.39763437977</v>
          </cell>
          <cell r="BF142">
            <v>194431.02818686224</v>
          </cell>
          <cell r="BG142">
            <v>211431.02818686224</v>
          </cell>
          <cell r="BH142">
            <v>200431.02818686224</v>
          </cell>
          <cell r="BL142">
            <v>178769.08221014016</v>
          </cell>
          <cell r="BM142">
            <v>164769.08221014019</v>
          </cell>
          <cell r="BN142">
            <v>167769.08221014016</v>
          </cell>
          <cell r="BO142">
            <v>174809.51166738939</v>
          </cell>
          <cell r="BP142">
            <v>166809.51166738939</v>
          </cell>
          <cell r="BQ142">
            <v>156809.51166738939</v>
          </cell>
          <cell r="BR142">
            <v>145623.93426647107</v>
          </cell>
          <cell r="BS142">
            <v>149786.16450815054</v>
          </cell>
          <cell r="BT142">
            <v>152408.46692494475</v>
          </cell>
          <cell r="BU142">
            <v>208117.25072831177</v>
          </cell>
          <cell r="BV142">
            <v>266117.25072831177</v>
          </cell>
          <cell r="BW142">
            <v>224117.25072831177</v>
          </cell>
        </row>
        <row r="144">
          <cell r="AH144">
            <v>31815.645957501529</v>
          </cell>
          <cell r="AI144">
            <v>33209.565957501523</v>
          </cell>
          <cell r="AJ144">
            <v>34692.765957501528</v>
          </cell>
          <cell r="AK144">
            <v>38110.404357501538</v>
          </cell>
          <cell r="AL144">
            <v>38503.697157501527</v>
          </cell>
          <cell r="AM144">
            <v>39766.404357501531</v>
          </cell>
          <cell r="AN144">
            <v>33299.227238989391</v>
          </cell>
          <cell r="AO144">
            <v>32677.147238989397</v>
          </cell>
          <cell r="AP144">
            <v>32919.067238989395</v>
          </cell>
          <cell r="AQ144">
            <v>34258.541476013677</v>
          </cell>
          <cell r="AR144">
            <v>31378.541476013677</v>
          </cell>
          <cell r="AS144">
            <v>31113.581476013682</v>
          </cell>
          <cell r="AW144">
            <v>0</v>
          </cell>
          <cell r="AX144">
            <v>0</v>
          </cell>
          <cell r="AY144">
            <v>0</v>
          </cell>
          <cell r="AZ144">
            <v>0</v>
          </cell>
          <cell r="BA144">
            <v>0</v>
          </cell>
          <cell r="BB144">
            <v>0</v>
          </cell>
          <cell r="BC144">
            <v>-306.35908597511553</v>
          </cell>
          <cell r="BD144">
            <v>-306.35908597511553</v>
          </cell>
          <cell r="BE144">
            <v>-306.35908597511553</v>
          </cell>
          <cell r="BF144">
            <v>306.35908597511553</v>
          </cell>
          <cell r="BG144">
            <v>306.35908597511553</v>
          </cell>
          <cell r="BH144">
            <v>306.35908597511553</v>
          </cell>
          <cell r="BL144">
            <v>0</v>
          </cell>
          <cell r="BM144">
            <v>0</v>
          </cell>
          <cell r="BN144">
            <v>0</v>
          </cell>
          <cell r="BO144">
            <v>0</v>
          </cell>
          <cell r="BP144">
            <v>0</v>
          </cell>
          <cell r="BQ144">
            <v>0</v>
          </cell>
          <cell r="BR144">
            <v>-339.56459551274162</v>
          </cell>
          <cell r="BS144">
            <v>-339.56459551274162</v>
          </cell>
          <cell r="BT144">
            <v>-339.56459551274162</v>
          </cell>
          <cell r="BU144">
            <v>339.56459551274162</v>
          </cell>
          <cell r="BV144">
            <v>339.56459551274162</v>
          </cell>
          <cell r="BW144">
            <v>339.56459551274162</v>
          </cell>
        </row>
        <row r="146">
          <cell r="AH146">
            <v>34610.837932202587</v>
          </cell>
          <cell r="AI146">
            <v>36447.896755731999</v>
          </cell>
          <cell r="AJ146">
            <v>38960.896755731999</v>
          </cell>
          <cell r="AK146">
            <v>46195.108520437891</v>
          </cell>
          <cell r="AL146">
            <v>51223.579108673177</v>
          </cell>
          <cell r="AM146">
            <v>50541.637932202582</v>
          </cell>
          <cell r="AN146">
            <v>40197.742107231374</v>
          </cell>
          <cell r="AO146">
            <v>36710.683283701961</v>
          </cell>
          <cell r="AP146">
            <v>34604.800930760786</v>
          </cell>
          <cell r="AQ146">
            <v>38421.839639526748</v>
          </cell>
          <cell r="AR146">
            <v>33520.663168938518</v>
          </cell>
          <cell r="AS146">
            <v>32261.369051291465</v>
          </cell>
          <cell r="AW146">
            <v>0</v>
          </cell>
          <cell r="AX146">
            <v>0</v>
          </cell>
          <cell r="AY146">
            <v>0</v>
          </cell>
          <cell r="AZ146">
            <v>0</v>
          </cell>
          <cell r="BA146">
            <v>0</v>
          </cell>
          <cell r="BB146">
            <v>0</v>
          </cell>
          <cell r="BC146">
            <v>-510.59847662519252</v>
          </cell>
          <cell r="BD146">
            <v>-510.59847662519252</v>
          </cell>
          <cell r="BE146">
            <v>-510.59847662519252</v>
          </cell>
          <cell r="BF146">
            <v>510.59847662519252</v>
          </cell>
          <cell r="BG146">
            <v>510.59847662519252</v>
          </cell>
          <cell r="BH146">
            <v>510.59847662519252</v>
          </cell>
          <cell r="BL146">
            <v>1739.0217495975755</v>
          </cell>
          <cell r="BM146">
            <v>1599.0217495975758</v>
          </cell>
          <cell r="BN146">
            <v>3258.0434991951511</v>
          </cell>
          <cell r="BO146">
            <v>3674.643499195151</v>
          </cell>
          <cell r="BP146">
            <v>5271.965248792726</v>
          </cell>
          <cell r="BQ146">
            <v>4971.965248792726</v>
          </cell>
          <cell r="BR146">
            <v>6083.1460058690645</v>
          </cell>
          <cell r="BS146">
            <v>6243.1460058690664</v>
          </cell>
          <cell r="BT146">
            <v>7995.4177554666412</v>
          </cell>
          <cell r="BU146">
            <v>9771.2997405091119</v>
          </cell>
          <cell r="BV146">
            <v>15092.371490106687</v>
          </cell>
          <cell r="BW146">
            <v>12572.371490106687</v>
          </cell>
        </row>
        <row r="147">
          <cell r="AH147">
            <v>42872</v>
          </cell>
          <cell r="AI147">
            <v>37280</v>
          </cell>
          <cell r="AJ147">
            <v>47168</v>
          </cell>
          <cell r="AK147">
            <v>48048</v>
          </cell>
          <cell r="AL147">
            <v>42872</v>
          </cell>
          <cell r="AM147">
            <v>45360</v>
          </cell>
          <cell r="AN147">
            <v>29325.923681487857</v>
          </cell>
          <cell r="AO147">
            <v>30765.923681487857</v>
          </cell>
          <cell r="AP147">
            <v>32045.923681487857</v>
          </cell>
          <cell r="AQ147">
            <v>32346.076318512143</v>
          </cell>
          <cell r="AR147">
            <v>18546.076318512143</v>
          </cell>
          <cell r="AS147">
            <v>14786.076318512143</v>
          </cell>
          <cell r="AW147">
            <v>16560</v>
          </cell>
          <cell r="AX147">
            <v>14400</v>
          </cell>
          <cell r="AY147">
            <v>15840</v>
          </cell>
          <cell r="AZ147">
            <v>15120</v>
          </cell>
          <cell r="BA147">
            <v>16560</v>
          </cell>
          <cell r="BB147">
            <v>0</v>
          </cell>
          <cell r="BC147">
            <v>-306.35908597511553</v>
          </cell>
          <cell r="BD147">
            <v>-306.35908597511553</v>
          </cell>
          <cell r="BE147">
            <v>-306.35908597511553</v>
          </cell>
          <cell r="BF147">
            <v>306.35908597511553</v>
          </cell>
          <cell r="BG147">
            <v>306.35908597511553</v>
          </cell>
          <cell r="BH147">
            <v>306.35908597511553</v>
          </cell>
          <cell r="BL147">
            <v>38957.021960358739</v>
          </cell>
          <cell r="BM147">
            <v>27821.581199628854</v>
          </cell>
          <cell r="BN147">
            <v>37043.118079608284</v>
          </cell>
          <cell r="BO147">
            <v>31967.79297038187</v>
          </cell>
          <cell r="BP147">
            <v>21876.299780970407</v>
          </cell>
          <cell r="BQ147">
            <v>23616.212399834454</v>
          </cell>
          <cell r="BR147">
            <v>35542.161811003796</v>
          </cell>
          <cell r="BS147">
            <v>24058.7385265011</v>
          </cell>
          <cell r="BT147">
            <v>24232.729788387507</v>
          </cell>
          <cell r="BU147">
            <v>32372.604289102008</v>
          </cell>
          <cell r="BV147">
            <v>42464.097478513468</v>
          </cell>
          <cell r="BW147">
            <v>35156.464479284477</v>
          </cell>
        </row>
        <row r="148">
          <cell r="AH148">
            <v>77482.837932202587</v>
          </cell>
          <cell r="AI148">
            <v>73727.896755731999</v>
          </cell>
          <cell r="AJ148">
            <v>86128.896755731999</v>
          </cell>
          <cell r="AK148">
            <v>94243.108520437891</v>
          </cell>
          <cell r="AL148">
            <v>94095.579108673177</v>
          </cell>
          <cell r="AM148">
            <v>95901.637932202575</v>
          </cell>
          <cell r="AN148">
            <v>69523.665788719227</v>
          </cell>
          <cell r="AO148">
            <v>67476.606965189814</v>
          </cell>
          <cell r="AP148">
            <v>66650.724612248639</v>
          </cell>
          <cell r="AQ148">
            <v>70767.915958038895</v>
          </cell>
          <cell r="AR148">
            <v>52066.739487450657</v>
          </cell>
          <cell r="AS148">
            <v>47047.445369803609</v>
          </cell>
          <cell r="AW148">
            <v>16560</v>
          </cell>
          <cell r="AX148">
            <v>14400</v>
          </cell>
          <cell r="AY148">
            <v>15840</v>
          </cell>
          <cell r="AZ148">
            <v>15120</v>
          </cell>
          <cell r="BA148">
            <v>16560</v>
          </cell>
          <cell r="BB148">
            <v>0</v>
          </cell>
          <cell r="BC148">
            <v>-816.95756260030805</v>
          </cell>
          <cell r="BD148">
            <v>-816.95756260030805</v>
          </cell>
          <cell r="BE148">
            <v>-816.95756260030805</v>
          </cell>
          <cell r="BF148">
            <v>816.95756260030805</v>
          </cell>
          <cell r="BG148">
            <v>816.95756260030805</v>
          </cell>
          <cell r="BH148">
            <v>816.95756260030805</v>
          </cell>
          <cell r="BL148">
            <v>40696.043709956313</v>
          </cell>
          <cell r="BM148">
            <v>29420.602949226428</v>
          </cell>
          <cell r="BN148">
            <v>40301.161578803432</v>
          </cell>
          <cell r="BO148">
            <v>35642.43646957702</v>
          </cell>
          <cell r="BP148">
            <v>27148.265029763133</v>
          </cell>
          <cell r="BQ148">
            <v>28588.177648627181</v>
          </cell>
          <cell r="BR148">
            <v>41625.307816872861</v>
          </cell>
          <cell r="BS148">
            <v>30301.884532370168</v>
          </cell>
          <cell r="BT148">
            <v>32228.147543854149</v>
          </cell>
          <cell r="BU148">
            <v>42143.90402961112</v>
          </cell>
          <cell r="BV148">
            <v>57556.468968620153</v>
          </cell>
          <cell r="BW148">
            <v>47728.835969391163</v>
          </cell>
        </row>
        <row r="150">
          <cell r="AH150">
            <v>789687.69512690289</v>
          </cell>
          <cell r="AI150">
            <v>819048.71630337345</v>
          </cell>
          <cell r="AJ150">
            <v>848914.5163033735</v>
          </cell>
          <cell r="AK150">
            <v>876320.07227596792</v>
          </cell>
          <cell r="AL150">
            <v>890074.30888773245</v>
          </cell>
          <cell r="AM150">
            <v>918255.54286420299</v>
          </cell>
          <cell r="AN150">
            <v>764374.25967779406</v>
          </cell>
          <cell r="AO150">
            <v>745788.4878408846</v>
          </cell>
          <cell r="AP150">
            <v>763823.34358943754</v>
          </cell>
          <cell r="AQ150">
            <v>868170.26365077344</v>
          </cell>
          <cell r="AR150">
            <v>800751.44012136164</v>
          </cell>
          <cell r="AS150">
            <v>802035.69423900882</v>
          </cell>
          <cell r="AW150">
            <v>118094.73877325261</v>
          </cell>
          <cell r="AX150">
            <v>160254.73877325264</v>
          </cell>
          <cell r="AY150">
            <v>156314.73877325264</v>
          </cell>
          <cell r="AZ150">
            <v>139016.90317870336</v>
          </cell>
          <cell r="BA150">
            <v>129716.90317870336</v>
          </cell>
          <cell r="BB150">
            <v>162136.90317870336</v>
          </cell>
          <cell r="BC150">
            <v>198787.2296766018</v>
          </cell>
          <cell r="BD150">
            <v>210879.91009536118</v>
          </cell>
          <cell r="BE150">
            <v>202806.71428295522</v>
          </cell>
          <cell r="BF150">
            <v>193307.71153828679</v>
          </cell>
          <cell r="BG150">
            <v>210307.71153828679</v>
          </cell>
          <cell r="BH150">
            <v>199307.71153828679</v>
          </cell>
          <cell r="BL150">
            <v>138073.03850018384</v>
          </cell>
          <cell r="BM150">
            <v>135348.47926091377</v>
          </cell>
          <cell r="BN150">
            <v>127467.92063133672</v>
          </cell>
          <cell r="BO150">
            <v>139167.07519781237</v>
          </cell>
          <cell r="BP150">
            <v>139661.24663762626</v>
          </cell>
          <cell r="BQ150">
            <v>128221.33401876221</v>
          </cell>
          <cell r="BR150">
            <v>104338.19104511096</v>
          </cell>
          <cell r="BS150">
            <v>119823.84457129313</v>
          </cell>
          <cell r="BT150">
            <v>120519.88397660335</v>
          </cell>
          <cell r="BU150">
            <v>165633.7821031879</v>
          </cell>
          <cell r="BV150">
            <v>208221.21716417887</v>
          </cell>
          <cell r="BW150">
            <v>176048.85016340786</v>
          </cell>
        </row>
        <row r="152">
          <cell r="AH152">
            <v>259385.45974488006</v>
          </cell>
          <cell r="AI152">
            <v>225552.57369119997</v>
          </cell>
          <cell r="AJ152">
            <v>248107.83106031996</v>
          </cell>
          <cell r="AK152">
            <v>236830.20237575998</v>
          </cell>
          <cell r="AL152">
            <v>259385.45974488006</v>
          </cell>
          <cell r="AM152">
            <v>236830.20237575998</v>
          </cell>
          <cell r="AN152">
            <v>248107.83106031996</v>
          </cell>
          <cell r="AO152">
            <v>259385.45974488006</v>
          </cell>
          <cell r="AP152">
            <v>225552.57369119997</v>
          </cell>
          <cell r="AQ152">
            <v>259385.45974488006</v>
          </cell>
          <cell r="AR152">
            <v>248107.83106031996</v>
          </cell>
          <cell r="AS152">
            <v>236830.20237575998</v>
          </cell>
          <cell r="AW152">
            <v>29440.475630127694</v>
          </cell>
          <cell r="AX152">
            <v>25600.413591415385</v>
          </cell>
          <cell r="AY152">
            <v>28160.454950556923</v>
          </cell>
          <cell r="AZ152">
            <v>26880.434270986152</v>
          </cell>
          <cell r="BA152">
            <v>29440.475630127694</v>
          </cell>
          <cell r="BB152">
            <v>26880.434270986152</v>
          </cell>
          <cell r="BC152">
            <v>28160.454950556923</v>
          </cell>
          <cell r="BD152">
            <v>29440.475630127694</v>
          </cell>
          <cell r="BE152">
            <v>25600.413591415385</v>
          </cell>
          <cell r="BF152">
            <v>29440.475630127694</v>
          </cell>
          <cell r="BG152">
            <v>28160.454950556923</v>
          </cell>
          <cell r="BH152">
            <v>26880.434270986152</v>
          </cell>
          <cell r="BL152">
            <v>29949.71493654</v>
          </cell>
          <cell r="BM152">
            <v>26043.230379600001</v>
          </cell>
          <cell r="BN152">
            <v>28647.553417560004</v>
          </cell>
          <cell r="BO152">
            <v>27345.391898579997</v>
          </cell>
          <cell r="BP152">
            <v>29949.71493654</v>
          </cell>
          <cell r="BQ152">
            <v>27345.391898579997</v>
          </cell>
          <cell r="BR152">
            <v>28647.553417560004</v>
          </cell>
          <cell r="BS152">
            <v>29949.71493654</v>
          </cell>
          <cell r="BT152">
            <v>26043.230379600001</v>
          </cell>
          <cell r="BU152">
            <v>29949.71493654</v>
          </cell>
          <cell r="BV152">
            <v>28647.553417560004</v>
          </cell>
          <cell r="BW152">
            <v>27345.391898579997</v>
          </cell>
        </row>
        <row r="153">
          <cell r="AH153">
            <v>56311.967011860012</v>
          </cell>
          <cell r="AI153">
            <v>48966.927836399998</v>
          </cell>
          <cell r="AJ153">
            <v>53863.620620040005</v>
          </cell>
          <cell r="AK153">
            <v>51415.274228220005</v>
          </cell>
          <cell r="AL153">
            <v>56311.967011860012</v>
          </cell>
          <cell r="AM153">
            <v>51415.274228220005</v>
          </cell>
          <cell r="AN153">
            <v>53863.620620040005</v>
          </cell>
          <cell r="AO153">
            <v>56311.967011860012</v>
          </cell>
          <cell r="AP153">
            <v>48966.927836399998</v>
          </cell>
          <cell r="AQ153">
            <v>56311.967011860012</v>
          </cell>
          <cell r="AR153">
            <v>53863.620620040005</v>
          </cell>
          <cell r="AS153">
            <v>51415.274228220005</v>
          </cell>
          <cell r="AW153">
            <v>15869.336687819998</v>
          </cell>
          <cell r="AX153">
            <v>13799.4232068</v>
          </cell>
          <cell r="AY153">
            <v>15179.36552748</v>
          </cell>
          <cell r="AZ153">
            <v>14489.394367140001</v>
          </cell>
          <cell r="BA153">
            <v>15869.336687819998</v>
          </cell>
          <cell r="BB153">
            <v>14489.394367140001</v>
          </cell>
          <cell r="BC153">
            <v>15179.36552748</v>
          </cell>
          <cell r="BD153">
            <v>15869.336687819998</v>
          </cell>
          <cell r="BE153">
            <v>13799.4232068</v>
          </cell>
          <cell r="BF153">
            <v>15869.336687819998</v>
          </cell>
          <cell r="BG153">
            <v>15179.36552748</v>
          </cell>
          <cell r="BH153">
            <v>14489.394367140001</v>
          </cell>
          <cell r="BL153">
            <v>10735.139124359999</v>
          </cell>
          <cell r="BM153">
            <v>9334.9035863999998</v>
          </cell>
          <cell r="BN153">
            <v>10268.393945040001</v>
          </cell>
          <cell r="BO153">
            <v>9801.6487657199996</v>
          </cell>
          <cell r="BP153">
            <v>10735.139124359999</v>
          </cell>
          <cell r="BQ153">
            <v>9801.6487657199996</v>
          </cell>
          <cell r="BR153">
            <v>10268.393945040001</v>
          </cell>
          <cell r="BS153">
            <v>10735.139124359999</v>
          </cell>
          <cell r="BT153">
            <v>9334.9035863999998</v>
          </cell>
          <cell r="BU153">
            <v>10735.139124359999</v>
          </cell>
          <cell r="BV153">
            <v>10268.393945040001</v>
          </cell>
          <cell r="BW153">
            <v>9801.6487657199996</v>
          </cell>
        </row>
        <row r="154">
          <cell r="AH154">
            <v>42580.546645602997</v>
          </cell>
          <cell r="AI154">
            <v>43617.077320183635</v>
          </cell>
          <cell r="AJ154">
            <v>45479.191982452059</v>
          </cell>
          <cell r="AK154">
            <v>50783.61739248818</v>
          </cell>
          <cell r="AL154">
            <v>53770.301106323976</v>
          </cell>
          <cell r="AM154">
            <v>54034.37872798372</v>
          </cell>
          <cell r="AN154">
            <v>51186.879396882585</v>
          </cell>
          <cell r="AO154">
            <v>52579.527551160514</v>
          </cell>
          <cell r="AP154">
            <v>50749.29979926558</v>
          </cell>
          <cell r="AQ154">
            <v>48377.553785594027</v>
          </cell>
          <cell r="AR154">
            <v>48077.442304107128</v>
          </cell>
          <cell r="AS154">
            <v>44831.789601890974</v>
          </cell>
          <cell r="AW154">
            <v>14375.502952043633</v>
          </cell>
          <cell r="AX154">
            <v>12772.176480037942</v>
          </cell>
          <cell r="AY154">
            <v>13841.060794708403</v>
          </cell>
          <cell r="AZ154">
            <v>13306.618637373173</v>
          </cell>
          <cell r="BA154">
            <v>14375.502952043633</v>
          </cell>
          <cell r="BB154">
            <v>13306.618637373173</v>
          </cell>
          <cell r="BC154">
            <v>13841.060794708403</v>
          </cell>
          <cell r="BD154">
            <v>14375.502952043633</v>
          </cell>
          <cell r="BE154">
            <v>12772.176480037942</v>
          </cell>
          <cell r="BF154">
            <v>14375.502952043633</v>
          </cell>
          <cell r="BG154">
            <v>13841.060794708403</v>
          </cell>
          <cell r="BH154">
            <v>13306.618637373173</v>
          </cell>
          <cell r="BL154">
            <v>39649.624211312919</v>
          </cell>
          <cell r="BM154">
            <v>34477.934096793841</v>
          </cell>
          <cell r="BN154">
            <v>37925.727506473224</v>
          </cell>
          <cell r="BO154">
            <v>36201.830801633529</v>
          </cell>
          <cell r="BP154">
            <v>39649.624211312919</v>
          </cell>
          <cell r="BQ154">
            <v>36201.830801633529</v>
          </cell>
          <cell r="BR154">
            <v>37925.727506473224</v>
          </cell>
          <cell r="BS154">
            <v>39649.624211312919</v>
          </cell>
          <cell r="BT154">
            <v>34477.934096793841</v>
          </cell>
          <cell r="BU154">
            <v>39649.624211312919</v>
          </cell>
          <cell r="BV154">
            <v>37925.727506473224</v>
          </cell>
          <cell r="BW154">
            <v>36201.830801633529</v>
          </cell>
        </row>
        <row r="155">
          <cell r="AH155">
            <v>28729.947861086919</v>
          </cell>
          <cell r="AI155">
            <v>25270.192239452597</v>
          </cell>
          <cell r="AJ155">
            <v>37678.972326936848</v>
          </cell>
          <cell r="AK155">
            <v>34852.855756880374</v>
          </cell>
          <cell r="AL155">
            <v>31644.61213295806</v>
          </cell>
          <cell r="AM155">
            <v>38548.671862116091</v>
          </cell>
          <cell r="AN155">
            <v>18889.16697244603</v>
          </cell>
          <cell r="AO155">
            <v>18788.371834307971</v>
          </cell>
          <cell r="AP155">
            <v>20427.010290066708</v>
          </cell>
          <cell r="AQ155">
            <v>17671.112943630258</v>
          </cell>
          <cell r="AR155">
            <v>7693.1601652192921</v>
          </cell>
          <cell r="AS155">
            <v>6945.3883008192952</v>
          </cell>
          <cell r="AW155">
            <v>589.51077898777385</v>
          </cell>
          <cell r="AX155">
            <v>531.46659125285726</v>
          </cell>
          <cell r="AY155">
            <v>609.36818497478021</v>
          </cell>
          <cell r="AZ155">
            <v>541.73286153631466</v>
          </cell>
          <cell r="BA155">
            <v>473.04072093594209</v>
          </cell>
          <cell r="BB155">
            <v>470.16128413917801</v>
          </cell>
          <cell r="BC155">
            <v>134.21976696836998</v>
          </cell>
          <cell r="BD155">
            <v>129.58051186409764</v>
          </cell>
          <cell r="BE155">
            <v>61.994665797372647</v>
          </cell>
          <cell r="BF155">
            <v>668.02543068671434</v>
          </cell>
          <cell r="BG155">
            <v>656.23299878068451</v>
          </cell>
          <cell r="BH155">
            <v>607.23098352952888</v>
          </cell>
          <cell r="BL155">
            <v>344.16921159171727</v>
          </cell>
          <cell r="BM155">
            <v>310.28175263039066</v>
          </cell>
          <cell r="BN155">
            <v>355.76239700308429</v>
          </cell>
          <cell r="BO155">
            <v>316.27542446029679</v>
          </cell>
          <cell r="BP155">
            <v>276.17145907806594</v>
          </cell>
          <cell r="BQ155">
            <v>274.49038126321733</v>
          </cell>
          <cell r="BR155">
            <v>-82.345080846857343</v>
          </cell>
          <cell r="BS155">
            <v>-85.053578856600041</v>
          </cell>
          <cell r="BT155">
            <v>-124.51166543388777</v>
          </cell>
          <cell r="BU155">
            <v>550.71327193283935</v>
          </cell>
          <cell r="BV155">
            <v>543.82859376153237</v>
          </cell>
          <cell r="BW155">
            <v>515.22015171683597</v>
          </cell>
        </row>
        <row r="156">
          <cell r="AH156">
            <v>55788.408776438737</v>
          </cell>
          <cell r="AI156">
            <v>51292.569069029858</v>
          </cell>
          <cell r="AJ156">
            <v>55454.571322520496</v>
          </cell>
          <cell r="AK156">
            <v>54267.122612230989</v>
          </cell>
          <cell r="AL156">
            <v>57110.445796932094</v>
          </cell>
          <cell r="AM156">
            <v>54920.36009174108</v>
          </cell>
          <cell r="AN156">
            <v>54487.412224957414</v>
          </cell>
          <cell r="AO156">
            <v>56034.384866716035</v>
          </cell>
          <cell r="AP156">
            <v>51746.395150682773</v>
          </cell>
          <cell r="AQ156">
            <v>55117.933905504149</v>
          </cell>
          <cell r="AR156">
            <v>52742.188466141495</v>
          </cell>
          <cell r="AS156">
            <v>50953.324173365152</v>
          </cell>
          <cell r="AW156">
            <v>7821.6521588335017</v>
          </cell>
          <cell r="AX156">
            <v>7047.5613162014979</v>
          </cell>
          <cell r="AY156">
            <v>7566.4870947769214</v>
          </cell>
          <cell r="AZ156">
            <v>7304.9278808933605</v>
          </cell>
          <cell r="BA156">
            <v>7813.1402858306719</v>
          </cell>
          <cell r="BB156">
            <v>7299.6972818226059</v>
          </cell>
          <cell r="BC156">
            <v>7554.1516209005058</v>
          </cell>
          <cell r="BD156">
            <v>7810.428858933974</v>
          </cell>
          <cell r="BE156">
            <v>7035.6406921543276</v>
          </cell>
          <cell r="BF156">
            <v>7805.0008158068049</v>
          </cell>
          <cell r="BG156">
            <v>7547.5227160635259</v>
          </cell>
          <cell r="BH156">
            <v>7287.3252629240205</v>
          </cell>
          <cell r="BL156">
            <v>10601.74851165992</v>
          </cell>
          <cell r="BM156">
            <v>9526.3324057259015</v>
          </cell>
          <cell r="BN156">
            <v>10244.549906046692</v>
          </cell>
          <cell r="BO156">
            <v>9884.5094560659199</v>
          </cell>
          <cell r="BP156">
            <v>10597.965456991995</v>
          </cell>
          <cell r="BQ156">
            <v>9882.1847453678074</v>
          </cell>
          <cell r="BR156">
            <v>10239.06747321273</v>
          </cell>
          <cell r="BS156">
            <v>10596.76037837124</v>
          </cell>
          <cell r="BT156">
            <v>9521.0343505938272</v>
          </cell>
          <cell r="BU156">
            <v>10594.347914759164</v>
          </cell>
          <cell r="BV156">
            <v>10236.121293285183</v>
          </cell>
          <cell r="BW156">
            <v>9876.6860703017701</v>
          </cell>
        </row>
        <row r="157">
          <cell r="AH157">
            <v>88556.239093265613</v>
          </cell>
          <cell r="AI157">
            <v>89214.652566136574</v>
          </cell>
          <cell r="AJ157">
            <v>89910.266039007533</v>
          </cell>
          <cell r="AK157">
            <v>91411.895511878494</v>
          </cell>
          <cell r="AL157">
            <v>91653.380984749427</v>
          </cell>
          <cell r="AM157">
            <v>92567.576349104216</v>
          </cell>
          <cell r="AN157">
            <v>93430.36237389782</v>
          </cell>
          <cell r="AO157">
            <v>93559.229738252601</v>
          </cell>
          <cell r="AP157">
            <v>97152.63601744562</v>
          </cell>
          <cell r="AQ157">
            <v>100731.80497576098</v>
          </cell>
          <cell r="AR157">
            <v>99609.418448631928</v>
          </cell>
          <cell r="AS157">
            <v>99576.631921502893</v>
          </cell>
          <cell r="AW157">
            <v>15157.965745691225</v>
          </cell>
          <cell r="AX157">
            <v>15167.619955978662</v>
          </cell>
          <cell r="AY157">
            <v>15177.274166266101</v>
          </cell>
          <cell r="AZ157">
            <v>15186.928376553538</v>
          </cell>
          <cell r="BA157">
            <v>15196.582586840976</v>
          </cell>
          <cell r="BB157">
            <v>15244.853638278166</v>
          </cell>
          <cell r="BC157">
            <v>15567.144270955951</v>
          </cell>
          <cell r="BD157">
            <v>15615.415322393141</v>
          </cell>
          <cell r="BE157">
            <v>16049.854785327843</v>
          </cell>
          <cell r="BF157">
            <v>16669.655085781349</v>
          </cell>
          <cell r="BG157">
            <v>16679.309296068783</v>
          </cell>
          <cell r="BH157">
            <v>16688.963506356224</v>
          </cell>
          <cell r="BL157">
            <v>12162.914310002132</v>
          </cell>
          <cell r="BM157">
            <v>12179.713293510405</v>
          </cell>
          <cell r="BN157">
            <v>12196.612277018678</v>
          </cell>
          <cell r="BO157">
            <v>12213.511260526953</v>
          </cell>
          <cell r="BP157">
            <v>12230.410244035225</v>
          </cell>
          <cell r="BQ157">
            <v>12314.905161576589</v>
          </cell>
          <cell r="BR157">
            <v>12603.869837438533</v>
          </cell>
          <cell r="BS157">
            <v>12688.364754979901</v>
          </cell>
          <cell r="BT157">
            <v>13448.819012852184</v>
          </cell>
          <cell r="BU157">
            <v>14533.733754083309</v>
          </cell>
          <cell r="BV157">
            <v>14550.632737591584</v>
          </cell>
          <cell r="BW157">
            <v>14567.531721099856</v>
          </cell>
        </row>
        <row r="158">
          <cell r="AH158">
            <v>531352.56913313433</v>
          </cell>
          <cell r="AI158">
            <v>483913.99272240268</v>
          </cell>
          <cell r="AJ158">
            <v>530494.45335127693</v>
          </cell>
          <cell r="AK158">
            <v>519560.96787745802</v>
          </cell>
          <cell r="AL158">
            <v>549876.16677770368</v>
          </cell>
          <cell r="AM158">
            <v>528316.46363492508</v>
          </cell>
          <cell r="AN158">
            <v>519965.27264854382</v>
          </cell>
          <cell r="AO158">
            <v>536658.94074717723</v>
          </cell>
          <cell r="AP158">
            <v>494594.84278506064</v>
          </cell>
          <cell r="AQ158">
            <v>537595.83236722951</v>
          </cell>
          <cell r="AR158">
            <v>510093.66106445977</v>
          </cell>
          <cell r="AS158">
            <v>490552.61060155829</v>
          </cell>
          <cell r="AW158">
            <v>83254.443953503811</v>
          </cell>
          <cell r="AX158">
            <v>74918.661141686345</v>
          </cell>
          <cell r="AY158">
            <v>80534.010718763137</v>
          </cell>
          <cell r="AZ158">
            <v>77710.036394482551</v>
          </cell>
          <cell r="BA158">
            <v>83168.078863598901</v>
          </cell>
          <cell r="BB158">
            <v>77691.159479739275</v>
          </cell>
          <cell r="BC158">
            <v>80436.396931570154</v>
          </cell>
          <cell r="BD158">
            <v>83240.739963182525</v>
          </cell>
          <cell r="BE158">
            <v>75319.503421532878</v>
          </cell>
          <cell r="BF158">
            <v>84827.996602266183</v>
          </cell>
          <cell r="BG158">
            <v>82063.946283658326</v>
          </cell>
          <cell r="BH158">
            <v>79259.967028309111</v>
          </cell>
          <cell r="BL158">
            <v>103443.31030546669</v>
          </cell>
          <cell r="BM158">
            <v>91872.395514660529</v>
          </cell>
          <cell r="BN158">
            <v>99638.599449141693</v>
          </cell>
          <cell r="BO158">
            <v>95763.167606986695</v>
          </cell>
          <cell r="BP158">
            <v>103439.0254323182</v>
          </cell>
          <cell r="BQ158">
            <v>95820.451754141133</v>
          </cell>
          <cell r="BR158">
            <v>99602.267098877623</v>
          </cell>
          <cell r="BS158">
            <v>103534.54982670746</v>
          </cell>
          <cell r="BT158">
            <v>92701.409760805953</v>
          </cell>
          <cell r="BU158">
            <v>106013.27321298822</v>
          </cell>
          <cell r="BV158">
            <v>102172.25749371153</v>
          </cell>
          <cell r="BW158">
            <v>98308.309409051988</v>
          </cell>
        </row>
        <row r="160">
          <cell r="AH160">
            <v>60516.880881750985</v>
          </cell>
          <cell r="AI160">
            <v>56024.373909961258</v>
          </cell>
          <cell r="AJ160">
            <v>60523.39524326456</v>
          </cell>
          <cell r="AK160">
            <v>60593.080736049145</v>
          </cell>
          <cell r="AL160">
            <v>63567.092468023169</v>
          </cell>
          <cell r="AM160">
            <v>60440.187777097439</v>
          </cell>
          <cell r="AN160">
            <v>64208.314744698604</v>
          </cell>
          <cell r="AO160">
            <v>66440.598674900786</v>
          </cell>
          <cell r="AP160">
            <v>59943.563304333475</v>
          </cell>
          <cell r="AQ160">
            <v>62853.672203963753</v>
          </cell>
          <cell r="AR160">
            <v>60207.727865950626</v>
          </cell>
          <cell r="AS160">
            <v>56825.796895834952</v>
          </cell>
          <cell r="AW160">
            <v>4065.661154292512</v>
          </cell>
          <cell r="AX160">
            <v>3776.434607709446</v>
          </cell>
          <cell r="AY160">
            <v>4071.4975523961803</v>
          </cell>
          <cell r="AZ160">
            <v>4173.6780791637339</v>
          </cell>
          <cell r="BA160">
            <v>4513.776572445774</v>
          </cell>
          <cell r="BB160">
            <v>4303.8611211853895</v>
          </cell>
          <cell r="BC160">
            <v>4300.0729640715535</v>
          </cell>
          <cell r="BD160">
            <v>4466.0897361107127</v>
          </cell>
          <cell r="BE160">
            <v>4062.0582887111086</v>
          </cell>
          <cell r="BF160">
            <v>4297.8135475995541</v>
          </cell>
          <cell r="BG160">
            <v>4175.5495254258267</v>
          </cell>
          <cell r="BH160">
            <v>3935.3255926527995</v>
          </cell>
          <cell r="BL160">
            <v>4506.3281898593359</v>
          </cell>
          <cell r="BM160">
            <v>4185.7530876408782</v>
          </cell>
          <cell r="BN160">
            <v>4512.7971808312059</v>
          </cell>
          <cell r="BO160">
            <v>4626.052804148746</v>
          </cell>
          <cell r="BP160">
            <v>5003.0137385314429</v>
          </cell>
          <cell r="BQ160">
            <v>4770.3460666318833</v>
          </cell>
          <cell r="BR160">
            <v>4766.1473204644435</v>
          </cell>
          <cell r="BS160">
            <v>4950.1582430273447</v>
          </cell>
          <cell r="BT160">
            <v>4502.3348185188315</v>
          </cell>
          <cell r="BU160">
            <v>4763.6430113855495</v>
          </cell>
          <cell r="BV160">
            <v>4628.1270918787422</v>
          </cell>
          <cell r="BW160">
            <v>4361.8658765310156</v>
          </cell>
        </row>
        <row r="161">
          <cell r="AH161">
            <v>7218.1094996746315</v>
          </cell>
          <cell r="AI161">
            <v>6729.3414789109556</v>
          </cell>
          <cell r="AJ161">
            <v>7194.3083694902616</v>
          </cell>
          <cell r="AK161">
            <v>7176.3505689484628</v>
          </cell>
          <cell r="AL161">
            <v>7500.2540714048091</v>
          </cell>
          <cell r="AM161">
            <v>7162.2079702454284</v>
          </cell>
          <cell r="AN161">
            <v>7535.163423372911</v>
          </cell>
          <cell r="AO161">
            <v>7766.0533955409892</v>
          </cell>
          <cell r="AP161">
            <v>7091.8664978903862</v>
          </cell>
          <cell r="AQ161">
            <v>7434.2626969793137</v>
          </cell>
          <cell r="AR161">
            <v>7165.1091370887225</v>
          </cell>
          <cell r="AS161">
            <v>6827.8768137286479</v>
          </cell>
          <cell r="AW161">
            <v>470.86570547716497</v>
          </cell>
          <cell r="AX161">
            <v>438.40804978224156</v>
          </cell>
          <cell r="AY161">
            <v>469.5041722564244</v>
          </cell>
          <cell r="AZ161">
            <v>477.05447093709324</v>
          </cell>
          <cell r="BA161">
            <v>512.31638165634172</v>
          </cell>
          <cell r="BB161">
            <v>489.09640232409629</v>
          </cell>
          <cell r="BC161">
            <v>490.64739783639635</v>
          </cell>
          <cell r="BD161">
            <v>507.90534929534846</v>
          </cell>
          <cell r="BE161">
            <v>464.82824027489534</v>
          </cell>
          <cell r="BF161">
            <v>492.33980185806632</v>
          </cell>
          <cell r="BG161">
            <v>479.12897976166664</v>
          </cell>
          <cell r="BH161">
            <v>455.00686593483175</v>
          </cell>
          <cell r="BL161">
            <v>521.90168381088097</v>
          </cell>
          <cell r="BM161">
            <v>485.92602246479078</v>
          </cell>
          <cell r="BN161">
            <v>520.39257734548471</v>
          </cell>
          <cell r="BO161">
            <v>528.76123437206286</v>
          </cell>
          <cell r="BP161">
            <v>567.84509706305084</v>
          </cell>
          <cell r="BQ161">
            <v>542.10836115175312</v>
          </cell>
          <cell r="BR161">
            <v>543.82746526155915</v>
          </cell>
          <cell r="BS161">
            <v>562.95596372892169</v>
          </cell>
          <cell r="BT161">
            <v>515.20983257100147</v>
          </cell>
          <cell r="BU161">
            <v>545.70330480205575</v>
          </cell>
          <cell r="BV161">
            <v>531.06059411738181</v>
          </cell>
          <cell r="BW161">
            <v>504.32394356742287</v>
          </cell>
        </row>
        <row r="162">
          <cell r="AH162">
            <v>23239.107810558584</v>
          </cell>
          <cell r="AI162">
            <v>32180.179885292695</v>
          </cell>
          <cell r="AJ162">
            <v>21003.839791875056</v>
          </cell>
          <cell r="AK162">
            <v>21003.839791875056</v>
          </cell>
          <cell r="AL162">
            <v>21003.839791875056</v>
          </cell>
          <cell r="AM162">
            <v>21003.839791875056</v>
          </cell>
          <cell r="AN162">
            <v>26441.072074734115</v>
          </cell>
          <cell r="AO162">
            <v>26441.072074734115</v>
          </cell>
          <cell r="AP162">
            <v>26441.072074734115</v>
          </cell>
          <cell r="AQ162">
            <v>26441.072074734115</v>
          </cell>
          <cell r="AR162">
            <v>26441.072074734115</v>
          </cell>
          <cell r="AS162">
            <v>35323.438065392351</v>
          </cell>
          <cell r="AW162">
            <v>1149.2371926166009</v>
          </cell>
          <cell r="AX162">
            <v>2261.4022177294405</v>
          </cell>
          <cell r="AY162">
            <v>871.19593633839088</v>
          </cell>
          <cell r="AZ162">
            <v>871.19593633839088</v>
          </cell>
          <cell r="BA162">
            <v>871.19593633839088</v>
          </cell>
          <cell r="BB162">
            <v>871.19593633839088</v>
          </cell>
          <cell r="BC162">
            <v>1112.1650251128394</v>
          </cell>
          <cell r="BD162">
            <v>1112.1650251128394</v>
          </cell>
          <cell r="BE162">
            <v>1112.1650251128394</v>
          </cell>
          <cell r="BF162">
            <v>1112.1650251128394</v>
          </cell>
          <cell r="BG162">
            <v>1112.1650251128394</v>
          </cell>
          <cell r="BH162">
            <v>973.1443969737345</v>
          </cell>
          <cell r="BL162">
            <v>2011.6549968248162</v>
          </cell>
          <cell r="BM162">
            <v>3958.4178969778645</v>
          </cell>
          <cell r="BN162">
            <v>1524.9642717865543</v>
          </cell>
          <cell r="BO162">
            <v>1524.9642717865543</v>
          </cell>
          <cell r="BP162">
            <v>1524.9642717865543</v>
          </cell>
          <cell r="BQ162">
            <v>1524.9642717865543</v>
          </cell>
          <cell r="BR162">
            <v>1946.7629001530481</v>
          </cell>
          <cell r="BS162">
            <v>1946.7629001530481</v>
          </cell>
          <cell r="BT162">
            <v>1946.7629001530481</v>
          </cell>
          <cell r="BU162">
            <v>1946.7629001530481</v>
          </cell>
          <cell r="BV162">
            <v>1946.7629001530481</v>
          </cell>
          <cell r="BW162">
            <v>1703.4175376339169</v>
          </cell>
        </row>
        <row r="163">
          <cell r="AH163">
            <v>90974.098191984202</v>
          </cell>
          <cell r="AI163">
            <v>94933.895274164912</v>
          </cell>
          <cell r="AJ163">
            <v>88721.543404629876</v>
          </cell>
          <cell r="AK163">
            <v>88773.271096872661</v>
          </cell>
          <cell r="AL163">
            <v>92071.186331303034</v>
          </cell>
          <cell r="AM163">
            <v>88606.235539217931</v>
          </cell>
          <cell r="AN163">
            <v>98184.550242805621</v>
          </cell>
          <cell r="AO163">
            <v>100647.72414517589</v>
          </cell>
          <cell r="AP163">
            <v>93476.501876957976</v>
          </cell>
          <cell r="AQ163">
            <v>96729.006975677185</v>
          </cell>
          <cell r="AR163">
            <v>93813.909077773453</v>
          </cell>
          <cell r="AS163">
            <v>98977.111774955949</v>
          </cell>
          <cell r="AW163">
            <v>5685.7640523862774</v>
          </cell>
          <cell r="AX163">
            <v>6476.2448752211276</v>
          </cell>
          <cell r="AY163">
            <v>5412.1976609909962</v>
          </cell>
          <cell r="AZ163">
            <v>5521.9284864392184</v>
          </cell>
          <cell r="BA163">
            <v>5897.2888904405072</v>
          </cell>
          <cell r="BB163">
            <v>5664.1534598478765</v>
          </cell>
          <cell r="BC163">
            <v>5902.8853870207895</v>
          </cell>
          <cell r="BD163">
            <v>6086.1601105189002</v>
          </cell>
          <cell r="BE163">
            <v>5639.0515540988436</v>
          </cell>
          <cell r="BF163">
            <v>5902.31837457046</v>
          </cell>
          <cell r="BG163">
            <v>5766.8435303003325</v>
          </cell>
          <cell r="BH163">
            <v>5363.4768555613664</v>
          </cell>
          <cell r="BL163">
            <v>7039.8848704950333</v>
          </cell>
          <cell r="BM163">
            <v>8630.0970070835338</v>
          </cell>
          <cell r="BN163">
            <v>6558.1540299632452</v>
          </cell>
          <cell r="BO163">
            <v>6679.7783103073634</v>
          </cell>
          <cell r="BP163">
            <v>7095.8231073810484</v>
          </cell>
          <cell r="BQ163">
            <v>6837.4186995701912</v>
          </cell>
          <cell r="BR163">
            <v>7256.7376858790503</v>
          </cell>
          <cell r="BS163">
            <v>7459.8771069093145</v>
          </cell>
          <cell r="BT163">
            <v>6964.3075512428804</v>
          </cell>
          <cell r="BU163">
            <v>7256.1092163406538</v>
          </cell>
          <cell r="BV163">
            <v>7105.9505861491725</v>
          </cell>
          <cell r="BW163">
            <v>6569.6073577323559</v>
          </cell>
        </row>
        <row r="165">
          <cell r="AH165">
            <v>56942.621598597842</v>
          </cell>
          <cell r="AI165">
            <v>52853.92585597172</v>
          </cell>
          <cell r="AJ165">
            <v>56730.710303469401</v>
          </cell>
          <cell r="AK165">
            <v>57603.356681587051</v>
          </cell>
          <cell r="AL165">
            <v>61987.111823357984</v>
          </cell>
          <cell r="AM165">
            <v>59068.843152938891</v>
          </cell>
          <cell r="AN165">
            <v>59303.811748112363</v>
          </cell>
          <cell r="AO165">
            <v>61450.295257810394</v>
          </cell>
          <cell r="AP165">
            <v>56069.226665550457</v>
          </cell>
          <cell r="AQ165">
            <v>59555.989564195304</v>
          </cell>
          <cell r="AR165">
            <v>57902.036126129526</v>
          </cell>
          <cell r="AS165">
            <v>54920.193506334603</v>
          </cell>
          <cell r="AW165">
            <v>7410.5029513227837</v>
          </cell>
          <cell r="AX165">
            <v>6878.400792743244</v>
          </cell>
          <cell r="AY165">
            <v>7382.9248519328767</v>
          </cell>
          <cell r="AZ165">
            <v>7496.4909010355623</v>
          </cell>
          <cell r="BA165">
            <v>8066.9920389173103</v>
          </cell>
          <cell r="BB165">
            <v>7687.209057597287</v>
          </cell>
          <cell r="BC165">
            <v>7717.7878300372977</v>
          </cell>
          <cell r="BD165">
            <v>7997.1308236864461</v>
          </cell>
          <cell r="BE165">
            <v>7296.83948541068</v>
          </cell>
          <cell r="BF165">
            <v>7750.6062075175987</v>
          </cell>
          <cell r="BG165">
            <v>7535.3609924213079</v>
          </cell>
          <cell r="BH165">
            <v>7147.304508297042</v>
          </cell>
          <cell r="BL165">
            <v>8213.7091811805858</v>
          </cell>
          <cell r="BM165">
            <v>7623.9337753870259</v>
          </cell>
          <cell r="BN165">
            <v>8183.1419592732045</v>
          </cell>
          <cell r="BO165">
            <v>8309.0171537522292</v>
          </cell>
          <cell r="BP165">
            <v>8941.3535099852215</v>
          </cell>
          <cell r="BQ165">
            <v>8520.4067832900255</v>
          </cell>
          <cell r="BR165">
            <v>8554.2999138358973</v>
          </cell>
          <cell r="BS165">
            <v>8863.9202090717172</v>
          </cell>
          <cell r="BT165">
            <v>8087.726011123229</v>
          </cell>
          <cell r="BU165">
            <v>8590.6753947164871</v>
          </cell>
          <cell r="BV165">
            <v>8352.1002789578451</v>
          </cell>
          <cell r="BW165">
            <v>7921.983304792253</v>
          </cell>
        </row>
        <row r="166">
          <cell r="AH166">
            <v>7611.1604483099945</v>
          </cell>
          <cell r="AI166">
            <v>7151.7943088002648</v>
          </cell>
          <cell r="AJ166">
            <v>7570.3545031374297</v>
          </cell>
          <cell r="AK166">
            <v>7616.8155100598669</v>
          </cell>
          <cell r="AL166">
            <v>8060.3975063717189</v>
          </cell>
          <cell r="AM166">
            <v>7741.6939424174707</v>
          </cell>
          <cell r="AN166">
            <v>7783.1816343367918</v>
          </cell>
          <cell r="AO166">
            <v>8005.2061822592559</v>
          </cell>
          <cell r="AP166">
            <v>7424.8718604926453</v>
          </cell>
          <cell r="AQ166">
            <v>7818.9007271843921</v>
          </cell>
          <cell r="AR166">
            <v>7639.9834684443395</v>
          </cell>
          <cell r="AS166">
            <v>7332.6844854365818</v>
          </cell>
          <cell r="AW166">
            <v>990.51510769538072</v>
          </cell>
          <cell r="AX166">
            <v>930.73327754763716</v>
          </cell>
          <cell r="AY166">
            <v>985.20462903030545</v>
          </cell>
          <cell r="AZ166">
            <v>991.25105645591987</v>
          </cell>
          <cell r="BA166">
            <v>1048.9787409309104</v>
          </cell>
          <cell r="BB166">
            <v>1007.5027140993989</v>
          </cell>
          <cell r="BC166">
            <v>1012.9019151684848</v>
          </cell>
          <cell r="BD166">
            <v>1041.7961515323061</v>
          </cell>
          <cell r="BE166">
            <v>966.27154301461064</v>
          </cell>
          <cell r="BF166">
            <v>1017.550391749553</v>
          </cell>
          <cell r="BG166">
            <v>994.26613056322947</v>
          </cell>
          <cell r="BH166">
            <v>954.27429392862052</v>
          </cell>
          <cell r="BL166">
            <v>1097.8746095396095</v>
          </cell>
          <cell r="BM166">
            <v>1031.6131735240351</v>
          </cell>
          <cell r="BN166">
            <v>1091.9885411236992</v>
          </cell>
          <cell r="BO166">
            <v>1098.6903259803189</v>
          </cell>
          <cell r="BP166">
            <v>1162.6749725144502</v>
          </cell>
          <cell r="BQ166">
            <v>1116.7034609149484</v>
          </cell>
          <cell r="BR166">
            <v>1122.6878681385194</v>
          </cell>
          <cell r="BS166">
            <v>1154.713879876678</v>
          </cell>
          <cell r="BT166">
            <v>1071.0033443756924</v>
          </cell>
          <cell r="BU166">
            <v>1127.8401816890603</v>
          </cell>
          <cell r="BV166">
            <v>1102.0321965712656</v>
          </cell>
          <cell r="BW166">
            <v>1057.7057429019735</v>
          </cell>
        </row>
        <row r="167">
          <cell r="AH167">
            <v>21518.765255173865</v>
          </cell>
          <cell r="AI167">
            <v>20300.523232296087</v>
          </cell>
          <cell r="AJ167">
            <v>20300.523232296087</v>
          </cell>
          <cell r="AK167">
            <v>21518.765255173865</v>
          </cell>
          <cell r="AL167">
            <v>20300.523232296091</v>
          </cell>
          <cell r="AM167">
            <v>20300.523232296087</v>
          </cell>
          <cell r="AN167">
            <v>28097.272178713909</v>
          </cell>
          <cell r="AO167">
            <v>26472.949481543536</v>
          </cell>
          <cell r="AP167">
            <v>23630.384761495356</v>
          </cell>
          <cell r="AQ167">
            <v>24848.626784373144</v>
          </cell>
          <cell r="AR167">
            <v>23630.384761495359</v>
          </cell>
          <cell r="AS167">
            <v>35000.643641688031</v>
          </cell>
          <cell r="AW167">
            <v>2193.2389031597759</v>
          </cell>
          <cell r="AX167">
            <v>2063.1967598725996</v>
          </cell>
          <cell r="AY167">
            <v>2063.1967598726005</v>
          </cell>
          <cell r="AZ167">
            <v>2193.2389031597759</v>
          </cell>
          <cell r="BA167">
            <v>2063.1967598725978</v>
          </cell>
          <cell r="BB167">
            <v>2063.1967598725987</v>
          </cell>
          <cell r="BC167">
            <v>2895.466476910527</v>
          </cell>
          <cell r="BD167">
            <v>2722.0769525276264</v>
          </cell>
          <cell r="BE167">
            <v>2418.6452848575495</v>
          </cell>
          <cell r="BF167">
            <v>2548.6874281447231</v>
          </cell>
          <cell r="BG167">
            <v>2418.64528485755</v>
          </cell>
          <cell r="BH167">
            <v>3632.3719555378625</v>
          </cell>
          <cell r="BL167">
            <v>3887.9958416663594</v>
          </cell>
          <cell r="BM167">
            <v>3736.2800078313167</v>
          </cell>
          <cell r="BN167">
            <v>3736.2800078313167</v>
          </cell>
          <cell r="BO167">
            <v>3887.9958416663594</v>
          </cell>
          <cell r="BP167">
            <v>3736.2800078313185</v>
          </cell>
          <cell r="BQ167">
            <v>3736.280007831318</v>
          </cell>
          <cell r="BR167">
            <v>4707.2613443755672</v>
          </cell>
          <cell r="BS167">
            <v>4504.9735659288508</v>
          </cell>
          <cell r="BT167">
            <v>4150.9699536470907</v>
          </cell>
          <cell r="BU167">
            <v>4302.6857874821308</v>
          </cell>
          <cell r="BV167">
            <v>4150.9699536470898</v>
          </cell>
          <cell r="BW167">
            <v>5566.9844027741219</v>
          </cell>
        </row>
        <row r="168">
          <cell r="AH168">
            <v>86072.547302081701</v>
          </cell>
          <cell r="AI168">
            <v>80306.243397068072</v>
          </cell>
          <cell r="AJ168">
            <v>84601.588038902919</v>
          </cell>
          <cell r="AK168">
            <v>86738.937446820782</v>
          </cell>
          <cell r="AL168">
            <v>90348.032562025794</v>
          </cell>
          <cell r="AM168">
            <v>87111.060327652434</v>
          </cell>
          <cell r="AN168">
            <v>95184.265561163076</v>
          </cell>
          <cell r="AO168">
            <v>95928.450921613185</v>
          </cell>
          <cell r="AP168">
            <v>87124.48328753846</v>
          </cell>
          <cell r="AQ168">
            <v>92223.517075752839</v>
          </cell>
          <cell r="AR168">
            <v>89172.404356069223</v>
          </cell>
          <cell r="AS168">
            <v>97253.521633459226</v>
          </cell>
          <cell r="AW168">
            <v>10594.25696217794</v>
          </cell>
          <cell r="AX168">
            <v>9872.3308301634806</v>
          </cell>
          <cell r="AY168">
            <v>10431.326240835782</v>
          </cell>
          <cell r="AZ168">
            <v>10680.980860651258</v>
          </cell>
          <cell r="BA168">
            <v>11179.16753972082</v>
          </cell>
          <cell r="BB168">
            <v>10757.908531569285</v>
          </cell>
          <cell r="BC168">
            <v>11626.156222116309</v>
          </cell>
          <cell r="BD168">
            <v>11761.003927746378</v>
          </cell>
          <cell r="BE168">
            <v>10681.75631328284</v>
          </cell>
          <cell r="BF168">
            <v>11316.844027411875</v>
          </cell>
          <cell r="BG168">
            <v>10948.272407842087</v>
          </cell>
          <cell r="BH168">
            <v>11733.950757763525</v>
          </cell>
          <cell r="BL168">
            <v>13199.579632386554</v>
          </cell>
          <cell r="BM168">
            <v>12391.826956742378</v>
          </cell>
          <cell r="BN168">
            <v>13011.410508228219</v>
          </cell>
          <cell r="BO168">
            <v>13295.703321398907</v>
          </cell>
          <cell r="BP168">
            <v>13840.30849033099</v>
          </cell>
          <cell r="BQ168">
            <v>13373.390252036292</v>
          </cell>
          <cell r="BR168">
            <v>14384.249126349983</v>
          </cell>
          <cell r="BS168">
            <v>14523.607654877245</v>
          </cell>
          <cell r="BT168">
            <v>13309.699309146012</v>
          </cell>
          <cell r="BU168">
            <v>14021.201363887678</v>
          </cell>
          <cell r="BV168">
            <v>13605.102429176201</v>
          </cell>
          <cell r="BW168">
            <v>14546.673450468348</v>
          </cell>
        </row>
        <row r="171">
          <cell r="AH171">
            <v>81288.480499702666</v>
          </cell>
          <cell r="AI171">
            <v>159894.58490973781</v>
          </cell>
          <cell r="AJ171">
            <v>145096.93150856381</v>
          </cell>
          <cell r="AK171">
            <v>181246.89585481642</v>
          </cell>
          <cell r="AL171">
            <v>157778.92321669994</v>
          </cell>
          <cell r="AM171">
            <v>214221.78336240753</v>
          </cell>
          <cell r="AN171">
            <v>51040.171225281549</v>
          </cell>
          <cell r="AO171">
            <v>12553.372026918296</v>
          </cell>
          <cell r="AP171">
            <v>88627.515639880468</v>
          </cell>
          <cell r="AQ171">
            <v>141621.90723211391</v>
          </cell>
          <cell r="AR171">
            <v>107671.46562305919</v>
          </cell>
          <cell r="AS171">
            <v>115252.45022903537</v>
          </cell>
          <cell r="AW171">
            <v>18560.273805184581</v>
          </cell>
          <cell r="AX171">
            <v>68987.501926181678</v>
          </cell>
          <cell r="AY171">
            <v>59937.204152662729</v>
          </cell>
          <cell r="AZ171">
            <v>45103.957437130332</v>
          </cell>
          <cell r="BA171">
            <v>29472.367884943134</v>
          </cell>
          <cell r="BB171">
            <v>68023.68170754693</v>
          </cell>
          <cell r="BC171">
            <v>100821.79113589456</v>
          </cell>
          <cell r="BD171">
            <v>109792.00609391337</v>
          </cell>
          <cell r="BE171">
            <v>111166.40299404066</v>
          </cell>
          <cell r="BF171">
            <v>91260.552534038274</v>
          </cell>
          <cell r="BG171">
            <v>111528.64931648604</v>
          </cell>
          <cell r="BH171">
            <v>102950.31689665279</v>
          </cell>
          <cell r="BL171">
            <v>14390.263691835571</v>
          </cell>
          <cell r="BM171">
            <v>22454.159782427327</v>
          </cell>
          <cell r="BN171">
            <v>8259.7566440035589</v>
          </cell>
          <cell r="BO171">
            <v>23428.425959119413</v>
          </cell>
          <cell r="BP171">
            <v>15286.089607596019</v>
          </cell>
          <cell r="BQ171">
            <v>12190.073313014595</v>
          </cell>
          <cell r="BR171">
            <v>-16905.0628659957</v>
          </cell>
          <cell r="BS171">
            <v>-5694.19001720089</v>
          </cell>
          <cell r="BT171">
            <v>7544.4673554085039</v>
          </cell>
          <cell r="BU171">
            <v>38343.19830997134</v>
          </cell>
          <cell r="BV171">
            <v>85337.906655141967</v>
          </cell>
          <cell r="BW171">
            <v>56624.259946155165</v>
          </cell>
        </row>
        <row r="173">
          <cell r="AH173">
            <v>20444.795883110324</v>
          </cell>
          <cell r="AI173">
            <v>17502.870571959742</v>
          </cell>
          <cell r="AJ173">
            <v>20225.692821689045</v>
          </cell>
          <cell r="AK173">
            <v>19333.430525266507</v>
          </cell>
          <cell r="AL173">
            <v>20756.00895028466</v>
          </cell>
          <cell r="AM173">
            <v>19423.216418141408</v>
          </cell>
          <cell r="AN173">
            <v>19379.246698993622</v>
          </cell>
          <cell r="AO173">
            <v>20267.296504633428</v>
          </cell>
          <cell r="AP173">
            <v>17752.301266162744</v>
          </cell>
          <cell r="AQ173">
            <v>19736.536819582059</v>
          </cell>
          <cell r="AR173">
            <v>17953.141287130289</v>
          </cell>
          <cell r="AS173">
            <v>17210.437292951992</v>
          </cell>
          <cell r="AW173">
            <v>-33677.668233452539</v>
          </cell>
          <cell r="AX173">
            <v>-31404.844066191181</v>
          </cell>
          <cell r="AY173">
            <v>-34538.907917365395</v>
          </cell>
          <cell r="AZ173">
            <v>-34567.945620942861</v>
          </cell>
          <cell r="BA173">
            <v>-36051.384732294544</v>
          </cell>
          <cell r="BB173">
            <v>-35188.793344040525</v>
          </cell>
          <cell r="BC173">
            <v>-34239.619049335837</v>
          </cell>
          <cell r="BD173">
            <v>-35024.972286643315</v>
          </cell>
          <cell r="BE173">
            <v>-32520.875904283406</v>
          </cell>
          <cell r="BF173">
            <v>-33318.012601591952</v>
          </cell>
          <cell r="BG173">
            <v>-30815.515925250955</v>
          </cell>
          <cell r="BH173">
            <v>-29921.913074961885</v>
          </cell>
          <cell r="BL173">
            <v>-2093.2276496577801</v>
          </cell>
          <cell r="BM173">
            <v>-1953.1265057685571</v>
          </cell>
          <cell r="BN173">
            <v>-1982.9849043236441</v>
          </cell>
          <cell r="BO173">
            <v>-2191.2849043236442</v>
          </cell>
          <cell r="BP173">
            <v>-2111.22421799011</v>
          </cell>
          <cell r="BQ173">
            <v>-2011.1230741008867</v>
          </cell>
          <cell r="BR173">
            <v>-2016.4776496577797</v>
          </cell>
          <cell r="BS173">
            <v>-2056.1742179901103</v>
          </cell>
          <cell r="BT173">
            <v>-2066.2753618793336</v>
          </cell>
          <cell r="BU173">
            <v>-2194.9742179901095</v>
          </cell>
          <cell r="BV173">
            <v>-2775.0753618793333</v>
          </cell>
          <cell r="BW173">
            <v>-2354.97421799011</v>
          </cell>
        </row>
        <row r="175">
          <cell r="AH175">
            <v>101733.276382813</v>
          </cell>
          <cell r="AI175">
            <v>177397.45548169754</v>
          </cell>
          <cell r="AJ175">
            <v>165322.62433025285</v>
          </cell>
          <cell r="AK175">
            <v>200580.32638008293</v>
          </cell>
          <cell r="AL175">
            <v>178534.9321669846</v>
          </cell>
          <cell r="AM175">
            <v>233644.99978054894</v>
          </cell>
          <cell r="AN175">
            <v>70419.417924275171</v>
          </cell>
          <cell r="AO175">
            <v>32820.668531551724</v>
          </cell>
          <cell r="AP175">
            <v>106379.81690604321</v>
          </cell>
          <cell r="AQ175">
            <v>161358.44405169596</v>
          </cell>
          <cell r="AR175">
            <v>125624.60691018948</v>
          </cell>
          <cell r="AS175">
            <v>132462.88752198737</v>
          </cell>
          <cell r="AW175">
            <v>-15117.394428267959</v>
          </cell>
          <cell r="AX175">
            <v>37582.657859990497</v>
          </cell>
          <cell r="AY175">
            <v>25398.296235297334</v>
          </cell>
          <cell r="AZ175">
            <v>10536.011816187471</v>
          </cell>
          <cell r="BA175">
            <v>-6579.0168473514095</v>
          </cell>
          <cell r="BB175">
            <v>32834.888363506405</v>
          </cell>
          <cell r="BC175">
            <v>66582.172086558712</v>
          </cell>
          <cell r="BD175">
            <v>74767.033807270054</v>
          </cell>
          <cell r="BE175">
            <v>78645.527089757263</v>
          </cell>
          <cell r="BF175">
            <v>57942.539932446321</v>
          </cell>
          <cell r="BG175">
            <v>80713.133391235082</v>
          </cell>
          <cell r="BH175">
            <v>73028.40382169091</v>
          </cell>
          <cell r="BL175">
            <v>12297.036042177791</v>
          </cell>
          <cell r="BM175">
            <v>20501.033276658771</v>
          </cell>
          <cell r="BN175">
            <v>6276.7717396799144</v>
          </cell>
          <cell r="BO175">
            <v>21237.141054795768</v>
          </cell>
          <cell r="BP175">
            <v>13174.86538960591</v>
          </cell>
          <cell r="BQ175">
            <v>10178.950238913709</v>
          </cell>
          <cell r="BR175">
            <v>-18921.54051565348</v>
          </cell>
          <cell r="BS175">
            <v>-7750.3642351910003</v>
          </cell>
          <cell r="BT175">
            <v>5478.1919935291698</v>
          </cell>
          <cell r="BU175">
            <v>36148.224091981232</v>
          </cell>
          <cell r="BV175">
            <v>82562.831293262629</v>
          </cell>
          <cell r="BW175">
            <v>54269.285728165058</v>
          </cell>
        </row>
        <row r="177">
          <cell r="AH177">
            <v>0</v>
          </cell>
          <cell r="AI177">
            <v>0</v>
          </cell>
          <cell r="AJ177">
            <v>0</v>
          </cell>
          <cell r="AK177">
            <v>0</v>
          </cell>
          <cell r="AL177">
            <v>0</v>
          </cell>
          <cell r="AM177">
            <v>0</v>
          </cell>
          <cell r="AN177">
            <v>0</v>
          </cell>
          <cell r="AO177">
            <v>0</v>
          </cell>
          <cell r="AP177">
            <v>0</v>
          </cell>
          <cell r="AQ177">
            <v>0</v>
          </cell>
          <cell r="AR177">
            <v>0</v>
          </cell>
          <cell r="AS177">
            <v>0</v>
          </cell>
          <cell r="AW177">
            <v>0</v>
          </cell>
          <cell r="AX177">
            <v>0</v>
          </cell>
          <cell r="AY177">
            <v>0</v>
          </cell>
          <cell r="AZ177">
            <v>0</v>
          </cell>
          <cell r="BA177">
            <v>0</v>
          </cell>
          <cell r="BB177">
            <v>0</v>
          </cell>
          <cell r="BC177">
            <v>0</v>
          </cell>
          <cell r="BD177">
            <v>0</v>
          </cell>
          <cell r="BE177">
            <v>0</v>
          </cell>
          <cell r="BF177">
            <v>0</v>
          </cell>
          <cell r="BG177">
            <v>0</v>
          </cell>
          <cell r="BH177">
            <v>0</v>
          </cell>
          <cell r="BL177">
            <v>0</v>
          </cell>
          <cell r="BM177">
            <v>0</v>
          </cell>
          <cell r="BN177">
            <v>0</v>
          </cell>
          <cell r="BO177">
            <v>0</v>
          </cell>
          <cell r="BP177">
            <v>0</v>
          </cell>
          <cell r="BQ177">
            <v>0</v>
          </cell>
          <cell r="BR177">
            <v>0</v>
          </cell>
          <cell r="BS177">
            <v>0</v>
          </cell>
          <cell r="BT177">
            <v>0</v>
          </cell>
          <cell r="BU177">
            <v>0</v>
          </cell>
          <cell r="BV177">
            <v>0</v>
          </cell>
          <cell r="BW177">
            <v>0</v>
          </cell>
        </row>
        <row r="178">
          <cell r="AH178">
            <v>30692.209581344679</v>
          </cell>
          <cell r="AI178">
            <v>67973.705379248771</v>
          </cell>
          <cell r="AJ178">
            <v>61274.063130186245</v>
          </cell>
          <cell r="AK178">
            <v>74216.602823031222</v>
          </cell>
          <cell r="AL178">
            <v>63386.379143976665</v>
          </cell>
          <cell r="AM178">
            <v>88472.195523789487</v>
          </cell>
          <cell r="AN178">
            <v>27720.119490799101</v>
          </cell>
          <cell r="AO178">
            <v>13567.634088810344</v>
          </cell>
          <cell r="AP178">
            <v>42190.354067480293</v>
          </cell>
          <cell r="AQ178">
            <v>59201.543765413779</v>
          </cell>
          <cell r="AR178">
            <v>47831.084184353182</v>
          </cell>
          <cell r="AS178">
            <v>49380.024169837765</v>
          </cell>
          <cell r="AW178">
            <v>-12615.068014750561</v>
          </cell>
          <cell r="AX178">
            <v>2457.1123074671218</v>
          </cell>
          <cell r="AY178">
            <v>-917.76082812639015</v>
          </cell>
          <cell r="AZ178">
            <v>-5595.7147216973735</v>
          </cell>
          <cell r="BA178">
            <v>-10918.799851385342</v>
          </cell>
          <cell r="BB178">
            <v>2668.0326560527997</v>
          </cell>
          <cell r="BC178">
            <v>10221.115566541845</v>
          </cell>
          <cell r="BD178">
            <v>12216.371593684356</v>
          </cell>
          <cell r="BE178">
            <v>13894.268911853538</v>
          </cell>
          <cell r="BF178">
            <v>10070.78325186383</v>
          </cell>
          <cell r="BG178">
            <v>15998.066576570704</v>
          </cell>
          <cell r="BH178">
            <v>14004.547089088856</v>
          </cell>
          <cell r="BL178">
            <v>3105.7937009511634</v>
          </cell>
          <cell r="BM178">
            <v>6438.7302045841006</v>
          </cell>
          <cell r="BN178">
            <v>592.6682097511798</v>
          </cell>
          <cell r="BO178">
            <v>6715.7606138255178</v>
          </cell>
          <cell r="BP178">
            <v>3399.5685759745252</v>
          </cell>
          <cell r="BQ178">
            <v>2162.312223841795</v>
          </cell>
          <cell r="BR178">
            <v>-9781.2758754281313</v>
          </cell>
          <cell r="BS178">
            <v>-5211.7526155616697</v>
          </cell>
          <cell r="BT178">
            <v>49.243442957980733</v>
          </cell>
          <cell r="BU178">
            <v>12526.903849488575</v>
          </cell>
          <cell r="BV178">
            <v>31542.77803734233</v>
          </cell>
          <cell r="BW178">
            <v>19931.765340529171</v>
          </cell>
        </row>
        <row r="179">
          <cell r="AH179">
            <v>38337.436358737701</v>
          </cell>
          <cell r="AI179">
            <v>38943.875374257761</v>
          </cell>
          <cell r="AJ179">
            <v>39225.449850343743</v>
          </cell>
          <cell r="AK179">
            <v>39439.344214047625</v>
          </cell>
          <cell r="AL179">
            <v>39653.238577751508</v>
          </cell>
          <cell r="AM179">
            <v>39833.292885264345</v>
          </cell>
          <cell r="AN179">
            <v>40081.027305159281</v>
          </cell>
          <cell r="AO179">
            <v>40294.921668863171</v>
          </cell>
          <cell r="AP179">
            <v>43486.740977379413</v>
          </cell>
          <cell r="AQ179">
            <v>45392.638150635787</v>
          </cell>
          <cell r="AR179">
            <v>45674.212626721768</v>
          </cell>
          <cell r="AS179">
            <v>45888.106990425651</v>
          </cell>
          <cell r="AW179">
            <v>4187.8564089924812</v>
          </cell>
          <cell r="AX179">
            <v>4253.7558047086713</v>
          </cell>
          <cell r="AY179">
            <v>4284.9772955482813</v>
          </cell>
          <cell r="AZ179">
            <v>4308.974222871936</v>
          </cell>
          <cell r="BA179">
            <v>4332.9711501955917</v>
          </cell>
          <cell r="BB179">
            <v>4353.3557957612693</v>
          </cell>
          <cell r="BC179">
            <v>4380.9650048429021</v>
          </cell>
          <cell r="BD179">
            <v>4404.9619321665577</v>
          </cell>
          <cell r="BE179">
            <v>4746.8396541921993</v>
          </cell>
          <cell r="BF179">
            <v>4951.4506694147112</v>
          </cell>
          <cell r="BG179">
            <v>4982.6721602543212</v>
          </cell>
          <cell r="BH179">
            <v>5006.6690875779759</v>
          </cell>
          <cell r="BL179">
            <v>4721.9294544920394</v>
          </cell>
          <cell r="BM179">
            <v>4796.8132654780102</v>
          </cell>
          <cell r="BN179">
            <v>4831.2395207746385</v>
          </cell>
          <cell r="BO179">
            <v>4857.237118635986</v>
          </cell>
          <cell r="BP179">
            <v>4883.2347164973326</v>
          </cell>
          <cell r="BQ179">
            <v>4905.0179856410405</v>
          </cell>
          <cell r="BR179">
            <v>4935.2299122200275</v>
          </cell>
          <cell r="BS179">
            <v>4961.2275100813758</v>
          </cell>
          <cell r="BT179">
            <v>5358.0860350950416</v>
          </cell>
          <cell r="BU179">
            <v>5594.8000688383881</v>
          </cell>
          <cell r="BV179">
            <v>5629.2263241350156</v>
          </cell>
          <cell r="BW179">
            <v>5655.2239219963631</v>
          </cell>
        </row>
        <row r="180">
          <cell r="AH180">
            <v>0</v>
          </cell>
          <cell r="AI180">
            <v>0</v>
          </cell>
          <cell r="AJ180">
            <v>0</v>
          </cell>
          <cell r="AK180">
            <v>0</v>
          </cell>
          <cell r="AL180">
            <v>0</v>
          </cell>
          <cell r="AM180">
            <v>0</v>
          </cell>
          <cell r="AN180">
            <v>0</v>
          </cell>
          <cell r="AO180">
            <v>0</v>
          </cell>
          <cell r="AP180">
            <v>0</v>
          </cell>
          <cell r="AQ180">
            <v>0</v>
          </cell>
          <cell r="AR180">
            <v>0</v>
          </cell>
          <cell r="AS180">
            <v>0</v>
          </cell>
          <cell r="AW180">
            <v>0</v>
          </cell>
          <cell r="AX180">
            <v>0</v>
          </cell>
          <cell r="AY180">
            <v>0</v>
          </cell>
          <cell r="AZ180">
            <v>0</v>
          </cell>
          <cell r="BA180">
            <v>0</v>
          </cell>
          <cell r="BB180">
            <v>0</v>
          </cell>
          <cell r="BC180">
            <v>0</v>
          </cell>
          <cell r="BD180">
            <v>0</v>
          </cell>
          <cell r="BE180">
            <v>0</v>
          </cell>
          <cell r="BF180">
            <v>0</v>
          </cell>
          <cell r="BG180">
            <v>0</v>
          </cell>
          <cell r="BH180">
            <v>0</v>
          </cell>
          <cell r="BL180">
            <v>0</v>
          </cell>
          <cell r="BM180">
            <v>0</v>
          </cell>
          <cell r="BN180">
            <v>0</v>
          </cell>
          <cell r="BO180">
            <v>0</v>
          </cell>
          <cell r="BP180">
            <v>0</v>
          </cell>
          <cell r="BQ180">
            <v>0</v>
          </cell>
          <cell r="BR180">
            <v>0</v>
          </cell>
          <cell r="BS180">
            <v>0</v>
          </cell>
          <cell r="BT180">
            <v>0</v>
          </cell>
          <cell r="BU180">
            <v>0</v>
          </cell>
          <cell r="BV180">
            <v>0</v>
          </cell>
          <cell r="BW180">
            <v>0</v>
          </cell>
        </row>
        <row r="181">
          <cell r="AH181">
            <v>69029.645940082381</v>
          </cell>
          <cell r="AI181">
            <v>106917.58075350654</v>
          </cell>
          <cell r="AJ181">
            <v>100499.51298052998</v>
          </cell>
          <cell r="AK181">
            <v>113655.94703707885</v>
          </cell>
          <cell r="AL181">
            <v>103039.61772172817</v>
          </cell>
          <cell r="AM181">
            <v>128305.48840905383</v>
          </cell>
          <cell r="AN181">
            <v>67801.146795958382</v>
          </cell>
          <cell r="AO181">
            <v>53862.555757673515</v>
          </cell>
          <cell r="AP181">
            <v>85677.095044859714</v>
          </cell>
          <cell r="AQ181">
            <v>104594.18191604957</v>
          </cell>
          <cell r="AR181">
            <v>93505.29681107495</v>
          </cell>
          <cell r="AS181">
            <v>95268.131160263409</v>
          </cell>
          <cell r="AW181">
            <v>-8427.2116057580788</v>
          </cell>
          <cell r="AX181">
            <v>6710.8681121757927</v>
          </cell>
          <cell r="AY181">
            <v>3367.2164674218911</v>
          </cell>
          <cell r="AZ181">
            <v>-1286.7404988254375</v>
          </cell>
          <cell r="BA181">
            <v>-6585.8287011897501</v>
          </cell>
          <cell r="BB181">
            <v>7021.3884518140694</v>
          </cell>
          <cell r="BC181">
            <v>14602.080571384748</v>
          </cell>
          <cell r="BD181">
            <v>16621.333525850914</v>
          </cell>
          <cell r="BE181">
            <v>18641.108566045739</v>
          </cell>
          <cell r="BF181">
            <v>15022.233921278541</v>
          </cell>
          <cell r="BG181">
            <v>20980.738736825024</v>
          </cell>
          <cell r="BH181">
            <v>19011.216176666832</v>
          </cell>
          <cell r="BL181">
            <v>7827.7231554432028</v>
          </cell>
          <cell r="BM181">
            <v>11235.543470062112</v>
          </cell>
          <cell r="BN181">
            <v>5423.9077305258179</v>
          </cell>
          <cell r="BO181">
            <v>11572.997732461503</v>
          </cell>
          <cell r="BP181">
            <v>8282.8032924718573</v>
          </cell>
          <cell r="BQ181">
            <v>7067.3302094828359</v>
          </cell>
          <cell r="BR181">
            <v>-4846.0459632081038</v>
          </cell>
          <cell r="BS181">
            <v>-250.52510548029386</v>
          </cell>
          <cell r="BT181">
            <v>5407.3294780530223</v>
          </cell>
          <cell r="BU181">
            <v>18121.703918326963</v>
          </cell>
          <cell r="BV181">
            <v>37172.004361477346</v>
          </cell>
          <cell r="BW181">
            <v>25586.989262525534</v>
          </cell>
        </row>
        <row r="183">
          <cell r="AH183">
            <v>32703.630442730617</v>
          </cell>
          <cell r="AI183">
            <v>70479.874728191004</v>
          </cell>
          <cell r="AJ183">
            <v>64823.111349722865</v>
          </cell>
          <cell r="AK183">
            <v>86924.379343004082</v>
          </cell>
          <cell r="AL183">
            <v>75495.31444525643</v>
          </cell>
          <cell r="AM183">
            <v>105339.51137149511</v>
          </cell>
          <cell r="AN183">
            <v>2618.2711283167882</v>
          </cell>
          <cell r="AO183">
            <v>-21041.887226121791</v>
          </cell>
          <cell r="AP183">
            <v>20702.721861183498</v>
          </cell>
          <cell r="AQ183">
            <v>56764.262135646393</v>
          </cell>
          <cell r="AR183">
            <v>32119.310099114533</v>
          </cell>
          <cell r="AS183">
            <v>37194.756361723965</v>
          </cell>
          <cell r="AW183">
            <v>-6690.1828225098798</v>
          </cell>
          <cell r="AX183">
            <v>30871.789747814706</v>
          </cell>
          <cell r="AY183">
            <v>22031.079767875442</v>
          </cell>
          <cell r="AZ183">
            <v>11822.752315012909</v>
          </cell>
          <cell r="BA183">
            <v>6.8118538383405394</v>
          </cell>
          <cell r="BB183">
            <v>25813.499911692335</v>
          </cell>
          <cell r="BC183">
            <v>51980.091515173961</v>
          </cell>
          <cell r="BD183">
            <v>58145.700281419136</v>
          </cell>
          <cell r="BE183">
            <v>60004.418523711523</v>
          </cell>
          <cell r="BF183">
            <v>42920.306011167777</v>
          </cell>
          <cell r="BG183">
            <v>59732.394654410062</v>
          </cell>
          <cell r="BH183">
            <v>54017.187645024082</v>
          </cell>
          <cell r="BL183">
            <v>4469.3128867345886</v>
          </cell>
          <cell r="BM183">
            <v>9265.489806596659</v>
          </cell>
          <cell r="BN183">
            <v>852.86400915409649</v>
          </cell>
          <cell r="BO183">
            <v>9664.1433223342647</v>
          </cell>
          <cell r="BP183">
            <v>4892.0620971340522</v>
          </cell>
          <cell r="BQ183">
            <v>3111.6200294308728</v>
          </cell>
          <cell r="BR183">
            <v>-14075.494552445376</v>
          </cell>
          <cell r="BS183">
            <v>-7499.8391297107064</v>
          </cell>
          <cell r="BT183">
            <v>70.862515476147564</v>
          </cell>
          <cell r="BU183">
            <v>18026.520173654269</v>
          </cell>
          <cell r="BV183">
            <v>45390.826931785283</v>
          </cell>
          <cell r="BW183">
            <v>28682.296465639523</v>
          </cell>
        </row>
        <row r="186">
          <cell r="AH186" t="e">
            <v>#DIV/0!</v>
          </cell>
          <cell r="AI186" t="e">
            <v>#DIV/0!</v>
          </cell>
          <cell r="AJ186" t="e">
            <v>#DIV/0!</v>
          </cell>
          <cell r="AK186" t="e">
            <v>#DIV/0!</v>
          </cell>
          <cell r="AL186" t="e">
            <v>#DIV/0!</v>
          </cell>
          <cell r="AM186" t="e">
            <v>#DIV/0!</v>
          </cell>
          <cell r="AN186" t="e">
            <v>#DIV/0!</v>
          </cell>
          <cell r="AO186" t="e">
            <v>#DIV/0!</v>
          </cell>
          <cell r="AP186" t="e">
            <v>#DIV/0!</v>
          </cell>
          <cell r="AQ186" t="e">
            <v>#DIV/0!</v>
          </cell>
          <cell r="AR186" t="e">
            <v>#DIV/0!</v>
          </cell>
          <cell r="AS186" t="e">
            <v>#DIV/0!</v>
          </cell>
          <cell r="AW186" t="e">
            <v>#DIV/0!</v>
          </cell>
          <cell r="AX186" t="e">
            <v>#DIV/0!</v>
          </cell>
          <cell r="AY186" t="e">
            <v>#DIV/0!</v>
          </cell>
          <cell r="AZ186" t="e">
            <v>#DIV/0!</v>
          </cell>
          <cell r="BA186" t="e">
            <v>#DIV/0!</v>
          </cell>
          <cell r="BB186" t="e">
            <v>#DIV/0!</v>
          </cell>
          <cell r="BC186" t="e">
            <v>#DIV/0!</v>
          </cell>
          <cell r="BD186" t="e">
            <v>#DIV/0!</v>
          </cell>
          <cell r="BE186" t="e">
            <v>#DIV/0!</v>
          </cell>
          <cell r="BF186" t="e">
            <v>#DIV/0!</v>
          </cell>
          <cell r="BG186" t="e">
            <v>#DIV/0!</v>
          </cell>
          <cell r="BH186" t="e">
            <v>#DIV/0!</v>
          </cell>
          <cell r="BL186" t="e">
            <v>#DIV/0!</v>
          </cell>
          <cell r="BM186" t="e">
            <v>#DIV/0!</v>
          </cell>
          <cell r="BN186" t="e">
            <v>#DIV/0!</v>
          </cell>
          <cell r="BO186" t="e">
            <v>#DIV/0!</v>
          </cell>
          <cell r="BP186" t="e">
            <v>#DIV/0!</v>
          </cell>
          <cell r="BQ186" t="e">
            <v>#DIV/0!</v>
          </cell>
          <cell r="BR186" t="e">
            <v>#DIV/0!</v>
          </cell>
          <cell r="BS186" t="e">
            <v>#DIV/0!</v>
          </cell>
          <cell r="BT186" t="e">
            <v>#DIV/0!</v>
          </cell>
          <cell r="BU186" t="e">
            <v>#DIV/0!</v>
          </cell>
          <cell r="BV186" t="e">
            <v>#DIV/0!</v>
          </cell>
          <cell r="BW186" t="e">
            <v>#DIV/0!</v>
          </cell>
        </row>
        <row r="200">
          <cell r="AH200">
            <v>1</v>
          </cell>
          <cell r="AI200">
            <v>2</v>
          </cell>
          <cell r="AJ200">
            <v>3</v>
          </cell>
          <cell r="AK200">
            <v>4</v>
          </cell>
          <cell r="AL200">
            <v>5</v>
          </cell>
          <cell r="AM200">
            <v>6</v>
          </cell>
          <cell r="AN200">
            <v>7</v>
          </cell>
          <cell r="AO200">
            <v>8</v>
          </cell>
          <cell r="AP200">
            <v>9</v>
          </cell>
          <cell r="AQ200">
            <v>10</v>
          </cell>
          <cell r="AR200">
            <v>11</v>
          </cell>
          <cell r="AS200">
            <v>12</v>
          </cell>
          <cell r="AW200">
            <v>1</v>
          </cell>
          <cell r="AX200">
            <v>2</v>
          </cell>
          <cell r="AY200">
            <v>3</v>
          </cell>
          <cell r="AZ200">
            <v>4</v>
          </cell>
          <cell r="BA200">
            <v>5</v>
          </cell>
          <cell r="BB200">
            <v>6</v>
          </cell>
          <cell r="BC200">
            <v>7</v>
          </cell>
          <cell r="BD200">
            <v>8</v>
          </cell>
          <cell r="BE200">
            <v>9</v>
          </cell>
          <cell r="BF200">
            <v>10</v>
          </cell>
          <cell r="BG200">
            <v>11</v>
          </cell>
          <cell r="BH200">
            <v>12</v>
          </cell>
          <cell r="BL200">
            <v>1</v>
          </cell>
          <cell r="BM200">
            <v>2</v>
          </cell>
          <cell r="BN200">
            <v>3</v>
          </cell>
          <cell r="BO200">
            <v>4</v>
          </cell>
          <cell r="BP200">
            <v>5</v>
          </cell>
          <cell r="BQ200">
            <v>6</v>
          </cell>
          <cell r="BR200">
            <v>7</v>
          </cell>
          <cell r="BS200">
            <v>8</v>
          </cell>
          <cell r="BT200">
            <v>9</v>
          </cell>
          <cell r="BU200">
            <v>10</v>
          </cell>
          <cell r="BV200">
            <v>11</v>
          </cell>
          <cell r="BW200">
            <v>12</v>
          </cell>
        </row>
        <row r="201">
          <cell r="AH201">
            <v>209359.80961718416</v>
          </cell>
          <cell r="AI201">
            <v>441219.61923436832</v>
          </cell>
          <cell r="AJ201">
            <v>699829.42885155254</v>
          </cell>
          <cell r="AK201">
            <v>1049439.2384687366</v>
          </cell>
          <cell r="AL201">
            <v>1496049.0480859207</v>
          </cell>
          <cell r="AM201">
            <v>1909908.8577031048</v>
          </cell>
          <cell r="AN201">
            <v>2268018.6673202892</v>
          </cell>
          <cell r="AO201">
            <v>2566128.4769374733</v>
          </cell>
          <cell r="AP201">
            <v>2814238.2865546574</v>
          </cell>
          <cell r="AQ201">
            <v>3029348.0961718415</v>
          </cell>
          <cell r="AR201">
            <v>3194457.9057890256</v>
          </cell>
          <cell r="AS201">
            <v>3335567.7154062097</v>
          </cell>
          <cell r="AW201">
            <v>25500</v>
          </cell>
          <cell r="AX201">
            <v>53000</v>
          </cell>
          <cell r="AY201">
            <v>74000</v>
          </cell>
          <cell r="AZ201">
            <v>107750</v>
          </cell>
          <cell r="BA201">
            <v>126500</v>
          </cell>
          <cell r="BB201">
            <v>145250</v>
          </cell>
          <cell r="BC201">
            <v>168250</v>
          </cell>
          <cell r="BD201">
            <v>197250</v>
          </cell>
          <cell r="BE201">
            <v>226250</v>
          </cell>
          <cell r="BF201">
            <v>255500</v>
          </cell>
          <cell r="BG201">
            <v>284750</v>
          </cell>
          <cell r="BH201">
            <v>310250</v>
          </cell>
          <cell r="BL201">
            <v>0</v>
          </cell>
          <cell r="BM201">
            <v>0</v>
          </cell>
          <cell r="BN201">
            <v>0</v>
          </cell>
          <cell r="BO201">
            <v>0</v>
          </cell>
          <cell r="BP201">
            <v>0</v>
          </cell>
          <cell r="BQ201">
            <v>0</v>
          </cell>
          <cell r="BR201">
            <v>0</v>
          </cell>
          <cell r="BS201">
            <v>0</v>
          </cell>
          <cell r="BT201">
            <v>0</v>
          </cell>
          <cell r="BU201">
            <v>0</v>
          </cell>
          <cell r="BV201">
            <v>0</v>
          </cell>
          <cell r="BW201">
            <v>0</v>
          </cell>
        </row>
        <row r="202">
          <cell r="AH202">
            <v>662273.68921258766</v>
          </cell>
          <cell r="AI202">
            <v>1329047.3784251753</v>
          </cell>
          <cell r="AJ202">
            <v>2012821.067637763</v>
          </cell>
          <cell r="AK202">
            <v>2707864.7568503506</v>
          </cell>
          <cell r="AL202">
            <v>3319908.4460629383</v>
          </cell>
          <cell r="AM202">
            <v>3995952.135275526</v>
          </cell>
          <cell r="AN202">
            <v>4594665.8244881136</v>
          </cell>
          <cell r="AO202">
            <v>5231379.5137007013</v>
          </cell>
          <cell r="AP202">
            <v>5928093.202913289</v>
          </cell>
          <cell r="AQ202">
            <v>6570906.8921258766</v>
          </cell>
          <cell r="AR202">
            <v>7174720.5813384643</v>
          </cell>
          <cell r="AS202">
            <v>7798534.2705510519</v>
          </cell>
          <cell r="AW202">
            <v>106374.32621047054</v>
          </cell>
          <cell r="AX202">
            <v>250748.6524209411</v>
          </cell>
          <cell r="AY202">
            <v>399122.97863141168</v>
          </cell>
          <cell r="AZ202">
            <v>524607.3048418822</v>
          </cell>
          <cell r="BA202">
            <v>657231.63105235272</v>
          </cell>
          <cell r="BB202">
            <v>805715.95726282324</v>
          </cell>
          <cell r="BC202">
            <v>992150.28347329376</v>
          </cell>
          <cell r="BD202">
            <v>1184584.6096837644</v>
          </cell>
          <cell r="BE202">
            <v>1368018.935894235</v>
          </cell>
          <cell r="BF202">
            <v>1519483.2621047057</v>
          </cell>
          <cell r="BG202">
            <v>1687947.5883151763</v>
          </cell>
          <cell r="BH202">
            <v>1849161.9145256469</v>
          </cell>
          <cell r="BL202">
            <v>0</v>
          </cell>
          <cell r="BM202">
            <v>0</v>
          </cell>
          <cell r="BN202">
            <v>0</v>
          </cell>
          <cell r="BO202">
            <v>0</v>
          </cell>
          <cell r="BP202">
            <v>0</v>
          </cell>
          <cell r="BQ202">
            <v>0</v>
          </cell>
          <cell r="BR202">
            <v>0</v>
          </cell>
          <cell r="BS202">
            <v>0</v>
          </cell>
          <cell r="BT202">
            <v>0</v>
          </cell>
          <cell r="BU202">
            <v>0</v>
          </cell>
          <cell r="BV202">
            <v>0</v>
          </cell>
          <cell r="BW202">
            <v>0</v>
          </cell>
        </row>
        <row r="203">
          <cell r="AH203">
            <v>0</v>
          </cell>
          <cell r="AI203">
            <v>0</v>
          </cell>
          <cell r="AJ203">
            <v>0</v>
          </cell>
          <cell r="AK203">
            <v>0</v>
          </cell>
          <cell r="AL203">
            <v>0</v>
          </cell>
          <cell r="AM203">
            <v>0</v>
          </cell>
          <cell r="AN203">
            <v>0</v>
          </cell>
          <cell r="AO203">
            <v>0</v>
          </cell>
          <cell r="AP203">
            <v>0</v>
          </cell>
          <cell r="AQ203">
            <v>0</v>
          </cell>
          <cell r="AR203">
            <v>0</v>
          </cell>
          <cell r="AS203">
            <v>0</v>
          </cell>
          <cell r="AW203">
            <v>0</v>
          </cell>
          <cell r="AX203">
            <v>0</v>
          </cell>
          <cell r="AY203">
            <v>0</v>
          </cell>
          <cell r="AZ203">
            <v>0</v>
          </cell>
          <cell r="BA203">
            <v>0</v>
          </cell>
          <cell r="BB203">
            <v>0</v>
          </cell>
          <cell r="BC203">
            <v>0</v>
          </cell>
          <cell r="BD203">
            <v>0</v>
          </cell>
          <cell r="BE203">
            <v>0</v>
          </cell>
          <cell r="BF203">
            <v>0</v>
          </cell>
          <cell r="BG203">
            <v>0</v>
          </cell>
          <cell r="BH203">
            <v>0</v>
          </cell>
          <cell r="BL203">
            <v>173902.17495975754</v>
          </cell>
          <cell r="BM203">
            <v>333804.34991951508</v>
          </cell>
          <cell r="BN203">
            <v>496706.52487927262</v>
          </cell>
          <cell r="BO203">
            <v>680438.69983903016</v>
          </cell>
          <cell r="BP203">
            <v>856170.87479878776</v>
          </cell>
          <cell r="BQ203">
            <v>1021903.0497585454</v>
          </cell>
          <cell r="BR203">
            <v>1188130.224718303</v>
          </cell>
          <cell r="BS203">
            <v>1358357.3996780606</v>
          </cell>
          <cell r="BT203">
            <v>1529584.5746378182</v>
          </cell>
          <cell r="BU203">
            <v>1713691.7495975757</v>
          </cell>
          <cell r="BV203">
            <v>1955798.9245573333</v>
          </cell>
          <cell r="BW203">
            <v>2155906.0995170907</v>
          </cell>
        </row>
        <row r="204">
          <cell r="AH204">
            <v>5000</v>
          </cell>
          <cell r="AI204">
            <v>10000</v>
          </cell>
          <cell r="AJ204">
            <v>15000</v>
          </cell>
          <cell r="AK204">
            <v>20000</v>
          </cell>
          <cell r="AL204">
            <v>25000</v>
          </cell>
          <cell r="AM204">
            <v>30000</v>
          </cell>
          <cell r="AN204">
            <v>35000</v>
          </cell>
          <cell r="AO204">
            <v>40000</v>
          </cell>
          <cell r="AP204">
            <v>45000</v>
          </cell>
          <cell r="AQ204">
            <v>50000</v>
          </cell>
          <cell r="AR204">
            <v>55000</v>
          </cell>
          <cell r="AS204">
            <v>60000</v>
          </cell>
          <cell r="AW204">
            <v>0</v>
          </cell>
          <cell r="AX204">
            <v>0</v>
          </cell>
          <cell r="AY204">
            <v>0</v>
          </cell>
          <cell r="AZ204">
            <v>0</v>
          </cell>
          <cell r="BA204">
            <v>0</v>
          </cell>
          <cell r="BB204">
            <v>0</v>
          </cell>
          <cell r="BC204">
            <v>0</v>
          </cell>
          <cell r="BD204">
            <v>0</v>
          </cell>
          <cell r="BE204">
            <v>0</v>
          </cell>
          <cell r="BF204">
            <v>0</v>
          </cell>
          <cell r="BG204">
            <v>0</v>
          </cell>
          <cell r="BH204">
            <v>0</v>
          </cell>
          <cell r="BL204">
            <v>0</v>
          </cell>
          <cell r="BM204">
            <v>0</v>
          </cell>
          <cell r="BN204">
            <v>0</v>
          </cell>
          <cell r="BO204">
            <v>0</v>
          </cell>
          <cell r="BP204">
            <v>0</v>
          </cell>
          <cell r="BQ204">
            <v>0</v>
          </cell>
          <cell r="BR204">
            <v>0</v>
          </cell>
          <cell r="BS204">
            <v>0</v>
          </cell>
          <cell r="BT204">
            <v>0</v>
          </cell>
          <cell r="BU204">
            <v>0</v>
          </cell>
          <cell r="BV204">
            <v>0</v>
          </cell>
          <cell r="BW204">
            <v>0</v>
          </cell>
        </row>
        <row r="205">
          <cell r="AH205">
            <v>22352.680186835281</v>
          </cell>
          <cell r="AI205">
            <v>44705.360373670563</v>
          </cell>
          <cell r="AJ205">
            <v>67058.040560505848</v>
          </cell>
          <cell r="AK205">
            <v>26078.126884641162</v>
          </cell>
          <cell r="AL205">
            <v>-14901.786791223523</v>
          </cell>
          <cell r="AM205">
            <v>-55881.700467088209</v>
          </cell>
          <cell r="AN205">
            <v>-150508.04659135756</v>
          </cell>
          <cell r="AO205">
            <v>-244389.30337606574</v>
          </cell>
          <cell r="AP205">
            <v>-330819.66676516214</v>
          </cell>
          <cell r="AQ205">
            <v>-220546.44451010809</v>
          </cell>
          <cell r="AR205">
            <v>-110273.22225505403</v>
          </cell>
          <cell r="AS205">
            <v>0</v>
          </cell>
          <cell r="AW205">
            <v>2780.4125627820981</v>
          </cell>
          <cell r="AX205">
            <v>5560.8251255641962</v>
          </cell>
          <cell r="AY205">
            <v>8341.2376883462948</v>
          </cell>
          <cell r="AZ205">
            <v>3243.8146565791149</v>
          </cell>
          <cell r="BA205">
            <v>-1853.6083751880651</v>
          </cell>
          <cell r="BB205">
            <v>-6951.0314069552451</v>
          </cell>
          <cell r="BC205">
            <v>-18721.44458939946</v>
          </cell>
          <cell r="BD205">
            <v>-30399.177353084273</v>
          </cell>
          <cell r="BE205">
            <v>-41150.105929175057</v>
          </cell>
          <cell r="BF205">
            <v>-27433.403952783374</v>
          </cell>
          <cell r="BG205">
            <v>-13716.701976391689</v>
          </cell>
          <cell r="BH205">
            <v>0</v>
          </cell>
          <cell r="BL205">
            <v>4866.9072503826201</v>
          </cell>
          <cell r="BM205">
            <v>9733.8145007652402</v>
          </cell>
          <cell r="BN205">
            <v>14600.721751147859</v>
          </cell>
          <cell r="BO205">
            <v>5678.0584587797221</v>
          </cell>
          <cell r="BP205">
            <v>-3244.6048335884152</v>
          </cell>
          <cell r="BQ205">
            <v>-12167.268125956552</v>
          </cell>
          <cell r="BR205">
            <v>-32770.508819242976</v>
          </cell>
          <cell r="BS205">
            <v>-53211.519270849982</v>
          </cell>
          <cell r="BT205">
            <v>-72030.227305662789</v>
          </cell>
          <cell r="BU205">
            <v>-48020.151537108526</v>
          </cell>
          <cell r="BV205">
            <v>-24010.075768554267</v>
          </cell>
          <cell r="BW205">
            <v>0</v>
          </cell>
        </row>
        <row r="206">
          <cell r="AH206">
            <v>0</v>
          </cell>
          <cell r="AI206">
            <v>0</v>
          </cell>
          <cell r="AJ206">
            <v>0</v>
          </cell>
          <cell r="AK206">
            <v>0</v>
          </cell>
          <cell r="AL206">
            <v>0</v>
          </cell>
          <cell r="AM206">
            <v>0</v>
          </cell>
          <cell r="AN206">
            <v>0</v>
          </cell>
          <cell r="AO206">
            <v>0</v>
          </cell>
          <cell r="AP206">
            <v>0</v>
          </cell>
          <cell r="AQ206">
            <v>0</v>
          </cell>
          <cell r="AR206">
            <v>0</v>
          </cell>
          <cell r="AS206">
            <v>0</v>
          </cell>
          <cell r="AW206">
            <v>0</v>
          </cell>
          <cell r="AX206">
            <v>0</v>
          </cell>
          <cell r="AY206">
            <v>0</v>
          </cell>
          <cell r="AZ206">
            <v>0</v>
          </cell>
          <cell r="BA206">
            <v>0</v>
          </cell>
          <cell r="BB206">
            <v>0</v>
          </cell>
          <cell r="BC206">
            <v>0</v>
          </cell>
          <cell r="BD206">
            <v>0</v>
          </cell>
          <cell r="BE206">
            <v>0</v>
          </cell>
          <cell r="BF206">
            <v>0</v>
          </cell>
          <cell r="BG206">
            <v>0</v>
          </cell>
          <cell r="BH206">
            <v>0</v>
          </cell>
          <cell r="BL206">
            <v>0</v>
          </cell>
          <cell r="BM206">
            <v>0</v>
          </cell>
          <cell r="BN206">
            <v>0</v>
          </cell>
          <cell r="BO206">
            <v>0</v>
          </cell>
          <cell r="BP206">
            <v>0</v>
          </cell>
          <cell r="BQ206">
            <v>0</v>
          </cell>
          <cell r="BR206">
            <v>0</v>
          </cell>
          <cell r="BS206">
            <v>0</v>
          </cell>
          <cell r="BT206">
            <v>0</v>
          </cell>
          <cell r="BU206">
            <v>0</v>
          </cell>
          <cell r="BV206">
            <v>0</v>
          </cell>
          <cell r="BW206">
            <v>0</v>
          </cell>
        </row>
        <row r="207">
          <cell r="AH207">
            <v>0</v>
          </cell>
          <cell r="AI207">
            <v>0</v>
          </cell>
          <cell r="AJ207">
            <v>0</v>
          </cell>
          <cell r="AK207">
            <v>0</v>
          </cell>
          <cell r="AL207">
            <v>0</v>
          </cell>
          <cell r="AM207">
            <v>0</v>
          </cell>
          <cell r="AN207">
            <v>0</v>
          </cell>
          <cell r="AO207">
            <v>0</v>
          </cell>
          <cell r="AP207">
            <v>0</v>
          </cell>
          <cell r="AQ207">
            <v>0</v>
          </cell>
          <cell r="AR207">
            <v>0</v>
          </cell>
          <cell r="AS207">
            <v>0</v>
          </cell>
          <cell r="AW207">
            <v>0</v>
          </cell>
          <cell r="AX207">
            <v>0</v>
          </cell>
          <cell r="AY207">
            <v>0</v>
          </cell>
          <cell r="AZ207">
            <v>0</v>
          </cell>
          <cell r="BA207">
            <v>0</v>
          </cell>
          <cell r="BB207">
            <v>0</v>
          </cell>
          <cell r="BC207">
            <v>0</v>
          </cell>
          <cell r="BD207">
            <v>0</v>
          </cell>
          <cell r="BE207">
            <v>0</v>
          </cell>
          <cell r="BF207">
            <v>0</v>
          </cell>
          <cell r="BG207">
            <v>0</v>
          </cell>
          <cell r="BH207">
            <v>0</v>
          </cell>
          <cell r="BL207">
            <v>0</v>
          </cell>
          <cell r="BM207">
            <v>0</v>
          </cell>
          <cell r="BN207">
            <v>0</v>
          </cell>
          <cell r="BO207">
            <v>0</v>
          </cell>
          <cell r="BP207">
            <v>0</v>
          </cell>
          <cell r="BQ207">
            <v>0</v>
          </cell>
          <cell r="BR207">
            <v>0</v>
          </cell>
          <cell r="BS207">
            <v>0</v>
          </cell>
          <cell r="BT207">
            <v>0</v>
          </cell>
          <cell r="BU207">
            <v>0</v>
          </cell>
          <cell r="BV207">
            <v>0</v>
          </cell>
          <cell r="BW207">
            <v>0</v>
          </cell>
        </row>
        <row r="208">
          <cell r="AH208">
            <v>898986.179016607</v>
          </cell>
          <cell r="AI208">
            <v>1824972.358033214</v>
          </cell>
          <cell r="AJ208">
            <v>2794708.5370498211</v>
          </cell>
          <cell r="AK208">
            <v>3803382.1222037282</v>
          </cell>
          <cell r="AL208">
            <v>4826055.7073576357</v>
          </cell>
          <cell r="AM208">
            <v>5879979.2925115423</v>
          </cell>
          <cell r="AN208">
            <v>6747176.445217046</v>
          </cell>
          <cell r="AO208">
            <v>7593118.6872621085</v>
          </cell>
          <cell r="AP208">
            <v>8456511.8227027841</v>
          </cell>
          <cell r="AQ208">
            <v>9429708.5437876098</v>
          </cell>
          <cell r="AR208">
            <v>10313905.264872435</v>
          </cell>
          <cell r="AS208">
            <v>11194101.985957261</v>
          </cell>
          <cell r="AW208">
            <v>134654.73877325261</v>
          </cell>
          <cell r="AX208">
            <v>309309.47754650528</v>
          </cell>
          <cell r="AY208">
            <v>481464.21631975798</v>
          </cell>
          <cell r="AZ208">
            <v>635601.11949846137</v>
          </cell>
          <cell r="BA208">
            <v>781878.02267716464</v>
          </cell>
          <cell r="BB208">
            <v>944014.92585586803</v>
          </cell>
          <cell r="BC208">
            <v>1141678.8388838943</v>
          </cell>
          <cell r="BD208">
            <v>1351435.4323306801</v>
          </cell>
          <cell r="BE208">
            <v>1553118.8299650599</v>
          </cell>
          <cell r="BF208">
            <v>1747549.8581519222</v>
          </cell>
          <cell r="BG208">
            <v>1958980.8863387846</v>
          </cell>
          <cell r="BH208">
            <v>2159411.9145256467</v>
          </cell>
          <cell r="BL208">
            <v>178769.08221014016</v>
          </cell>
          <cell r="BM208">
            <v>343538.16442028031</v>
          </cell>
          <cell r="BN208">
            <v>511307.2466304205</v>
          </cell>
          <cell r="BO208">
            <v>686116.75829780987</v>
          </cell>
          <cell r="BP208">
            <v>852926.26996519929</v>
          </cell>
          <cell r="BQ208">
            <v>1009735.7816325888</v>
          </cell>
          <cell r="BR208">
            <v>1155359.71589906</v>
          </cell>
          <cell r="BS208">
            <v>1305145.8804072107</v>
          </cell>
          <cell r="BT208">
            <v>1457554.3473321553</v>
          </cell>
          <cell r="BU208">
            <v>1665671.5980604673</v>
          </cell>
          <cell r="BV208">
            <v>1931788.848788779</v>
          </cell>
          <cell r="BW208">
            <v>2155906.0995170907</v>
          </cell>
        </row>
        <row r="210">
          <cell r="AH210">
            <v>31815.645957501529</v>
          </cell>
          <cell r="AI210">
            <v>65025.211915003048</v>
          </cell>
          <cell r="AJ210">
            <v>99717.977872504576</v>
          </cell>
          <cell r="AK210">
            <v>137828.3822300061</v>
          </cell>
          <cell r="AL210">
            <v>176332.07938750763</v>
          </cell>
          <cell r="AM210">
            <v>216098.48374500917</v>
          </cell>
          <cell r="AN210">
            <v>249397.71098399855</v>
          </cell>
          <cell r="AO210">
            <v>282074.85822298797</v>
          </cell>
          <cell r="AP210">
            <v>314993.92546197737</v>
          </cell>
          <cell r="AQ210">
            <v>349252.46693799103</v>
          </cell>
          <cell r="AR210">
            <v>380631.0084140047</v>
          </cell>
          <cell r="AS210">
            <v>411744.5898900184</v>
          </cell>
          <cell r="AW210">
            <v>0</v>
          </cell>
          <cell r="AX210">
            <v>0</v>
          </cell>
          <cell r="AY210">
            <v>0</v>
          </cell>
          <cell r="AZ210">
            <v>0</v>
          </cell>
          <cell r="BA210">
            <v>0</v>
          </cell>
          <cell r="BB210">
            <v>0</v>
          </cell>
          <cell r="BC210">
            <v>-306.35908597511553</v>
          </cell>
          <cell r="BD210">
            <v>-612.71817195023107</v>
          </cell>
          <cell r="BE210">
            <v>-919.07725792534666</v>
          </cell>
          <cell r="BF210">
            <v>-612.71817195023118</v>
          </cell>
          <cell r="BG210">
            <v>-306.35908597511565</v>
          </cell>
          <cell r="BH210">
            <v>0</v>
          </cell>
          <cell r="BL210">
            <v>0</v>
          </cell>
          <cell r="BM210">
            <v>0</v>
          </cell>
          <cell r="BN210">
            <v>0</v>
          </cell>
          <cell r="BO210">
            <v>0</v>
          </cell>
          <cell r="BP210">
            <v>0</v>
          </cell>
          <cell r="BQ210">
            <v>0</v>
          </cell>
          <cell r="BR210">
            <v>-339.56459551274162</v>
          </cell>
          <cell r="BS210">
            <v>-679.12919102548324</v>
          </cell>
          <cell r="BT210">
            <v>-1018.6937865382249</v>
          </cell>
          <cell r="BU210">
            <v>-679.12919102548335</v>
          </cell>
          <cell r="BV210">
            <v>-339.56459551274173</v>
          </cell>
          <cell r="BW210">
            <v>0</v>
          </cell>
        </row>
        <row r="212">
          <cell r="AH212">
            <v>34610.837932202587</v>
          </cell>
          <cell r="AI212">
            <v>71058.734687934586</v>
          </cell>
          <cell r="AJ212">
            <v>110019.63144366659</v>
          </cell>
          <cell r="AK212">
            <v>156214.73996410449</v>
          </cell>
          <cell r="AL212">
            <v>207438.31907277767</v>
          </cell>
          <cell r="AM212">
            <v>257979.95700498024</v>
          </cell>
          <cell r="AN212">
            <v>298177.69911221159</v>
          </cell>
          <cell r="AO212">
            <v>334888.38239591353</v>
          </cell>
          <cell r="AP212">
            <v>369493.18332667433</v>
          </cell>
          <cell r="AQ212">
            <v>407915.02296620107</v>
          </cell>
          <cell r="AR212">
            <v>441435.68613513961</v>
          </cell>
          <cell r="AS212">
            <v>473697.0551864311</v>
          </cell>
          <cell r="AW212">
            <v>0</v>
          </cell>
          <cell r="AX212">
            <v>0</v>
          </cell>
          <cell r="AY212">
            <v>0</v>
          </cell>
          <cell r="AZ212">
            <v>0</v>
          </cell>
          <cell r="BA212">
            <v>0</v>
          </cell>
          <cell r="BB212">
            <v>0</v>
          </cell>
          <cell r="BC212">
            <v>-510.59847662519252</v>
          </cell>
          <cell r="BD212">
            <v>-1021.196953250385</v>
          </cell>
          <cell r="BE212">
            <v>-1531.7954298755776</v>
          </cell>
          <cell r="BF212">
            <v>-1021.1969532503851</v>
          </cell>
          <cell r="BG212">
            <v>-510.59847662519263</v>
          </cell>
          <cell r="BH212">
            <v>0</v>
          </cell>
          <cell r="BL212">
            <v>1739.0217495975755</v>
          </cell>
          <cell r="BM212">
            <v>3338.0434991951515</v>
          </cell>
          <cell r="BN212">
            <v>6596.0869983903031</v>
          </cell>
          <cell r="BO212">
            <v>10270.730497585453</v>
          </cell>
          <cell r="BP212">
            <v>15542.69574637818</v>
          </cell>
          <cell r="BQ212">
            <v>20514.660995170907</v>
          </cell>
          <cell r="BR212">
            <v>26597.807001039972</v>
          </cell>
          <cell r="BS212">
            <v>32840.95300690904</v>
          </cell>
          <cell r="BT212">
            <v>40836.370762375678</v>
          </cell>
          <cell r="BU212">
            <v>50607.670502884794</v>
          </cell>
          <cell r="BV212">
            <v>65700.041992991479</v>
          </cell>
          <cell r="BW212">
            <v>78272.413483098164</v>
          </cell>
        </row>
        <row r="213">
          <cell r="AH213">
            <v>42872</v>
          </cell>
          <cell r="AI213">
            <v>80152</v>
          </cell>
          <cell r="AJ213">
            <v>127320</v>
          </cell>
          <cell r="AK213">
            <v>175368</v>
          </cell>
          <cell r="AL213">
            <v>218240</v>
          </cell>
          <cell r="AM213">
            <v>263600</v>
          </cell>
          <cell r="AN213">
            <v>292925.92368148785</v>
          </cell>
          <cell r="AO213">
            <v>323691.84736297571</v>
          </cell>
          <cell r="AP213">
            <v>355737.77104446356</v>
          </cell>
          <cell r="AQ213">
            <v>388083.84736297571</v>
          </cell>
          <cell r="AR213">
            <v>406629.92368148785</v>
          </cell>
          <cell r="AS213">
            <v>421416</v>
          </cell>
          <cell r="AW213">
            <v>16560</v>
          </cell>
          <cell r="AX213">
            <v>30960</v>
          </cell>
          <cell r="AY213">
            <v>46800</v>
          </cell>
          <cell r="AZ213">
            <v>61920</v>
          </cell>
          <cell r="BA213">
            <v>78480</v>
          </cell>
          <cell r="BB213">
            <v>78480</v>
          </cell>
          <cell r="BC213">
            <v>78173.640914024887</v>
          </cell>
          <cell r="BD213">
            <v>77867.281828049774</v>
          </cell>
          <cell r="BE213">
            <v>77560.922742074661</v>
          </cell>
          <cell r="BF213">
            <v>77867.281828049774</v>
          </cell>
          <cell r="BG213">
            <v>78173.640914024887</v>
          </cell>
          <cell r="BH213">
            <v>78480</v>
          </cell>
          <cell r="BL213">
            <v>38957.021960358739</v>
          </cell>
          <cell r="BM213">
            <v>66778.603159987601</v>
          </cell>
          <cell r="BN213">
            <v>103821.72123959588</v>
          </cell>
          <cell r="BO213">
            <v>135789.51420997776</v>
          </cell>
          <cell r="BP213">
            <v>157665.81399094817</v>
          </cell>
          <cell r="BQ213">
            <v>181282.02639078262</v>
          </cell>
          <cell r="BR213">
            <v>216824.18820178643</v>
          </cell>
          <cell r="BS213">
            <v>240882.92672828754</v>
          </cell>
          <cell r="BT213">
            <v>265115.65651667502</v>
          </cell>
          <cell r="BU213">
            <v>297488.26080577704</v>
          </cell>
          <cell r="BV213">
            <v>339952.35828429053</v>
          </cell>
          <cell r="BW213">
            <v>375108.82276357501</v>
          </cell>
        </row>
        <row r="214">
          <cell r="AH214">
            <v>77482.837932202587</v>
          </cell>
          <cell r="AI214">
            <v>151210.73468793457</v>
          </cell>
          <cell r="AJ214">
            <v>237339.63144366659</v>
          </cell>
          <cell r="AK214">
            <v>331582.73996410449</v>
          </cell>
          <cell r="AL214">
            <v>425678.31907277764</v>
          </cell>
          <cell r="AM214">
            <v>521579.95700498024</v>
          </cell>
          <cell r="AN214">
            <v>591103.62279369938</v>
          </cell>
          <cell r="AO214">
            <v>658580.22975888918</v>
          </cell>
          <cell r="AP214">
            <v>725230.95437113789</v>
          </cell>
          <cell r="AQ214">
            <v>795998.87032917677</v>
          </cell>
          <cell r="AR214">
            <v>848065.60981662746</v>
          </cell>
          <cell r="AS214">
            <v>895113.05518643116</v>
          </cell>
          <cell r="AW214">
            <v>16560</v>
          </cell>
          <cell r="AX214">
            <v>30960</v>
          </cell>
          <cell r="AY214">
            <v>46800</v>
          </cell>
          <cell r="AZ214">
            <v>61920</v>
          </cell>
          <cell r="BA214">
            <v>78480</v>
          </cell>
          <cell r="BB214">
            <v>78480</v>
          </cell>
          <cell r="BC214">
            <v>77663.042437399694</v>
          </cell>
          <cell r="BD214">
            <v>76846.084874799388</v>
          </cell>
          <cell r="BE214">
            <v>76029.127312199082</v>
          </cell>
          <cell r="BF214">
            <v>76846.084874799388</v>
          </cell>
          <cell r="BG214">
            <v>77663.042437399694</v>
          </cell>
          <cell r="BH214">
            <v>78480</v>
          </cell>
          <cell r="BL214">
            <v>40696.043709956313</v>
          </cell>
          <cell r="BM214">
            <v>70116.646659182748</v>
          </cell>
          <cell r="BN214">
            <v>110417.80823798617</v>
          </cell>
          <cell r="BO214">
            <v>146060.24470756322</v>
          </cell>
          <cell r="BP214">
            <v>173208.50973732636</v>
          </cell>
          <cell r="BQ214">
            <v>201796.68738595353</v>
          </cell>
          <cell r="BR214">
            <v>243421.99520282639</v>
          </cell>
          <cell r="BS214">
            <v>273723.87973519659</v>
          </cell>
          <cell r="BT214">
            <v>305952.02727905067</v>
          </cell>
          <cell r="BU214">
            <v>348095.93130866182</v>
          </cell>
          <cell r="BV214">
            <v>405652.40027728199</v>
          </cell>
          <cell r="BW214">
            <v>453381.23624667316</v>
          </cell>
        </row>
        <row r="216">
          <cell r="AH216">
            <v>789687.69512690289</v>
          </cell>
          <cell r="AI216">
            <v>1608736.4114302762</v>
          </cell>
          <cell r="AJ216">
            <v>2457650.92773365</v>
          </cell>
          <cell r="AK216">
            <v>3333971.0000096178</v>
          </cell>
          <cell r="AL216">
            <v>4224045.3088973509</v>
          </cell>
          <cell r="AM216">
            <v>5142300.8517615525</v>
          </cell>
          <cell r="AN216">
            <v>5906675.1114393482</v>
          </cell>
          <cell r="AO216">
            <v>6652463.5992802316</v>
          </cell>
          <cell r="AP216">
            <v>7416286.9428696688</v>
          </cell>
          <cell r="AQ216">
            <v>8284457.2065204419</v>
          </cell>
          <cell r="AR216">
            <v>9085208.6466418039</v>
          </cell>
          <cell r="AS216">
            <v>9887244.3408808112</v>
          </cell>
          <cell r="AW216">
            <v>118094.73877325261</v>
          </cell>
          <cell r="AX216">
            <v>278349.47754650528</v>
          </cell>
          <cell r="AY216">
            <v>434664.21631975798</v>
          </cell>
          <cell r="AZ216">
            <v>573681.11949846137</v>
          </cell>
          <cell r="BA216">
            <v>703398.02267716464</v>
          </cell>
          <cell r="BB216">
            <v>865534.92585586803</v>
          </cell>
          <cell r="BC216">
            <v>1064322.1555324697</v>
          </cell>
          <cell r="BD216">
            <v>1275202.0656278308</v>
          </cell>
          <cell r="BE216">
            <v>1478008.7799107863</v>
          </cell>
          <cell r="BF216">
            <v>1671316.491449073</v>
          </cell>
          <cell r="BG216">
            <v>1881624.2029873601</v>
          </cell>
          <cell r="BH216">
            <v>2080931.9145256467</v>
          </cell>
          <cell r="BL216">
            <v>138073.03850018384</v>
          </cell>
          <cell r="BM216">
            <v>273421.51776109758</v>
          </cell>
          <cell r="BN216">
            <v>400889.43839243433</v>
          </cell>
          <cell r="BO216">
            <v>540056.51359024667</v>
          </cell>
          <cell r="BP216">
            <v>679717.76022787299</v>
          </cell>
          <cell r="BQ216">
            <v>807939.09424663533</v>
          </cell>
          <cell r="BR216">
            <v>912277.28529174649</v>
          </cell>
          <cell r="BS216">
            <v>1032101.1298630395</v>
          </cell>
          <cell r="BT216">
            <v>1152621.013839643</v>
          </cell>
          <cell r="BU216">
            <v>1318254.7959428309</v>
          </cell>
          <cell r="BV216">
            <v>1526476.0131070097</v>
          </cell>
          <cell r="BW216">
            <v>1702524.8632704176</v>
          </cell>
        </row>
        <row r="218">
          <cell r="AH218">
            <v>259385.45974488006</v>
          </cell>
          <cell r="AI218">
            <v>484938.03343608003</v>
          </cell>
          <cell r="AJ218">
            <v>733045.8644964</v>
          </cell>
          <cell r="AK218">
            <v>969876.06687215995</v>
          </cell>
          <cell r="AL218">
            <v>1229261.5266170399</v>
          </cell>
          <cell r="AM218">
            <v>1466091.7289928</v>
          </cell>
          <cell r="AN218">
            <v>1714199.5600531199</v>
          </cell>
          <cell r="AO218">
            <v>1973585.0197979999</v>
          </cell>
          <cell r="AP218">
            <v>2199137.5934891999</v>
          </cell>
          <cell r="AQ218">
            <v>2458523.0532340799</v>
          </cell>
          <cell r="AR218">
            <v>2706630.8842944</v>
          </cell>
          <cell r="AS218">
            <v>2943461.0866701598</v>
          </cell>
          <cell r="AW218">
            <v>29440.475630127694</v>
          </cell>
          <cell r="AX218">
            <v>55040.889221543082</v>
          </cell>
          <cell r="AY218">
            <v>83201.344172100013</v>
          </cell>
          <cell r="AZ218">
            <v>110081.77844308616</v>
          </cell>
          <cell r="BA218">
            <v>139522.25407321384</v>
          </cell>
          <cell r="BB218">
            <v>166402.6883442</v>
          </cell>
          <cell r="BC218">
            <v>194563.14329475691</v>
          </cell>
          <cell r="BD218">
            <v>224003.61892488459</v>
          </cell>
          <cell r="BE218">
            <v>249604.03251629998</v>
          </cell>
          <cell r="BF218">
            <v>279044.50814642769</v>
          </cell>
          <cell r="BG218">
            <v>307204.9630969846</v>
          </cell>
          <cell r="BH218">
            <v>334085.39736797079</v>
          </cell>
          <cell r="BL218">
            <v>29949.71493654</v>
          </cell>
          <cell r="BM218">
            <v>55992.945316140002</v>
          </cell>
          <cell r="BN218">
            <v>84640.498733700006</v>
          </cell>
          <cell r="BO218">
            <v>111985.89063228</v>
          </cell>
          <cell r="BP218">
            <v>141935.60556882</v>
          </cell>
          <cell r="BQ218">
            <v>169280.99746739998</v>
          </cell>
          <cell r="BR218">
            <v>197928.55088495999</v>
          </cell>
          <cell r="BS218">
            <v>227878.26582149998</v>
          </cell>
          <cell r="BT218">
            <v>253921.49620109997</v>
          </cell>
          <cell r="BU218">
            <v>283871.21113764</v>
          </cell>
          <cell r="BV218">
            <v>312518.7645552</v>
          </cell>
          <cell r="BW218">
            <v>339864.15645378001</v>
          </cell>
        </row>
        <row r="219">
          <cell r="AH219">
            <v>56311.967011860012</v>
          </cell>
          <cell r="AI219">
            <v>105278.89484826001</v>
          </cell>
          <cell r="AJ219">
            <v>159142.51546830003</v>
          </cell>
          <cell r="AK219">
            <v>210557.78969652002</v>
          </cell>
          <cell r="AL219">
            <v>266869.75670838001</v>
          </cell>
          <cell r="AM219">
            <v>318285.0309366</v>
          </cell>
          <cell r="AN219">
            <v>372148.65155663999</v>
          </cell>
          <cell r="AO219">
            <v>428460.61856849998</v>
          </cell>
          <cell r="AP219">
            <v>477427.54640489997</v>
          </cell>
          <cell r="AQ219">
            <v>533739.51341676002</v>
          </cell>
          <cell r="AR219">
            <v>587603.13403680001</v>
          </cell>
          <cell r="AS219">
            <v>639018.40826502</v>
          </cell>
          <cell r="AW219">
            <v>15869.336687819998</v>
          </cell>
          <cell r="AX219">
            <v>29668.759894619998</v>
          </cell>
          <cell r="AY219">
            <v>44848.125422099998</v>
          </cell>
          <cell r="AZ219">
            <v>59337.519789240003</v>
          </cell>
          <cell r="BA219">
            <v>75206.856477060006</v>
          </cell>
          <cell r="BB219">
            <v>89696.250844200011</v>
          </cell>
          <cell r="BC219">
            <v>104875.61637168001</v>
          </cell>
          <cell r="BD219">
            <v>120744.95305950001</v>
          </cell>
          <cell r="BE219">
            <v>134544.37626630001</v>
          </cell>
          <cell r="BF219">
            <v>150413.71295412001</v>
          </cell>
          <cell r="BG219">
            <v>165593.07848160001</v>
          </cell>
          <cell r="BH219">
            <v>180082.47284874</v>
          </cell>
          <cell r="BL219">
            <v>10735.139124359999</v>
          </cell>
          <cell r="BM219">
            <v>20070.042710759997</v>
          </cell>
          <cell r="BN219">
            <v>30338.436655799997</v>
          </cell>
          <cell r="BO219">
            <v>40140.085421519994</v>
          </cell>
          <cell r="BP219">
            <v>50875.224545879995</v>
          </cell>
          <cell r="BQ219">
            <v>60676.873311599993</v>
          </cell>
          <cell r="BR219">
            <v>70945.26725664</v>
          </cell>
          <cell r="BS219">
            <v>81680.406380999993</v>
          </cell>
          <cell r="BT219">
            <v>91015.309967399997</v>
          </cell>
          <cell r="BU219">
            <v>101750.44909175999</v>
          </cell>
          <cell r="BV219">
            <v>112018.8430368</v>
          </cell>
          <cell r="BW219">
            <v>121820.49180252</v>
          </cell>
        </row>
        <row r="220">
          <cell r="AH220">
            <v>42580.546645602997</v>
          </cell>
          <cell r="AI220">
            <v>86197.623965786624</v>
          </cell>
          <cell r="AJ220">
            <v>131676.81594823868</v>
          </cell>
          <cell r="AK220">
            <v>182460.43334072686</v>
          </cell>
          <cell r="AL220">
            <v>236230.73444705084</v>
          </cell>
          <cell r="AM220">
            <v>290265.11317503458</v>
          </cell>
          <cell r="AN220">
            <v>341451.99257191719</v>
          </cell>
          <cell r="AO220">
            <v>394031.52012307767</v>
          </cell>
          <cell r="AP220">
            <v>444780.81992234325</v>
          </cell>
          <cell r="AQ220">
            <v>493158.37370793725</v>
          </cell>
          <cell r="AR220">
            <v>541235.81601204444</v>
          </cell>
          <cell r="AS220">
            <v>586067.60561393539</v>
          </cell>
          <cell r="AW220">
            <v>14375.502952043633</v>
          </cell>
          <cell r="AX220">
            <v>27147.679432081575</v>
          </cell>
          <cell r="AY220">
            <v>40988.740226789974</v>
          </cell>
          <cell r="AZ220">
            <v>54295.35886416315</v>
          </cell>
          <cell r="BA220">
            <v>68670.861816206787</v>
          </cell>
          <cell r="BB220">
            <v>81977.480453579963</v>
          </cell>
          <cell r="BC220">
            <v>95818.541248288369</v>
          </cell>
          <cell r="BD220">
            <v>110194.04420033201</v>
          </cell>
          <cell r="BE220">
            <v>122966.22068036995</v>
          </cell>
          <cell r="BF220">
            <v>137341.72363241357</v>
          </cell>
          <cell r="BG220">
            <v>151182.78442712198</v>
          </cell>
          <cell r="BH220">
            <v>164489.40306449516</v>
          </cell>
          <cell r="BL220">
            <v>39649.624211312919</v>
          </cell>
          <cell r="BM220">
            <v>74127.55830810676</v>
          </cell>
          <cell r="BN220">
            <v>112053.28581457998</v>
          </cell>
          <cell r="BO220">
            <v>148255.11661621352</v>
          </cell>
          <cell r="BP220">
            <v>187904.74082752643</v>
          </cell>
          <cell r="BQ220">
            <v>224106.57162915997</v>
          </cell>
          <cell r="BR220">
            <v>262032.29913563319</v>
          </cell>
          <cell r="BS220">
            <v>301681.92334694613</v>
          </cell>
          <cell r="BT220">
            <v>336159.85744373995</v>
          </cell>
          <cell r="BU220">
            <v>375809.48165505286</v>
          </cell>
          <cell r="BV220">
            <v>413735.20916152606</v>
          </cell>
          <cell r="BW220">
            <v>449937.03996315959</v>
          </cell>
        </row>
        <row r="221">
          <cell r="AH221">
            <v>28729.947861086919</v>
          </cell>
          <cell r="AI221">
            <v>54000.140100539516</v>
          </cell>
          <cell r="AJ221">
            <v>91679.112427476357</v>
          </cell>
          <cell r="AK221">
            <v>126531.96818435672</v>
          </cell>
          <cell r="AL221">
            <v>158176.58031731477</v>
          </cell>
          <cell r="AM221">
            <v>196725.25217943086</v>
          </cell>
          <cell r="AN221">
            <v>215614.41915187688</v>
          </cell>
          <cell r="AO221">
            <v>234402.79098618485</v>
          </cell>
          <cell r="AP221">
            <v>254829.80127625156</v>
          </cell>
          <cell r="AQ221">
            <v>272500.91421988182</v>
          </cell>
          <cell r="AR221">
            <v>280194.07438510109</v>
          </cell>
          <cell r="AS221">
            <v>287139.46268592041</v>
          </cell>
          <cell r="AW221">
            <v>589.51077898777385</v>
          </cell>
          <cell r="AX221">
            <v>1120.977370240631</v>
          </cell>
          <cell r="AY221">
            <v>1730.3455552154112</v>
          </cell>
          <cell r="AZ221">
            <v>2272.0784167517259</v>
          </cell>
          <cell r="BA221">
            <v>2745.1191376876677</v>
          </cell>
          <cell r="BB221">
            <v>3215.2804218268457</v>
          </cell>
          <cell r="BC221">
            <v>3349.5001887952158</v>
          </cell>
          <cell r="BD221">
            <v>3479.0807006593136</v>
          </cell>
          <cell r="BE221">
            <v>3541.0753664566864</v>
          </cell>
          <cell r="BF221">
            <v>4209.100797143401</v>
          </cell>
          <cell r="BG221">
            <v>4865.3337959240853</v>
          </cell>
          <cell r="BH221">
            <v>5472.5647794536144</v>
          </cell>
          <cell r="BL221">
            <v>344.16921159171727</v>
          </cell>
          <cell r="BM221">
            <v>654.45096422210793</v>
          </cell>
          <cell r="BN221">
            <v>1010.2133612251922</v>
          </cell>
          <cell r="BO221">
            <v>1326.4887856854889</v>
          </cell>
          <cell r="BP221">
            <v>1602.6602447635548</v>
          </cell>
          <cell r="BQ221">
            <v>1877.1506260267722</v>
          </cell>
          <cell r="BR221">
            <v>1794.8055451799148</v>
          </cell>
          <cell r="BS221">
            <v>1709.7519663233147</v>
          </cell>
          <cell r="BT221">
            <v>1585.2403008894269</v>
          </cell>
          <cell r="BU221">
            <v>2135.9535728222663</v>
          </cell>
          <cell r="BV221">
            <v>2679.7821665837987</v>
          </cell>
          <cell r="BW221">
            <v>3195.0023183006347</v>
          </cell>
        </row>
        <row r="222">
          <cell r="AH222">
            <v>55788.408776438737</v>
          </cell>
          <cell r="AI222">
            <v>107080.97784546859</v>
          </cell>
          <cell r="AJ222">
            <v>162535.54916798908</v>
          </cell>
          <cell r="AK222">
            <v>216802.67178022006</v>
          </cell>
          <cell r="AL222">
            <v>273913.11757715215</v>
          </cell>
          <cell r="AM222">
            <v>328833.47766889323</v>
          </cell>
          <cell r="AN222">
            <v>383320.88989385066</v>
          </cell>
          <cell r="AO222">
            <v>439355.27476056671</v>
          </cell>
          <cell r="AP222">
            <v>491101.66991124948</v>
          </cell>
          <cell r="AQ222">
            <v>546219.6038167536</v>
          </cell>
          <cell r="AR222">
            <v>598961.79228289507</v>
          </cell>
          <cell r="AS222">
            <v>649915.11645626021</v>
          </cell>
          <cell r="AW222">
            <v>7821.6521588335017</v>
          </cell>
          <cell r="AX222">
            <v>14869.213475035</v>
          </cell>
          <cell r="AY222">
            <v>22435.700569811921</v>
          </cell>
          <cell r="AZ222">
            <v>29740.628450705281</v>
          </cell>
          <cell r="BA222">
            <v>37553.768736535952</v>
          </cell>
          <cell r="BB222">
            <v>44853.466018358558</v>
          </cell>
          <cell r="BC222">
            <v>52407.617639259064</v>
          </cell>
          <cell r="BD222">
            <v>60218.046498193042</v>
          </cell>
          <cell r="BE222">
            <v>67253.687190347366</v>
          </cell>
          <cell r="BF222">
            <v>75058.688006154174</v>
          </cell>
          <cell r="BG222">
            <v>82606.2107222177</v>
          </cell>
          <cell r="BH222">
            <v>89893.535985141716</v>
          </cell>
          <cell r="BL222">
            <v>10601.74851165992</v>
          </cell>
          <cell r="BM222">
            <v>20128.080917385822</v>
          </cell>
          <cell r="BN222">
            <v>30372.630823432512</v>
          </cell>
          <cell r="BO222">
            <v>40257.140279498431</v>
          </cell>
          <cell r="BP222">
            <v>50855.105736490426</v>
          </cell>
          <cell r="BQ222">
            <v>60737.290481858232</v>
          </cell>
          <cell r="BR222">
            <v>70976.357955070969</v>
          </cell>
          <cell r="BS222">
            <v>81573.118333442209</v>
          </cell>
          <cell r="BT222">
            <v>91094.152684036031</v>
          </cell>
          <cell r="BU222">
            <v>101688.50059879519</v>
          </cell>
          <cell r="BV222">
            <v>111924.62189208037</v>
          </cell>
          <cell r="BW222">
            <v>121801.30796238214</v>
          </cell>
        </row>
        <row r="223">
          <cell r="AH223">
            <v>88556.239093265613</v>
          </cell>
          <cell r="AI223">
            <v>177770.89165940217</v>
          </cell>
          <cell r="AJ223">
            <v>267681.15769840969</v>
          </cell>
          <cell r="AK223">
            <v>359093.05321028817</v>
          </cell>
          <cell r="AL223">
            <v>450746.43419503758</v>
          </cell>
          <cell r="AM223">
            <v>543314.01054414175</v>
          </cell>
          <cell r="AN223">
            <v>636744.37291803956</v>
          </cell>
          <cell r="AO223">
            <v>730303.60265629215</v>
          </cell>
          <cell r="AP223">
            <v>827456.23867373774</v>
          </cell>
          <cell r="AQ223">
            <v>928188.04364949872</v>
          </cell>
          <cell r="AR223">
            <v>1027797.4620981306</v>
          </cell>
          <cell r="AS223">
            <v>1127374.0940196335</v>
          </cell>
          <cell r="AW223">
            <v>15157.965745691225</v>
          </cell>
          <cell r="AX223">
            <v>30325.585701669886</v>
          </cell>
          <cell r="AY223">
            <v>45502.859867935986</v>
          </cell>
          <cell r="AZ223">
            <v>60689.788244489522</v>
          </cell>
          <cell r="BA223">
            <v>75886.370831330496</v>
          </cell>
          <cell r="BB223">
            <v>91131.224469608656</v>
          </cell>
          <cell r="BC223">
            <v>106698.36874056461</v>
          </cell>
          <cell r="BD223">
            <v>122313.78406295774</v>
          </cell>
          <cell r="BE223">
            <v>138363.6388482856</v>
          </cell>
          <cell r="BF223">
            <v>155033.29393406695</v>
          </cell>
          <cell r="BG223">
            <v>171712.60323013575</v>
          </cell>
          <cell r="BH223">
            <v>188401.56673649198</v>
          </cell>
          <cell r="BL223">
            <v>12162.914310002132</v>
          </cell>
          <cell r="BM223">
            <v>24342.627603512537</v>
          </cell>
          <cell r="BN223">
            <v>36539.239880531211</v>
          </cell>
          <cell r="BO223">
            <v>48752.751141058165</v>
          </cell>
          <cell r="BP223">
            <v>60983.161385093394</v>
          </cell>
          <cell r="BQ223">
            <v>73298.066546669987</v>
          </cell>
          <cell r="BR223">
            <v>85901.936384108514</v>
          </cell>
          <cell r="BS223">
            <v>98590.30113908842</v>
          </cell>
          <cell r="BT223">
            <v>112039.1201519406</v>
          </cell>
          <cell r="BU223">
            <v>126572.85390602391</v>
          </cell>
          <cell r="BV223">
            <v>141123.4866436155</v>
          </cell>
          <cell r="BW223">
            <v>155691.01836471536</v>
          </cell>
        </row>
        <row r="224">
          <cell r="AH224">
            <v>531352.56913313433</v>
          </cell>
          <cell r="AI224">
            <v>1015266.561855537</v>
          </cell>
          <cell r="AJ224">
            <v>1545761.0152068138</v>
          </cell>
          <cell r="AK224">
            <v>2065321.9830842717</v>
          </cell>
          <cell r="AL224">
            <v>2615198.1498619751</v>
          </cell>
          <cell r="AM224">
            <v>3143514.6134969001</v>
          </cell>
          <cell r="AN224">
            <v>3663479.8861454446</v>
          </cell>
          <cell r="AO224">
            <v>4200138.8268926209</v>
          </cell>
          <cell r="AP224">
            <v>4694733.6696776822</v>
          </cell>
          <cell r="AQ224">
            <v>5232329.5020449106</v>
          </cell>
          <cell r="AR224">
            <v>5742423.1631093714</v>
          </cell>
          <cell r="AS224">
            <v>6232975.7737109298</v>
          </cell>
          <cell r="AW224">
            <v>83254.443953503811</v>
          </cell>
          <cell r="AX224">
            <v>158173.10509519017</v>
          </cell>
          <cell r="AY224">
            <v>238707.11581395328</v>
          </cell>
          <cell r="AZ224">
            <v>316417.15220843587</v>
          </cell>
          <cell r="BA224">
            <v>399585.23107203475</v>
          </cell>
          <cell r="BB224">
            <v>477276.39055177406</v>
          </cell>
          <cell r="BC224">
            <v>557712.7874833442</v>
          </cell>
          <cell r="BD224">
            <v>640953.5274465268</v>
          </cell>
          <cell r="BE224">
            <v>716273.03086805949</v>
          </cell>
          <cell r="BF224">
            <v>801101.02747032582</v>
          </cell>
          <cell r="BG224">
            <v>883164.97375398409</v>
          </cell>
          <cell r="BH224">
            <v>962424.94078229321</v>
          </cell>
          <cell r="BL224">
            <v>103443.31030546669</v>
          </cell>
          <cell r="BM224">
            <v>195315.70582012724</v>
          </cell>
          <cell r="BN224">
            <v>294954.30526926887</v>
          </cell>
          <cell r="BO224">
            <v>390717.47287625563</v>
          </cell>
          <cell r="BP224">
            <v>494156.49830857379</v>
          </cell>
          <cell r="BQ224">
            <v>589976.95006271498</v>
          </cell>
          <cell r="BR224">
            <v>689579.21716159245</v>
          </cell>
          <cell r="BS224">
            <v>793113.76698830014</v>
          </cell>
          <cell r="BT224">
            <v>885815.17674910615</v>
          </cell>
          <cell r="BU224">
            <v>991828.44996209431</v>
          </cell>
          <cell r="BV224">
            <v>1094000.7074558057</v>
          </cell>
          <cell r="BW224">
            <v>1192309.0168648576</v>
          </cell>
        </row>
        <row r="226">
          <cell r="AH226">
            <v>60516.880881750985</v>
          </cell>
          <cell r="AI226">
            <v>116541.25479171224</v>
          </cell>
          <cell r="AJ226">
            <v>177064.6500349768</v>
          </cell>
          <cell r="AK226">
            <v>237657.73077102593</v>
          </cell>
          <cell r="AL226">
            <v>301224.82323904912</v>
          </cell>
          <cell r="AM226">
            <v>361665.01101614657</v>
          </cell>
          <cell r="AN226">
            <v>425873.32576084515</v>
          </cell>
          <cell r="AO226">
            <v>492313.92443574592</v>
          </cell>
          <cell r="AP226">
            <v>552257.48774007941</v>
          </cell>
          <cell r="AQ226">
            <v>615111.15994404315</v>
          </cell>
          <cell r="AR226">
            <v>675318.88780999382</v>
          </cell>
          <cell r="AS226">
            <v>732144.68470582878</v>
          </cell>
          <cell r="AW226">
            <v>4065.661154292512</v>
          </cell>
          <cell r="AX226">
            <v>7842.0957620019581</v>
          </cell>
          <cell r="AY226">
            <v>11913.593314398138</v>
          </cell>
          <cell r="AZ226">
            <v>16087.271393561872</v>
          </cell>
          <cell r="BA226">
            <v>20601.047966007645</v>
          </cell>
          <cell r="BB226">
            <v>24904.909087193035</v>
          </cell>
          <cell r="BC226">
            <v>29204.982051264589</v>
          </cell>
          <cell r="BD226">
            <v>33671.071787375302</v>
          </cell>
          <cell r="BE226">
            <v>37733.130076086411</v>
          </cell>
          <cell r="BF226">
            <v>42030.943623685962</v>
          </cell>
          <cell r="BG226">
            <v>46206.49314911179</v>
          </cell>
          <cell r="BH226">
            <v>50141.81874176459</v>
          </cell>
          <cell r="BL226">
            <v>4506.3281898593359</v>
          </cell>
          <cell r="BM226">
            <v>8692.0812775002141</v>
          </cell>
          <cell r="BN226">
            <v>13204.878458331419</v>
          </cell>
          <cell r="BO226">
            <v>17830.931262480164</v>
          </cell>
          <cell r="BP226">
            <v>22833.945001011605</v>
          </cell>
          <cell r="BQ226">
            <v>27604.291067643488</v>
          </cell>
          <cell r="BR226">
            <v>32370.43838810793</v>
          </cell>
          <cell r="BS226">
            <v>37320.596631135275</v>
          </cell>
          <cell r="BT226">
            <v>41822.931449654105</v>
          </cell>
          <cell r="BU226">
            <v>46586.57446103965</v>
          </cell>
          <cell r="BV226">
            <v>51214.701552918392</v>
          </cell>
          <cell r="BW226">
            <v>55576.567429449409</v>
          </cell>
        </row>
        <row r="227">
          <cell r="AH227">
            <v>7218.1094996746315</v>
          </cell>
          <cell r="AI227">
            <v>13947.450978585588</v>
          </cell>
          <cell r="AJ227">
            <v>21141.759348075851</v>
          </cell>
          <cell r="AK227">
            <v>28318.109917024314</v>
          </cell>
          <cell r="AL227">
            <v>35818.363988429126</v>
          </cell>
          <cell r="AM227">
            <v>42980.571958674554</v>
          </cell>
          <cell r="AN227">
            <v>50515.735382047467</v>
          </cell>
          <cell r="AO227">
            <v>58281.788777588459</v>
          </cell>
          <cell r="AP227">
            <v>65373.655275478843</v>
          </cell>
          <cell r="AQ227">
            <v>72807.917972458163</v>
          </cell>
          <cell r="AR227">
            <v>79973.027109546878</v>
          </cell>
          <cell r="AS227">
            <v>86800.903923275531</v>
          </cell>
          <cell r="AW227">
            <v>470.86570547716497</v>
          </cell>
          <cell r="AX227">
            <v>909.27375525940647</v>
          </cell>
          <cell r="AY227">
            <v>1378.7779275158309</v>
          </cell>
          <cell r="AZ227">
            <v>1855.8323984529243</v>
          </cell>
          <cell r="BA227">
            <v>2368.1487801092662</v>
          </cell>
          <cell r="BB227">
            <v>2857.2451824333625</v>
          </cell>
          <cell r="BC227">
            <v>3347.892580269759</v>
          </cell>
          <cell r="BD227">
            <v>3855.7979295651076</v>
          </cell>
          <cell r="BE227">
            <v>4320.6261698400031</v>
          </cell>
          <cell r="BF227">
            <v>4812.9659716980696</v>
          </cell>
          <cell r="BG227">
            <v>5292.094951459736</v>
          </cell>
          <cell r="BH227">
            <v>5747.1018173945677</v>
          </cell>
          <cell r="BL227">
            <v>521.90168381088097</v>
          </cell>
          <cell r="BM227">
            <v>1007.8277062756717</v>
          </cell>
          <cell r="BN227">
            <v>1528.2202836211563</v>
          </cell>
          <cell r="BO227">
            <v>2056.9815179932193</v>
          </cell>
          <cell r="BP227">
            <v>2624.8266150562704</v>
          </cell>
          <cell r="BQ227">
            <v>3166.9349762080237</v>
          </cell>
          <cell r="BR227">
            <v>3710.7624414695829</v>
          </cell>
          <cell r="BS227">
            <v>4273.7184051985041</v>
          </cell>
          <cell r="BT227">
            <v>4788.9282377695054</v>
          </cell>
          <cell r="BU227">
            <v>5334.6315425715611</v>
          </cell>
          <cell r="BV227">
            <v>5865.6921366889428</v>
          </cell>
          <cell r="BW227">
            <v>6370.016080256366</v>
          </cell>
        </row>
        <row r="228">
          <cell r="AH228">
            <v>23239.107810558584</v>
          </cell>
          <cell r="AI228">
            <v>55419.287695851279</v>
          </cell>
          <cell r="AJ228">
            <v>76423.127487726335</v>
          </cell>
          <cell r="AK228">
            <v>97426.967279601391</v>
          </cell>
          <cell r="AL228">
            <v>118430.80707147645</v>
          </cell>
          <cell r="AM228">
            <v>139434.64686335152</v>
          </cell>
          <cell r="AN228">
            <v>165875.71893808563</v>
          </cell>
          <cell r="AO228">
            <v>192316.79101281974</v>
          </cell>
          <cell r="AP228">
            <v>218757.86308755385</v>
          </cell>
          <cell r="AQ228">
            <v>245198.93516228796</v>
          </cell>
          <cell r="AR228">
            <v>271640.0072370221</v>
          </cell>
          <cell r="AS228">
            <v>306963.44530241448</v>
          </cell>
          <cell r="AW228">
            <v>1149.2371926166009</v>
          </cell>
          <cell r="AX228">
            <v>3410.6394103460416</v>
          </cell>
          <cell r="AY228">
            <v>4281.8353466844328</v>
          </cell>
          <cell r="AZ228">
            <v>5153.031283022824</v>
          </cell>
          <cell r="BA228">
            <v>6024.2272193612152</v>
          </cell>
          <cell r="BB228">
            <v>6895.4231556996065</v>
          </cell>
          <cell r="BC228">
            <v>8007.5881808124459</v>
          </cell>
          <cell r="BD228">
            <v>9119.7532059252844</v>
          </cell>
          <cell r="BE228">
            <v>10231.918231038124</v>
          </cell>
          <cell r="BF228">
            <v>11344.083256150963</v>
          </cell>
          <cell r="BG228">
            <v>12456.248281263803</v>
          </cell>
          <cell r="BH228">
            <v>13429.392678237537</v>
          </cell>
          <cell r="BL228">
            <v>2011.6549968248162</v>
          </cell>
          <cell r="BM228">
            <v>5970.0728938026805</v>
          </cell>
          <cell r="BN228">
            <v>7495.037165589235</v>
          </cell>
          <cell r="BO228">
            <v>9020.0014373757895</v>
          </cell>
          <cell r="BP228">
            <v>10544.965709162343</v>
          </cell>
          <cell r="BQ228">
            <v>12069.929980948897</v>
          </cell>
          <cell r="BR228">
            <v>14016.692881101944</v>
          </cell>
          <cell r="BS228">
            <v>15963.455781254992</v>
          </cell>
          <cell r="BT228">
            <v>17910.218681408041</v>
          </cell>
          <cell r="BU228">
            <v>19856.981581561089</v>
          </cell>
          <cell r="BV228">
            <v>21803.744481714137</v>
          </cell>
          <cell r="BW228">
            <v>23507.162019348052</v>
          </cell>
        </row>
        <row r="229">
          <cell r="AH229">
            <v>90974.098191984202</v>
          </cell>
          <cell r="AI229">
            <v>185907.99346614911</v>
          </cell>
          <cell r="AJ229">
            <v>274629.536870779</v>
          </cell>
          <cell r="AK229">
            <v>363402.80796765164</v>
          </cell>
          <cell r="AL229">
            <v>455473.99429895473</v>
          </cell>
          <cell r="AM229">
            <v>544080.22983817267</v>
          </cell>
          <cell r="AN229">
            <v>642264.78008097829</v>
          </cell>
          <cell r="AO229">
            <v>742912.50422615407</v>
          </cell>
          <cell r="AP229">
            <v>836389.00610311213</v>
          </cell>
          <cell r="AQ229">
            <v>933118.01307878923</v>
          </cell>
          <cell r="AR229">
            <v>1026931.9221565628</v>
          </cell>
          <cell r="AS229">
            <v>1125909.0339315189</v>
          </cell>
          <cell r="AW229">
            <v>5685.7640523862774</v>
          </cell>
          <cell r="AX229">
            <v>12162.008927607407</v>
          </cell>
          <cell r="AY229">
            <v>17574.206588598405</v>
          </cell>
          <cell r="AZ229">
            <v>23096.135075037622</v>
          </cell>
          <cell r="BA229">
            <v>28993.423965478127</v>
          </cell>
          <cell r="BB229">
            <v>34657.577425326002</v>
          </cell>
          <cell r="BC229">
            <v>40560.462812346792</v>
          </cell>
          <cell r="BD229">
            <v>46646.622922865696</v>
          </cell>
          <cell r="BE229">
            <v>52285.674476964537</v>
          </cell>
          <cell r="BF229">
            <v>58187.992851534989</v>
          </cell>
          <cell r="BG229">
            <v>63954.836381835332</v>
          </cell>
          <cell r="BH229">
            <v>69318.313237396695</v>
          </cell>
          <cell r="BL229">
            <v>7039.8848704950333</v>
          </cell>
          <cell r="BM229">
            <v>15669.981877578566</v>
          </cell>
          <cell r="BN229">
            <v>22228.135907541811</v>
          </cell>
          <cell r="BO229">
            <v>28907.914217849175</v>
          </cell>
          <cell r="BP229">
            <v>36003.73732523022</v>
          </cell>
          <cell r="BQ229">
            <v>42841.15602480041</v>
          </cell>
          <cell r="BR229">
            <v>50097.893710679462</v>
          </cell>
          <cell r="BS229">
            <v>57557.770817588767</v>
          </cell>
          <cell r="BT229">
            <v>64522.078368831651</v>
          </cell>
          <cell r="BU229">
            <v>71778.187585172302</v>
          </cell>
          <cell r="BV229">
            <v>78884.13817132148</v>
          </cell>
          <cell r="BW229">
            <v>85453.74552905382</v>
          </cell>
        </row>
        <row r="231">
          <cell r="AH231">
            <v>56942.621598597842</v>
          </cell>
          <cell r="AI231">
            <v>109796.54745456956</v>
          </cell>
          <cell r="AJ231">
            <v>166527.25775803896</v>
          </cell>
          <cell r="AK231">
            <v>224130.61443962602</v>
          </cell>
          <cell r="AL231">
            <v>286117.72626298398</v>
          </cell>
          <cell r="AM231">
            <v>345186.56941592286</v>
          </cell>
          <cell r="AN231">
            <v>404490.38116403524</v>
          </cell>
          <cell r="AO231">
            <v>465940.67642184562</v>
          </cell>
          <cell r="AP231">
            <v>522009.90308739606</v>
          </cell>
          <cell r="AQ231">
            <v>581565.89265159133</v>
          </cell>
          <cell r="AR231">
            <v>639467.9287777209</v>
          </cell>
          <cell r="AS231">
            <v>694388.12228405545</v>
          </cell>
          <cell r="AW231">
            <v>7410.5029513227837</v>
          </cell>
          <cell r="AX231">
            <v>14288.903744066029</v>
          </cell>
          <cell r="AY231">
            <v>21671.828595998904</v>
          </cell>
          <cell r="AZ231">
            <v>29168.319497034467</v>
          </cell>
          <cell r="BA231">
            <v>37235.311535951776</v>
          </cell>
          <cell r="BB231">
            <v>44922.520593549067</v>
          </cell>
          <cell r="BC231">
            <v>52640.308423586364</v>
          </cell>
          <cell r="BD231">
            <v>60637.439247272807</v>
          </cell>
          <cell r="BE231">
            <v>67934.27873268348</v>
          </cell>
          <cell r="BF231">
            <v>75684.884940201082</v>
          </cell>
          <cell r="BG231">
            <v>83220.245932622391</v>
          </cell>
          <cell r="BH231">
            <v>90367.55044091944</v>
          </cell>
          <cell r="BL231">
            <v>8213.7091811805858</v>
          </cell>
          <cell r="BM231">
            <v>15837.642956567612</v>
          </cell>
          <cell r="BN231">
            <v>24020.784915840817</v>
          </cell>
          <cell r="BO231">
            <v>32329.802069593046</v>
          </cell>
          <cell r="BP231">
            <v>41271.15557957827</v>
          </cell>
          <cell r="BQ231">
            <v>49791.562362868295</v>
          </cell>
          <cell r="BR231">
            <v>58345.862276704196</v>
          </cell>
          <cell r="BS231">
            <v>67209.782485775911</v>
          </cell>
          <cell r="BT231">
            <v>75297.508496899143</v>
          </cell>
          <cell r="BU231">
            <v>83888.183891615627</v>
          </cell>
          <cell r="BV231">
            <v>92240.284170573475</v>
          </cell>
          <cell r="BW231">
            <v>100162.26747536573</v>
          </cell>
        </row>
        <row r="232">
          <cell r="AH232">
            <v>7611.1604483099945</v>
          </cell>
          <cell r="AI232">
            <v>14762.954757110259</v>
          </cell>
          <cell r="AJ232">
            <v>22333.30926024769</v>
          </cell>
          <cell r="AK232">
            <v>29950.124770307557</v>
          </cell>
          <cell r="AL232">
            <v>38010.522276679272</v>
          </cell>
          <cell r="AM232">
            <v>45752.216219096743</v>
          </cell>
          <cell r="AN232">
            <v>53535.397853433533</v>
          </cell>
          <cell r="AO232">
            <v>61540.604035692792</v>
          </cell>
          <cell r="AP232">
            <v>68965.475896185439</v>
          </cell>
          <cell r="AQ232">
            <v>76784.376623369826</v>
          </cell>
          <cell r="AR232">
            <v>84424.36009181416</v>
          </cell>
          <cell r="AS232">
            <v>91757.044577250737</v>
          </cell>
          <cell r="AW232">
            <v>990.51510769538072</v>
          </cell>
          <cell r="AX232">
            <v>1921.2483852430178</v>
          </cell>
          <cell r="AY232">
            <v>2906.4530142733233</v>
          </cell>
          <cell r="AZ232">
            <v>3897.7040707292431</v>
          </cell>
          <cell r="BA232">
            <v>4946.6828116601537</v>
          </cell>
          <cell r="BB232">
            <v>5954.1855257595525</v>
          </cell>
          <cell r="BC232">
            <v>6967.0874409280377</v>
          </cell>
          <cell r="BD232">
            <v>8008.8835924603436</v>
          </cell>
          <cell r="BE232">
            <v>8975.1551354749536</v>
          </cell>
          <cell r="BF232">
            <v>9992.705527224507</v>
          </cell>
          <cell r="BG232">
            <v>10986.971657787737</v>
          </cell>
          <cell r="BH232">
            <v>11941.245951716357</v>
          </cell>
          <cell r="BL232">
            <v>1097.8746095396095</v>
          </cell>
          <cell r="BM232">
            <v>2129.4877830636447</v>
          </cell>
          <cell r="BN232">
            <v>3221.4763241873438</v>
          </cell>
          <cell r="BO232">
            <v>4320.1666501676627</v>
          </cell>
          <cell r="BP232">
            <v>5482.8416226821128</v>
          </cell>
          <cell r="BQ232">
            <v>6599.5450835970614</v>
          </cell>
          <cell r="BR232">
            <v>7722.2329517355811</v>
          </cell>
          <cell r="BS232">
            <v>8876.9468316122584</v>
          </cell>
          <cell r="BT232">
            <v>9947.9501759879513</v>
          </cell>
          <cell r="BU232">
            <v>11075.790357677011</v>
          </cell>
          <cell r="BV232">
            <v>12177.822554248276</v>
          </cell>
          <cell r="BW232">
            <v>13235.528297150249</v>
          </cell>
        </row>
        <row r="233">
          <cell r="AH233">
            <v>21518.765255173865</v>
          </cell>
          <cell r="AI233">
            <v>41819.288487469952</v>
          </cell>
          <cell r="AJ233">
            <v>62119.811719766039</v>
          </cell>
          <cell r="AK233">
            <v>83638.576974939904</v>
          </cell>
          <cell r="AL233">
            <v>103939.100207236</v>
          </cell>
          <cell r="AM233">
            <v>124239.62343953209</v>
          </cell>
          <cell r="AN233">
            <v>152336.895618246</v>
          </cell>
          <cell r="AO233">
            <v>178809.84509978953</v>
          </cell>
          <cell r="AP233">
            <v>202440.2298612849</v>
          </cell>
          <cell r="AQ233">
            <v>227288.85664565803</v>
          </cell>
          <cell r="AR233">
            <v>250919.2414071534</v>
          </cell>
          <cell r="AS233">
            <v>285919.88504884142</v>
          </cell>
          <cell r="AW233">
            <v>2193.2389031597759</v>
          </cell>
          <cell r="AX233">
            <v>4256.4356630323755</v>
          </cell>
          <cell r="AY233">
            <v>6319.632422904976</v>
          </cell>
          <cell r="AZ233">
            <v>8512.8713260647528</v>
          </cell>
          <cell r="BA233">
            <v>10576.06808593735</v>
          </cell>
          <cell r="BB233">
            <v>12639.264845809948</v>
          </cell>
          <cell r="BC233">
            <v>15534.731322720476</v>
          </cell>
          <cell r="BD233">
            <v>18256.808275248102</v>
          </cell>
          <cell r="BE233">
            <v>20675.453560105652</v>
          </cell>
          <cell r="BF233">
            <v>23224.140988250376</v>
          </cell>
          <cell r="BG233">
            <v>25642.786273107926</v>
          </cell>
          <cell r="BH233">
            <v>29275.158228645789</v>
          </cell>
          <cell r="BL233">
            <v>3887.9958416663594</v>
          </cell>
          <cell r="BM233">
            <v>7624.2758494976761</v>
          </cell>
          <cell r="BN233">
            <v>11360.555857328993</v>
          </cell>
          <cell r="BO233">
            <v>15248.551698995352</v>
          </cell>
          <cell r="BP233">
            <v>18984.83170682667</v>
          </cell>
          <cell r="BQ233">
            <v>22721.111714657989</v>
          </cell>
          <cell r="BR233">
            <v>27428.373059033554</v>
          </cell>
          <cell r="BS233">
            <v>31933.346624962403</v>
          </cell>
          <cell r="BT233">
            <v>36084.316578609491</v>
          </cell>
          <cell r="BU233">
            <v>40387.002366091619</v>
          </cell>
          <cell r="BV233">
            <v>44537.972319738707</v>
          </cell>
          <cell r="BW233">
            <v>50104.956722512827</v>
          </cell>
        </row>
        <row r="234">
          <cell r="AH234">
            <v>86072.547302081701</v>
          </cell>
          <cell r="AI234">
            <v>166378.79069914977</v>
          </cell>
          <cell r="AJ234">
            <v>250980.37873805268</v>
          </cell>
          <cell r="AK234">
            <v>337719.31618487346</v>
          </cell>
          <cell r="AL234">
            <v>428067.34874689928</v>
          </cell>
          <cell r="AM234">
            <v>515178.40907455166</v>
          </cell>
          <cell r="AN234">
            <v>610362.67463571485</v>
          </cell>
          <cell r="AO234">
            <v>706291.12555732799</v>
          </cell>
          <cell r="AP234">
            <v>793415.60884486628</v>
          </cell>
          <cell r="AQ234">
            <v>885639.12592061923</v>
          </cell>
          <cell r="AR234">
            <v>974811.53027668851</v>
          </cell>
          <cell r="AS234">
            <v>1072065.0519101475</v>
          </cell>
          <cell r="AW234">
            <v>10594.25696217794</v>
          </cell>
          <cell r="AX234">
            <v>20466.587792341423</v>
          </cell>
          <cell r="AY234">
            <v>30897.914033177203</v>
          </cell>
          <cell r="AZ234">
            <v>41578.894893828459</v>
          </cell>
          <cell r="BA234">
            <v>52758.062433549276</v>
          </cell>
          <cell r="BB234">
            <v>63515.970965118569</v>
          </cell>
          <cell r="BC234">
            <v>75142.127187234873</v>
          </cell>
          <cell r="BD234">
            <v>86903.131114981254</v>
          </cell>
          <cell r="BE234">
            <v>97584.88742826409</v>
          </cell>
          <cell r="BF234">
            <v>108901.73145567597</v>
          </cell>
          <cell r="BG234">
            <v>119850.00386351805</v>
          </cell>
          <cell r="BH234">
            <v>131583.95462128159</v>
          </cell>
          <cell r="BL234">
            <v>13199.579632386554</v>
          </cell>
          <cell r="BM234">
            <v>25591.406589128932</v>
          </cell>
          <cell r="BN234">
            <v>38602.817097357154</v>
          </cell>
          <cell r="BO234">
            <v>51898.520418756067</v>
          </cell>
          <cell r="BP234">
            <v>65738.828909087053</v>
          </cell>
          <cell r="BQ234">
            <v>79112.219161123343</v>
          </cell>
          <cell r="BR234">
            <v>93496.468287473341</v>
          </cell>
          <cell r="BS234">
            <v>108020.07594235058</v>
          </cell>
          <cell r="BT234">
            <v>121329.77525149658</v>
          </cell>
          <cell r="BU234">
            <v>135350.97661538425</v>
          </cell>
          <cell r="BV234">
            <v>148956.07904456047</v>
          </cell>
          <cell r="BW234">
            <v>163502.75249502881</v>
          </cell>
        </row>
        <row r="237">
          <cell r="AH237">
            <v>81288.480499702666</v>
          </cell>
          <cell r="AI237">
            <v>241183.06540944037</v>
          </cell>
          <cell r="AJ237">
            <v>386279.99691800447</v>
          </cell>
          <cell r="AK237">
            <v>567526.89277282101</v>
          </cell>
          <cell r="AL237">
            <v>725305.8159895218</v>
          </cell>
          <cell r="AM237">
            <v>939527.5993519281</v>
          </cell>
          <cell r="AN237">
            <v>990567.77057721047</v>
          </cell>
          <cell r="AO237">
            <v>1003121.1426041286</v>
          </cell>
          <cell r="AP237">
            <v>1091748.6582440082</v>
          </cell>
          <cell r="AQ237">
            <v>1233370.5654761228</v>
          </cell>
          <cell r="AR237">
            <v>1341042.0310991809</v>
          </cell>
          <cell r="AS237">
            <v>1456294.481328215</v>
          </cell>
          <cell r="AW237">
            <v>18560.273805184581</v>
          </cell>
          <cell r="AX237">
            <v>87547.775731366273</v>
          </cell>
          <cell r="AY237">
            <v>147484.9798840291</v>
          </cell>
          <cell r="AZ237">
            <v>192588.93732115941</v>
          </cell>
          <cell r="BA237">
            <v>222061.30520610249</v>
          </cell>
          <cell r="BB237">
            <v>290084.98691364942</v>
          </cell>
          <cell r="BC237">
            <v>390906.77804954385</v>
          </cell>
          <cell r="BD237">
            <v>500698.78414345707</v>
          </cell>
          <cell r="BE237">
            <v>611865.18713749817</v>
          </cell>
          <cell r="BF237">
            <v>703125.73967153626</v>
          </cell>
          <cell r="BG237">
            <v>814654.38898802269</v>
          </cell>
          <cell r="BH237">
            <v>917604.70588467515</v>
          </cell>
          <cell r="BL237">
            <v>14390.263691835571</v>
          </cell>
          <cell r="BM237">
            <v>36844.423474262832</v>
          </cell>
          <cell r="BN237">
            <v>45104.180118266493</v>
          </cell>
          <cell r="BO237">
            <v>68532.606077385804</v>
          </cell>
          <cell r="BP237">
            <v>83818.69568498194</v>
          </cell>
          <cell r="BQ237">
            <v>96008.768997996594</v>
          </cell>
          <cell r="BR237">
            <v>79103.706132001244</v>
          </cell>
          <cell r="BS237">
            <v>73409.516114799975</v>
          </cell>
          <cell r="BT237">
            <v>80953.983470208594</v>
          </cell>
          <cell r="BU237">
            <v>119297.18178017999</v>
          </cell>
          <cell r="BV237">
            <v>204635.08843532202</v>
          </cell>
          <cell r="BW237">
            <v>261259.34838147726</v>
          </cell>
        </row>
        <row r="239">
          <cell r="AH239">
            <v>20444.795883110324</v>
          </cell>
          <cell r="AI239">
            <v>37947.666455070066</v>
          </cell>
          <cell r="AJ239">
            <v>58173.359276759111</v>
          </cell>
          <cell r="AK239">
            <v>77506.789802025625</v>
          </cell>
          <cell r="AL239">
            <v>98262.798752310278</v>
          </cell>
          <cell r="AM239">
            <v>117686.01517045169</v>
          </cell>
          <cell r="AN239">
            <v>137065.26186944533</v>
          </cell>
          <cell r="AO239">
            <v>157332.55837407877</v>
          </cell>
          <cell r="AP239">
            <v>175084.85964024151</v>
          </cell>
          <cell r="AQ239">
            <v>194821.39645982356</v>
          </cell>
          <cell r="AR239">
            <v>212774.53774695384</v>
          </cell>
          <cell r="AS239">
            <v>229984.97503990584</v>
          </cell>
          <cell r="AW239">
            <v>-33677.668233452539</v>
          </cell>
          <cell r="AX239">
            <v>-65082.51229964372</v>
          </cell>
          <cell r="AY239">
            <v>-99621.420217009116</v>
          </cell>
          <cell r="AZ239">
            <v>-134189.36583795198</v>
          </cell>
          <cell r="BA239">
            <v>-170240.75057024651</v>
          </cell>
          <cell r="BB239">
            <v>-205429.54391428703</v>
          </cell>
          <cell r="BC239">
            <v>-239669.16296362286</v>
          </cell>
          <cell r="BD239">
            <v>-274694.13525026618</v>
          </cell>
          <cell r="BE239">
            <v>-307215.0111545496</v>
          </cell>
          <cell r="BF239">
            <v>-340533.02375614154</v>
          </cell>
          <cell r="BG239">
            <v>-371348.53968139249</v>
          </cell>
          <cell r="BH239">
            <v>-401270.45275635435</v>
          </cell>
          <cell r="BL239">
            <v>-2093.2276496577801</v>
          </cell>
          <cell r="BM239">
            <v>-4046.3541554263375</v>
          </cell>
          <cell r="BN239">
            <v>-6029.339059749982</v>
          </cell>
          <cell r="BO239">
            <v>-8220.6239640736258</v>
          </cell>
          <cell r="BP239">
            <v>-10331.848182063735</v>
          </cell>
          <cell r="BQ239">
            <v>-12342.971256164623</v>
          </cell>
          <cell r="BR239">
            <v>-14359.448905822403</v>
          </cell>
          <cell r="BS239">
            <v>-16415.623123812511</v>
          </cell>
          <cell r="BT239">
            <v>-18481.898485691843</v>
          </cell>
          <cell r="BU239">
            <v>-20676.872703681955</v>
          </cell>
          <cell r="BV239">
            <v>-23451.948065561286</v>
          </cell>
          <cell r="BW239">
            <v>-25806.922283551397</v>
          </cell>
        </row>
        <row r="241">
          <cell r="AH241">
            <v>101733.276382813</v>
          </cell>
          <cell r="AI241">
            <v>279130.73186451045</v>
          </cell>
          <cell r="AJ241">
            <v>444453.35619476356</v>
          </cell>
          <cell r="AK241">
            <v>645033.68257484667</v>
          </cell>
          <cell r="AL241">
            <v>823568.61474183202</v>
          </cell>
          <cell r="AM241">
            <v>1057213.6145223798</v>
          </cell>
          <cell r="AN241">
            <v>1127633.0324466559</v>
          </cell>
          <cell r="AO241">
            <v>1160453.7009782074</v>
          </cell>
          <cell r="AP241">
            <v>1266833.5178842498</v>
          </cell>
          <cell r="AQ241">
            <v>1428191.9619359463</v>
          </cell>
          <cell r="AR241">
            <v>1553816.5688461347</v>
          </cell>
          <cell r="AS241">
            <v>1686279.4563681209</v>
          </cell>
          <cell r="AW241">
            <v>-15117.394428267959</v>
          </cell>
          <cell r="AX241">
            <v>22465.263431722553</v>
          </cell>
          <cell r="AY241">
            <v>47863.559667019988</v>
          </cell>
          <cell r="AZ241">
            <v>58399.57148320743</v>
          </cell>
          <cell r="BA241">
            <v>51820.55463585598</v>
          </cell>
          <cell r="BB241">
            <v>84655.442999362393</v>
          </cell>
          <cell r="BC241">
            <v>151237.61508592099</v>
          </cell>
          <cell r="BD241">
            <v>226004.6488931909</v>
          </cell>
          <cell r="BE241">
            <v>304650.17598294857</v>
          </cell>
          <cell r="BF241">
            <v>362592.71591539471</v>
          </cell>
          <cell r="BG241">
            <v>443305.8493066302</v>
          </cell>
          <cell r="BH241">
            <v>516334.25312832079</v>
          </cell>
          <cell r="BL241">
            <v>12297.036042177791</v>
          </cell>
          <cell r="BM241">
            <v>32798.069318836497</v>
          </cell>
          <cell r="BN241">
            <v>39074.841058516511</v>
          </cell>
          <cell r="BO241">
            <v>60311.98211331218</v>
          </cell>
          <cell r="BP241">
            <v>73486.847502918201</v>
          </cell>
          <cell r="BQ241">
            <v>83665.797741831979</v>
          </cell>
          <cell r="BR241">
            <v>64744.257226178845</v>
          </cell>
          <cell r="BS241">
            <v>56993.892990987464</v>
          </cell>
          <cell r="BT241">
            <v>62472.084984516754</v>
          </cell>
          <cell r="BU241">
            <v>98620.30907649803</v>
          </cell>
          <cell r="BV241">
            <v>181183.14036976075</v>
          </cell>
          <cell r="BW241">
            <v>235452.42609792587</v>
          </cell>
        </row>
        <row r="243">
          <cell r="AH243">
            <v>0</v>
          </cell>
          <cell r="AI243">
            <v>0</v>
          </cell>
          <cell r="AJ243">
            <v>0</v>
          </cell>
          <cell r="AK243">
            <v>0</v>
          </cell>
          <cell r="AL243">
            <v>0</v>
          </cell>
          <cell r="AM243">
            <v>0</v>
          </cell>
          <cell r="AN243">
            <v>0</v>
          </cell>
          <cell r="AO243">
            <v>0</v>
          </cell>
          <cell r="AP243">
            <v>0</v>
          </cell>
          <cell r="AQ243">
            <v>0</v>
          </cell>
          <cell r="AR243">
            <v>0</v>
          </cell>
          <cell r="AS243">
            <v>0</v>
          </cell>
          <cell r="AW243">
            <v>0</v>
          </cell>
          <cell r="AX243">
            <v>0</v>
          </cell>
          <cell r="AY243">
            <v>0</v>
          </cell>
          <cell r="AZ243">
            <v>0</v>
          </cell>
          <cell r="BA243">
            <v>0</v>
          </cell>
          <cell r="BB243">
            <v>0</v>
          </cell>
          <cell r="BC243">
            <v>0</v>
          </cell>
          <cell r="BD243">
            <v>0</v>
          </cell>
          <cell r="BE243">
            <v>0</v>
          </cell>
          <cell r="BF243">
            <v>0</v>
          </cell>
          <cell r="BG243">
            <v>0</v>
          </cell>
          <cell r="BH243">
            <v>0</v>
          </cell>
          <cell r="BL243">
            <v>0</v>
          </cell>
          <cell r="BM243">
            <v>0</v>
          </cell>
          <cell r="BN243">
            <v>0</v>
          </cell>
          <cell r="BO243">
            <v>0</v>
          </cell>
          <cell r="BP243">
            <v>0</v>
          </cell>
          <cell r="BQ243">
            <v>0</v>
          </cell>
          <cell r="BR243">
            <v>0</v>
          </cell>
          <cell r="BS243">
            <v>0</v>
          </cell>
          <cell r="BT243">
            <v>0</v>
          </cell>
          <cell r="BU243">
            <v>0</v>
          </cell>
          <cell r="BV243">
            <v>0</v>
          </cell>
          <cell r="BW243">
            <v>0</v>
          </cell>
        </row>
        <row r="244">
          <cell r="AH244">
            <v>30692.209581344679</v>
          </cell>
          <cell r="AI244">
            <v>98665.914960593451</v>
          </cell>
          <cell r="AJ244">
            <v>159939.97809077968</v>
          </cell>
          <cell r="AK244">
            <v>234156.5809138109</v>
          </cell>
          <cell r="AL244">
            <v>297542.9600577876</v>
          </cell>
          <cell r="AM244">
            <v>386015.1555815771</v>
          </cell>
          <cell r="AN244">
            <v>413735.27507237619</v>
          </cell>
          <cell r="AO244">
            <v>427302.90916118654</v>
          </cell>
          <cell r="AP244">
            <v>469493.26322866685</v>
          </cell>
          <cell r="AQ244">
            <v>528694.80699408066</v>
          </cell>
          <cell r="AR244">
            <v>576525.89117843378</v>
          </cell>
          <cell r="AS244">
            <v>625905.91534827161</v>
          </cell>
          <cell r="AW244">
            <v>-12615.068014750561</v>
          </cell>
          <cell r="AX244">
            <v>-10157.95570728344</v>
          </cell>
          <cell r="AY244">
            <v>-11075.716535409829</v>
          </cell>
          <cell r="AZ244">
            <v>-16671.431257107201</v>
          </cell>
          <cell r="BA244">
            <v>-27590.231108492542</v>
          </cell>
          <cell r="BB244">
            <v>-24922.198452439741</v>
          </cell>
          <cell r="BC244">
            <v>-14701.082885897897</v>
          </cell>
          <cell r="BD244">
            <v>-2484.7112922135402</v>
          </cell>
          <cell r="BE244">
            <v>11409.557619639998</v>
          </cell>
          <cell r="BF244">
            <v>21480.340871503828</v>
          </cell>
          <cell r="BG244">
            <v>37478.407448074533</v>
          </cell>
          <cell r="BH244">
            <v>51482.954537163387</v>
          </cell>
          <cell r="BL244">
            <v>3105.7937009511634</v>
          </cell>
          <cell r="BM244">
            <v>9544.5239055352649</v>
          </cell>
          <cell r="BN244">
            <v>10137.192115286445</v>
          </cell>
          <cell r="BO244">
            <v>16852.952729111963</v>
          </cell>
          <cell r="BP244">
            <v>20252.521305086488</v>
          </cell>
          <cell r="BQ244">
            <v>22414.833528928284</v>
          </cell>
          <cell r="BR244">
            <v>12633.557653500153</v>
          </cell>
          <cell r="BS244">
            <v>7421.8050379384831</v>
          </cell>
          <cell r="BT244">
            <v>7471.0484808964638</v>
          </cell>
          <cell r="BU244">
            <v>19997.95233038504</v>
          </cell>
          <cell r="BV244">
            <v>51540.730367727374</v>
          </cell>
          <cell r="BW244">
            <v>71472.495708256552</v>
          </cell>
        </row>
        <row r="245">
          <cell r="AH245">
            <v>38337.436358737701</v>
          </cell>
          <cell r="AI245">
            <v>77281.311732995469</v>
          </cell>
          <cell r="AJ245">
            <v>116506.76158333922</v>
          </cell>
          <cell r="AK245">
            <v>155946.10579738684</v>
          </cell>
          <cell r="AL245">
            <v>195599.34437513835</v>
          </cell>
          <cell r="AM245">
            <v>235432.6372604027</v>
          </cell>
          <cell r="AN245">
            <v>275513.66456556198</v>
          </cell>
          <cell r="AO245">
            <v>315808.58623442514</v>
          </cell>
          <cell r="AP245">
            <v>359295.32721180457</v>
          </cell>
          <cell r="AQ245">
            <v>404687.96536244033</v>
          </cell>
          <cell r="AR245">
            <v>450362.1779891621</v>
          </cell>
          <cell r="AS245">
            <v>496250.28497958777</v>
          </cell>
          <cell r="AW245">
            <v>4187.8564089924812</v>
          </cell>
          <cell r="AX245">
            <v>8441.6122137011516</v>
          </cell>
          <cell r="AY245">
            <v>12726.589509249432</v>
          </cell>
          <cell r="AZ245">
            <v>17035.563732121369</v>
          </cell>
          <cell r="BA245">
            <v>21368.534882316962</v>
          </cell>
          <cell r="BB245">
            <v>25721.890678078231</v>
          </cell>
          <cell r="BC245">
            <v>30102.855682921134</v>
          </cell>
          <cell r="BD245">
            <v>34507.81761508769</v>
          </cell>
          <cell r="BE245">
            <v>39254.657269279887</v>
          </cell>
          <cell r="BF245">
            <v>44206.1079386946</v>
          </cell>
          <cell r="BG245">
            <v>49188.780098948919</v>
          </cell>
          <cell r="BH245">
            <v>54195.449186526894</v>
          </cell>
          <cell r="BL245">
            <v>4721.9294544920394</v>
          </cell>
          <cell r="BM245">
            <v>9518.7427199700505</v>
          </cell>
          <cell r="BN245">
            <v>14349.982240744688</v>
          </cell>
          <cell r="BO245">
            <v>19207.219359380673</v>
          </cell>
          <cell r="BP245">
            <v>24090.454075878006</v>
          </cell>
          <cell r="BQ245">
            <v>28995.472061519045</v>
          </cell>
          <cell r="BR245">
            <v>33930.701973739073</v>
          </cell>
          <cell r="BS245">
            <v>38891.929483820451</v>
          </cell>
          <cell r="BT245">
            <v>44250.01551891549</v>
          </cell>
          <cell r="BU245">
            <v>49844.815587753881</v>
          </cell>
          <cell r="BV245">
            <v>55474.041911888897</v>
          </cell>
          <cell r="BW245">
            <v>61129.265833885263</v>
          </cell>
        </row>
        <row r="246">
          <cell r="AH246">
            <v>0</v>
          </cell>
          <cell r="AI246">
            <v>0</v>
          </cell>
          <cell r="AJ246">
            <v>0</v>
          </cell>
          <cell r="AK246">
            <v>0</v>
          </cell>
          <cell r="AL246">
            <v>0</v>
          </cell>
          <cell r="AM246">
            <v>0</v>
          </cell>
          <cell r="AN246">
            <v>0</v>
          </cell>
          <cell r="AO246">
            <v>0</v>
          </cell>
          <cell r="AP246">
            <v>0</v>
          </cell>
          <cell r="AQ246">
            <v>0</v>
          </cell>
          <cell r="AR246">
            <v>0</v>
          </cell>
          <cell r="AS246">
            <v>0</v>
          </cell>
          <cell r="AW246">
            <v>0</v>
          </cell>
          <cell r="AX246">
            <v>0</v>
          </cell>
          <cell r="AY246">
            <v>0</v>
          </cell>
          <cell r="AZ246">
            <v>0</v>
          </cell>
          <cell r="BA246">
            <v>0</v>
          </cell>
          <cell r="BB246">
            <v>0</v>
          </cell>
          <cell r="BC246">
            <v>0</v>
          </cell>
          <cell r="BD246">
            <v>0</v>
          </cell>
          <cell r="BE246">
            <v>0</v>
          </cell>
          <cell r="BF246">
            <v>0</v>
          </cell>
          <cell r="BG246">
            <v>0</v>
          </cell>
          <cell r="BH246">
            <v>0</v>
          </cell>
          <cell r="BL246">
            <v>0</v>
          </cell>
          <cell r="BM246">
            <v>0</v>
          </cell>
          <cell r="BN246">
            <v>0</v>
          </cell>
          <cell r="BO246">
            <v>0</v>
          </cell>
          <cell r="BP246">
            <v>0</v>
          </cell>
          <cell r="BQ246">
            <v>0</v>
          </cell>
          <cell r="BR246">
            <v>0</v>
          </cell>
          <cell r="BS246">
            <v>0</v>
          </cell>
          <cell r="BT246">
            <v>0</v>
          </cell>
          <cell r="BU246">
            <v>0</v>
          </cell>
          <cell r="BV246">
            <v>0</v>
          </cell>
          <cell r="BW246">
            <v>0</v>
          </cell>
        </row>
        <row r="247">
          <cell r="AH247">
            <v>69029.645940082381</v>
          </cell>
          <cell r="AI247">
            <v>175947.22669358892</v>
          </cell>
          <cell r="AJ247">
            <v>276446.73967411893</v>
          </cell>
          <cell r="AK247">
            <v>390102.68671119772</v>
          </cell>
          <cell r="AL247">
            <v>493142.30443292594</v>
          </cell>
          <cell r="AM247">
            <v>621447.79284197977</v>
          </cell>
          <cell r="AN247">
            <v>689248.93963793817</v>
          </cell>
          <cell r="AO247">
            <v>743111.49539561174</v>
          </cell>
          <cell r="AP247">
            <v>828788.59044047142</v>
          </cell>
          <cell r="AQ247">
            <v>933382.77235652099</v>
          </cell>
          <cell r="AR247">
            <v>1026888.0691675958</v>
          </cell>
          <cell r="AS247">
            <v>1122156.2003278593</v>
          </cell>
          <cell r="AW247">
            <v>-8427.2116057580788</v>
          </cell>
          <cell r="AX247">
            <v>-1716.3434935822879</v>
          </cell>
          <cell r="AY247">
            <v>1650.8729738396032</v>
          </cell>
          <cell r="AZ247">
            <v>364.13247501416845</v>
          </cell>
          <cell r="BA247">
            <v>-6221.6962261755798</v>
          </cell>
          <cell r="BB247">
            <v>799.69222563848962</v>
          </cell>
          <cell r="BC247">
            <v>15401.772797023237</v>
          </cell>
          <cell r="BD247">
            <v>32023.106322874148</v>
          </cell>
          <cell r="BE247">
            <v>50664.214888919887</v>
          </cell>
          <cell r="BF247">
            <v>65686.448810198432</v>
          </cell>
          <cell r="BG247">
            <v>86667.187547023452</v>
          </cell>
          <cell r="BH247">
            <v>105678.40372369028</v>
          </cell>
          <cell r="BL247">
            <v>7827.7231554432028</v>
          </cell>
          <cell r="BM247">
            <v>19063.266625505315</v>
          </cell>
          <cell r="BN247">
            <v>24487.174356031133</v>
          </cell>
          <cell r="BO247">
            <v>36060.172088492633</v>
          </cell>
          <cell r="BP247">
            <v>44342.97538096449</v>
          </cell>
          <cell r="BQ247">
            <v>51410.305590447329</v>
          </cell>
          <cell r="BR247">
            <v>46564.259627239226</v>
          </cell>
          <cell r="BS247">
            <v>46313.734521758932</v>
          </cell>
          <cell r="BT247">
            <v>51721.063999811951</v>
          </cell>
          <cell r="BU247">
            <v>69842.767918138925</v>
          </cell>
          <cell r="BV247">
            <v>107014.77227961627</v>
          </cell>
          <cell r="BW247">
            <v>132601.76154214182</v>
          </cell>
        </row>
        <row r="249">
          <cell r="AH249">
            <v>32703.630442730617</v>
          </cell>
          <cell r="AI249">
            <v>103183.50517092153</v>
          </cell>
          <cell r="AJ249">
            <v>168006.61652064463</v>
          </cell>
          <cell r="AK249">
            <v>254930.99586364895</v>
          </cell>
          <cell r="AL249">
            <v>330426.31030890608</v>
          </cell>
          <cell r="AM249">
            <v>435765.82168040005</v>
          </cell>
          <cell r="AN249">
            <v>438384.09280871775</v>
          </cell>
          <cell r="AO249">
            <v>417342.20558259566</v>
          </cell>
          <cell r="AP249">
            <v>438044.92744377838</v>
          </cell>
          <cell r="AQ249">
            <v>494809.18957942526</v>
          </cell>
          <cell r="AR249">
            <v>526928.49967853888</v>
          </cell>
          <cell r="AS249">
            <v>564123.25604026159</v>
          </cell>
          <cell r="AW249">
            <v>-6690.1828225098798</v>
          </cell>
          <cell r="AX249">
            <v>24181.606925304841</v>
          </cell>
          <cell r="AY249">
            <v>46212.686693180382</v>
          </cell>
          <cell r="AZ249">
            <v>58035.439008193265</v>
          </cell>
          <cell r="BA249">
            <v>58042.250862031564</v>
          </cell>
          <cell r="BB249">
            <v>83855.750773723907</v>
          </cell>
          <cell r="BC249">
            <v>135835.84228889775</v>
          </cell>
          <cell r="BD249">
            <v>193981.54257031676</v>
          </cell>
          <cell r="BE249">
            <v>253985.96109402867</v>
          </cell>
          <cell r="BF249">
            <v>296906.26710519625</v>
          </cell>
          <cell r="BG249">
            <v>356638.66175960674</v>
          </cell>
          <cell r="BH249">
            <v>410655.84940463048</v>
          </cell>
          <cell r="BL249">
            <v>4469.3128867345886</v>
          </cell>
          <cell r="BM249">
            <v>13734.802693331181</v>
          </cell>
          <cell r="BN249">
            <v>14587.666702485378</v>
          </cell>
          <cell r="BO249">
            <v>24251.810024819548</v>
          </cell>
          <cell r="BP249">
            <v>29143.872121953711</v>
          </cell>
          <cell r="BQ249">
            <v>32255.492151384649</v>
          </cell>
          <cell r="BR249">
            <v>18179.997598939619</v>
          </cell>
          <cell r="BS249">
            <v>10680.158469228532</v>
          </cell>
          <cell r="BT249">
            <v>10751.020984704803</v>
          </cell>
          <cell r="BU249">
            <v>28777.541158359105</v>
          </cell>
          <cell r="BV249">
            <v>74168.368090144475</v>
          </cell>
          <cell r="BW249">
            <v>102850.66455578405</v>
          </cell>
        </row>
        <row r="251">
          <cell r="AH251">
            <v>0</v>
          </cell>
          <cell r="AI251">
            <v>0</v>
          </cell>
          <cell r="AJ251">
            <v>0</v>
          </cell>
          <cell r="AK251">
            <v>0</v>
          </cell>
          <cell r="AL251">
            <v>0</v>
          </cell>
          <cell r="AM251">
            <v>0</v>
          </cell>
          <cell r="AN251">
            <v>0</v>
          </cell>
          <cell r="AO251">
            <v>0</v>
          </cell>
          <cell r="AP251">
            <v>0</v>
          </cell>
          <cell r="AQ251">
            <v>0</v>
          </cell>
          <cell r="AR251">
            <v>0</v>
          </cell>
          <cell r="AS251">
            <v>0</v>
          </cell>
          <cell r="AW251">
            <v>0</v>
          </cell>
          <cell r="AX251">
            <v>0</v>
          </cell>
          <cell r="AY251">
            <v>0</v>
          </cell>
          <cell r="AZ251">
            <v>0</v>
          </cell>
          <cell r="BA251">
            <v>0</v>
          </cell>
          <cell r="BB251">
            <v>0</v>
          </cell>
          <cell r="BC251">
            <v>0</v>
          </cell>
          <cell r="BD251">
            <v>0</v>
          </cell>
          <cell r="BE251">
            <v>0</v>
          </cell>
          <cell r="BF251">
            <v>0</v>
          </cell>
          <cell r="BG251">
            <v>0</v>
          </cell>
          <cell r="BH251">
            <v>0</v>
          </cell>
          <cell r="BL251">
            <v>0</v>
          </cell>
          <cell r="BM251">
            <v>0</v>
          </cell>
          <cell r="BN251">
            <v>0</v>
          </cell>
          <cell r="BO251">
            <v>0</v>
          </cell>
          <cell r="BP251">
            <v>0</v>
          </cell>
          <cell r="BQ251">
            <v>0</v>
          </cell>
          <cell r="BR251">
            <v>0</v>
          </cell>
          <cell r="BS251">
            <v>0</v>
          </cell>
          <cell r="BT251">
            <v>0</v>
          </cell>
          <cell r="BU251">
            <v>0</v>
          </cell>
          <cell r="BV251">
            <v>0</v>
          </cell>
          <cell r="BW251">
            <v>0</v>
          </cell>
        </row>
        <row r="252">
          <cell r="AH252">
            <v>0</v>
          </cell>
          <cell r="AI252">
            <v>0</v>
          </cell>
          <cell r="AJ252">
            <v>0</v>
          </cell>
          <cell r="AK252">
            <v>0</v>
          </cell>
          <cell r="AL252">
            <v>0</v>
          </cell>
          <cell r="AM252">
            <v>0</v>
          </cell>
          <cell r="AN252">
            <v>0</v>
          </cell>
          <cell r="AO252">
            <v>0</v>
          </cell>
          <cell r="AP252">
            <v>0</v>
          </cell>
          <cell r="AQ252">
            <v>0</v>
          </cell>
          <cell r="AR252">
            <v>0</v>
          </cell>
          <cell r="AS252">
            <v>0</v>
          </cell>
          <cell r="AW252">
            <v>0</v>
          </cell>
          <cell r="AX252">
            <v>0</v>
          </cell>
          <cell r="AY252">
            <v>0</v>
          </cell>
          <cell r="AZ252">
            <v>0</v>
          </cell>
          <cell r="BA252">
            <v>0</v>
          </cell>
          <cell r="BB252">
            <v>0</v>
          </cell>
          <cell r="BC252">
            <v>0</v>
          </cell>
          <cell r="BD252">
            <v>0</v>
          </cell>
          <cell r="BE252">
            <v>0</v>
          </cell>
          <cell r="BF252">
            <v>0</v>
          </cell>
          <cell r="BG252">
            <v>0</v>
          </cell>
          <cell r="BH252">
            <v>0</v>
          </cell>
          <cell r="BL252">
            <v>0</v>
          </cell>
          <cell r="BM252">
            <v>0</v>
          </cell>
          <cell r="BN252">
            <v>0</v>
          </cell>
          <cell r="BO252">
            <v>0</v>
          </cell>
          <cell r="BP252">
            <v>0</v>
          </cell>
          <cell r="BQ252">
            <v>0</v>
          </cell>
          <cell r="BR252">
            <v>0</v>
          </cell>
          <cell r="BS252">
            <v>0</v>
          </cell>
          <cell r="BT252">
            <v>0</v>
          </cell>
          <cell r="BU252">
            <v>0</v>
          </cell>
          <cell r="BV252">
            <v>0</v>
          </cell>
          <cell r="BW252">
            <v>0</v>
          </cell>
        </row>
      </sheetData>
      <sheetData sheetId="5">
        <row r="46">
          <cell r="F46" t="str">
            <v>The GTS Companies</v>
          </cell>
        </row>
        <row r="47">
          <cell r="F47" t="str">
            <v>Company Summary</v>
          </cell>
        </row>
        <row r="48">
          <cell r="F48" t="str">
            <v>For the Fiscal Year Ended June 30, 2001</v>
          </cell>
        </row>
        <row r="50">
          <cell r="A50" t="str">
            <v>Monthly Cost of Sales</v>
          </cell>
          <cell r="G50" t="str">
            <v>Monthly S&amp;M and G&amp;A Expenses</v>
          </cell>
        </row>
        <row r="70">
          <cell r="A70" t="str">
            <v>Cumulative Cost of Sales</v>
          </cell>
          <cell r="G70" t="str">
            <v>Cumulative S&amp;M and G&amp;A Expenses</v>
          </cell>
        </row>
      </sheetData>
      <sheetData sheetId="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BS"/>
      <sheetName val="PL"/>
      <sheetName val="Sch 1-3"/>
      <sheetName val="Sch 4"/>
      <sheetName val="Dep-It"/>
      <sheetName val="Sch 5-12"/>
      <sheetName val="Annx 1"/>
      <sheetName val="Annx 2"/>
      <sheetName val="Abstract"/>
      <sheetName val="269SS"/>
      <sheetName val="Closing stock"/>
      <sheetName val="Taxation"/>
    </sheetNames>
    <sheetDataSet>
      <sheetData sheetId="0">
        <row r="1">
          <cell r="B1" t="str">
            <v>KMA AUTO COMPONENTS PVT LTD</v>
          </cell>
        </row>
        <row r="2">
          <cell r="B2" t="str">
            <v>NO. 83 , 3rd  MAIN ROAD , AMBATTUR INDUSTRIAL ESTATE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BASIC RATES"/>
      <sheetName val="#REF"/>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ful Lives"/>
      <sheetName val="WDV"/>
      <sheetName val="Sheet1"/>
      <sheetName val="FORMULAS CHECK"/>
      <sheetName val="INSTRUCTIONS"/>
      <sheetName val="FA Schedule (8)"/>
    </sheetNames>
    <sheetDataSet>
      <sheetData sheetId="0">
        <row r="4">
          <cell r="D4" t="str">
            <v>(a)  Buildings (other than factory buildings) RCC Frame Structure</v>
          </cell>
        </row>
        <row r="5">
          <cell r="D5" t="str">
            <v>(b)  Buildings (other than factory buildings) other than RCC Frame Structure</v>
          </cell>
        </row>
        <row r="6">
          <cell r="D6" t="str">
            <v>(c)  Factory buildings</v>
          </cell>
        </row>
        <row r="7">
          <cell r="D7" t="str">
            <v>(d)  Fences, wells, tube wells</v>
          </cell>
        </row>
        <row r="8">
          <cell r="D8" t="str">
            <v>(e)  Others (including temporary structure, etc.)</v>
          </cell>
        </row>
        <row r="9">
          <cell r="D9" t="str">
            <v>II. Bridges, culverts, bunders, etc. [NESD]</v>
          </cell>
        </row>
        <row r="10">
          <cell r="D10" t="str">
            <v>  (i)  Carpeted Roads—RCC</v>
          </cell>
        </row>
        <row r="11">
          <cell r="D11" t="str">
            <v>(ii)  Carpeted Roads—other than RCC</v>
          </cell>
        </row>
        <row r="12">
          <cell r="D12" t="str">
            <v>(b)  Non-carpeted roads</v>
          </cell>
        </row>
        <row r="13">
          <cell r="D13" t="str">
            <v>(a)  Plant and Machinery other than continuous process plant not covered under specific industries</v>
          </cell>
        </row>
        <row r="14">
          <cell r="D14" t="str">
            <v>4[(b) Continuous process plant for which no special rate has been prescribed under (ii) below [NESD]</v>
          </cell>
        </row>
        <row r="15">
          <cell r="D15" t="str">
            <v> 1.    Cinematograph films—Machinery used in the production and exhibition of cinematograph films, recording and reproducing equipments, developing machines, printing machines, editing machines, synchronizers and studio lights except bulbs</v>
          </cell>
        </row>
        <row r="16">
          <cell r="D16" t="str">
            <v> 2.    Projecting equipment for exhibition of films</v>
          </cell>
        </row>
        <row r="17">
          <cell r="D17" t="str">
            <v>1. Recuperative and regenerative glass melting furnaces</v>
          </cell>
        </row>
        <row r="18">
          <cell r="D18" t="str">
            <v>2. Plant and Machinery except direct fire glass melting furnaces — Moulds [NESD]</v>
          </cell>
        </row>
        <row r="19">
          <cell r="D19" t="str">
            <v>3. Float Glass Melting Furnaces [NESD]</v>
          </cell>
        </row>
        <row r="20">
          <cell r="D20" t="str">
            <v>(c)  Plant and Machinery used in mines and quarries—Portable under ground machinery and earth moving machinery used in open cast mining [NESD]</v>
          </cell>
        </row>
        <row r="21">
          <cell r="D21" t="str">
            <v>1. Towers</v>
          </cell>
        </row>
        <row r="22">
          <cell r="D22" t="str">
            <v>2. Telecom transreceivers, switching centres, transmission and other network equipment</v>
          </cell>
        </row>
        <row r="23">
          <cell r="D23" t="str">
            <v>3. Telecom—Ducts, Cables and optical fibre</v>
          </cell>
        </row>
        <row r="24">
          <cell r="D24" t="str">
            <v>4. Satellites</v>
          </cell>
        </row>
        <row r="25">
          <cell r="D25" t="str">
            <v>1. Refineries</v>
          </cell>
        </row>
        <row r="26">
          <cell r="D26" t="str">
            <v>2. Oil and gas assets (including wells), processing plant and facilities</v>
          </cell>
        </row>
        <row r="27">
          <cell r="D27" t="str">
            <v>3. Petrochemical Plant</v>
          </cell>
        </row>
        <row r="28">
          <cell r="D28" t="str">
            <v>4. Storage tanks and related equipment</v>
          </cell>
        </row>
        <row r="29">
          <cell r="D29" t="str">
            <v>5. Pipelines</v>
          </cell>
        </row>
        <row r="30">
          <cell r="D30" t="str">
            <v>6. Drilling Rig</v>
          </cell>
        </row>
        <row r="31">
          <cell r="D31" t="str">
            <v>7. Field operations (above ground) Portable boilers, drilling tools, well-head tanks, etc.</v>
          </cell>
        </row>
        <row r="32">
          <cell r="D32" t="str">
            <v>8. Loggers</v>
          </cell>
        </row>
        <row r="33">
          <cell r="D33" t="str">
            <v>1. Thermal/Gas/Combined Cycle Power Generation Plant</v>
          </cell>
        </row>
        <row r="34">
          <cell r="D34" t="str">
            <v>2. Hydro Power Generation Plant</v>
          </cell>
        </row>
        <row r="35">
          <cell r="D35" t="str">
            <v>3. Nuclear Power Generation Plant</v>
          </cell>
        </row>
        <row r="36">
          <cell r="D36" t="str">
            <v>4. Transmission lines, cables and other network assets</v>
          </cell>
        </row>
        <row r="37">
          <cell r="D37" t="str">
            <v>5. Wind Power Generation Plant</v>
          </cell>
        </row>
        <row r="38">
          <cell r="D38" t="str">
            <v>6. Electric Distribution Plant</v>
          </cell>
        </row>
        <row r="39">
          <cell r="D39" t="str">
            <v>7. Gas Storage and Distribution Plant</v>
          </cell>
        </row>
        <row r="40">
          <cell r="D40" t="str">
            <v>8. Water Distribution Plant including pipelines</v>
          </cell>
        </row>
        <row r="41">
          <cell r="D41" t="str">
            <v>1. Sinter Plant</v>
          </cell>
        </row>
        <row r="42">
          <cell r="D42" t="str">
            <v>2. Blast Furnace</v>
          </cell>
        </row>
        <row r="43">
          <cell r="D43" t="str">
            <v>3. Coke ovens</v>
          </cell>
        </row>
        <row r="44">
          <cell r="D44" t="str">
            <v>4. Rolling mill in steel plant</v>
          </cell>
        </row>
        <row r="45">
          <cell r="D45" t="str">
            <v>5. Basic oxygen Furnace Converter</v>
          </cell>
        </row>
        <row r="46">
          <cell r="D46" t="str">
            <v>1. Metal pot line [NESD]</v>
          </cell>
        </row>
        <row r="47">
          <cell r="D47" t="str">
            <v>2. Bauxite crushing and grinding section [NESD]</v>
          </cell>
        </row>
        <row r="48">
          <cell r="D48" t="str">
            <v>3. Digester section [NESD]</v>
          </cell>
        </row>
        <row r="49">
          <cell r="D49" t="str">
            <v>4. Turbine [NESD]</v>
          </cell>
        </row>
        <row r="50">
          <cell r="D50" t="str">
            <v>5. Equipments for Calcination [NESD]</v>
          </cell>
        </row>
        <row r="51">
          <cell r="D51" t="str">
            <v>6. Copper Smelter [NESD]</v>
          </cell>
        </row>
        <row r="52">
          <cell r="D52" t="str">
            <v>7. Roll Grinder</v>
          </cell>
        </row>
        <row r="53">
          <cell r="D53" t="str">
            <v>8. Soaking Pit</v>
          </cell>
        </row>
        <row r="54">
          <cell r="D54" t="str">
            <v>9. Annealing Furnace</v>
          </cell>
        </row>
        <row r="55">
          <cell r="D55" t="str">
            <v>10. Rolling Mills</v>
          </cell>
        </row>
        <row r="56">
          <cell r="D56" t="str">
            <v>11. Equipments for Scalping, Slitting, etc. [NESD]</v>
          </cell>
        </row>
        <row r="57">
          <cell r="D57" t="str">
            <v>12. Surface Miner, Ripper Dozer, etc., used in mines</v>
          </cell>
        </row>
        <row r="58">
          <cell r="D58" t="str">
            <v>13. Copper refining plant [NESD]</v>
          </cell>
        </row>
        <row r="59">
          <cell r="D59" t="str">
            <v>1. Electrical Machinery, X-ray and electrotherapeutic apparatus and accessories thereto, medical, diagnostic equipments, namely, Cat- Scan, Ultrasound Machines, ECG Monitors, etc.</v>
          </cell>
        </row>
        <row r="60">
          <cell r="D60" t="str">
            <v>2. Other Equipments.</v>
          </cell>
        </row>
        <row r="61">
          <cell r="D61" t="str">
            <v>1. Reactors</v>
          </cell>
        </row>
        <row r="62">
          <cell r="D62" t="str">
            <v>2. Distillation Columns</v>
          </cell>
        </row>
        <row r="63">
          <cell r="D63" t="str">
            <v>3. Drying equipments/Centrifuges and Decanters</v>
          </cell>
        </row>
        <row r="64">
          <cell r="D64" t="str">
            <v>4. Vessel/storage tanks</v>
          </cell>
        </row>
        <row r="65">
          <cell r="D65" t="str">
            <v>1. Concreting, Crushing, Piling Equipments and Road Making Equipments</v>
          </cell>
        </row>
        <row r="66">
          <cell r="D66" t="str">
            <v>2a. Heavy Lift Equipments—Cranes with capacity of more than 100 tons</v>
          </cell>
        </row>
        <row r="67">
          <cell r="D67" t="str">
            <v>2b. Heavy Lift Equipments—Cranes with capacity of less than 100 tons</v>
          </cell>
        </row>
        <row r="68">
          <cell r="D68" t="str">
            <v>3. Transmission line, Tunneling Equipments [NESD]</v>
          </cell>
        </row>
        <row r="69">
          <cell r="D69" t="str">
            <v>4. Earth-moving equipments</v>
          </cell>
        </row>
        <row r="70">
          <cell r="D70" t="str">
            <v>5. Others including Material Handling /Pipeline/Welding Equipments [NESD]</v>
          </cell>
        </row>
        <row r="71">
          <cell r="D71" t="str">
            <v>(l)  Plant and Machinery used in salt works [NESD]</v>
          </cell>
        </row>
        <row r="72">
          <cell r="D72" t="str">
            <v>  (i)  General furniture and fittings</v>
          </cell>
        </row>
        <row r="73">
          <cell r="D73" t="str">
            <v>(ii)  Furniture and fittings used in HOTELS, restaurants and boarding houses, schools, colleges and other educational institutions, libraries; welfare centres; meeting halls, cinema houses; theatres and circuses; and furniture and fittings let out on hire</v>
          </cell>
        </row>
        <row r="74">
          <cell r="D74" t="str">
            <v>1. Motor cycles, scooters and other mopeds</v>
          </cell>
        </row>
        <row r="75">
          <cell r="D75" t="str">
            <v>2.  Motor buses, motor lorries, motor cars and motor taxies used in a business of running them on hire</v>
          </cell>
        </row>
        <row r="76">
          <cell r="D76" t="str">
            <v>3. Motor buses, motor lorries and motor cars other than those used in a business of running them on hire</v>
          </cell>
        </row>
        <row r="77">
          <cell r="D77" t="str">
            <v>4. Motor tractors, harvesting combines and heavy vehicles</v>
          </cell>
        </row>
        <row r="78">
          <cell r="D78" t="str">
            <v>5. Electrically operated vehicles including battery powered or fuel cell powered vehicles</v>
          </cell>
        </row>
        <row r="79">
          <cell r="D79" t="str">
            <v> (i)  Bulk Carriers and liner vessels</v>
          </cell>
        </row>
        <row r="80">
          <cell r="D80" t="str">
            <v>(ii)  Crude tankers, product carriers and easy chemical carriers with or without conventional tank coatings</v>
          </cell>
        </row>
        <row r="81">
          <cell r="D81" t="str">
            <v>(iii)  Chemicals and Acid Carriers :</v>
          </cell>
        </row>
        <row r="82">
          <cell r="D82" t="str">
            <v>(a)  With Stainless steel tanks</v>
          </cell>
        </row>
        <row r="83">
          <cell r="D83" t="str">
            <v>(b)  With other tanks</v>
          </cell>
        </row>
        <row r="84">
          <cell r="D84" t="str">
            <v>(iv)  Liquified gas carriers</v>
          </cell>
        </row>
        <row r="85">
          <cell r="D85" t="str">
            <v>(v)  Conventional large passenger vessels which are used for cruise purpose also</v>
          </cell>
        </row>
        <row r="86">
          <cell r="D86" t="str">
            <v>(vi)  Coastal service ships of all categories</v>
          </cell>
        </row>
        <row r="87">
          <cell r="D87" t="str">
            <v>(vii)  Offshore supply and support vessels</v>
          </cell>
        </row>
        <row r="88">
          <cell r="D88" t="str">
            <v>(viii)  Catamarans and other high speed passenger for ships or boats</v>
          </cell>
        </row>
        <row r="89">
          <cell r="D89" t="str">
            <v>(ix)  Drill ships</v>
          </cell>
        </row>
        <row r="90">
          <cell r="D90" t="str">
            <v>(x)  Hovercrafts</v>
          </cell>
        </row>
        <row r="91">
          <cell r="D91" t="str">
            <v>(xi)  Fishing vessels with wooden hull</v>
          </cell>
        </row>
        <row r="92">
          <cell r="D92" t="str">
            <v>(xii)  Dredgers, tugs, barges, survey launches and other similar ships used mainly for dredging purposes</v>
          </cell>
        </row>
        <row r="93">
          <cell r="D93" t="str">
            <v>  (i)  Speed boats</v>
          </cell>
        </row>
        <row r="94">
          <cell r="D94" t="str">
            <v>(ii)  Other vessels</v>
          </cell>
        </row>
        <row r="95">
          <cell r="D95" t="str">
            <v>VIII. Aircrafts or Helicopters [NESD]</v>
          </cell>
        </row>
        <row r="96">
          <cell r="D96" t="str">
            <v>IX. Railways sidings, locomotives, rolling stocks, tramways and railways used by concerns, excluding railway concerns [NESD]</v>
          </cell>
        </row>
        <row r="97">
          <cell r="D97" t="str">
            <v>X. Ropeway structures [NESD]</v>
          </cell>
        </row>
        <row r="98">
          <cell r="D98" t="str">
            <v>XI. Office equipment [NESD]</v>
          </cell>
        </row>
        <row r="99">
          <cell r="D99" t="str">
            <v>XII. Computers and data processing units [NESD]</v>
          </cell>
        </row>
        <row r="100">
          <cell r="D100" t="str">
            <v>  (i)  Servers and networks</v>
          </cell>
        </row>
        <row r="101">
          <cell r="D101" t="str">
            <v>(ii)  End user devices, such as, desktops, laptops, etc.</v>
          </cell>
        </row>
        <row r="102">
          <cell r="D102" t="str">
            <v>  (i)  General laboratory equipment</v>
          </cell>
        </row>
        <row r="103">
          <cell r="D103" t="str">
            <v>(ii)  Laboratory equipments used in educational institutions</v>
          </cell>
        </row>
        <row r="104">
          <cell r="D104" t="str">
            <v>XIV. Electrical Installations and Equipment [NESD]</v>
          </cell>
        </row>
        <row r="105">
          <cell r="D105" t="str">
            <v>XV. Hydraulic works, pipelines and sluices [NESD]</v>
          </cell>
        </row>
      </sheetData>
      <sheetData sheetId="1">
        <row r="5">
          <cell r="Z5">
            <v>14106737</v>
          </cell>
        </row>
      </sheetData>
      <sheetData sheetId="2" refreshError="1"/>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Page"/>
      <sheetName val="DR"/>
      <sheetName val="DR-Anx"/>
      <sheetName val="AR"/>
      <sheetName val="CARO"/>
      <sheetName val="CAROApp"/>
      <sheetName val="BS"/>
      <sheetName val="PL"/>
      <sheetName val="FundFlow"/>
      <sheetName val="Instructions"/>
      <sheetName val="BSSch"/>
      <sheetName val="FASch"/>
      <sheetName val="PLSch"/>
      <sheetName val="Notes"/>
      <sheetName val="PartIV"/>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C3" t="str">
            <v>Portalplayer (India) Private Limited</v>
          </cell>
        </row>
        <row r="4">
          <cell r="C4" t="str">
            <v>Plot No:249, Prashasan Nagar,Road No:72, Jubilee Hills,Hyderabad-500 034.</v>
          </cell>
        </row>
        <row r="7">
          <cell r="C7" t="str">
            <v>Private Limited Company</v>
          </cell>
        </row>
        <row r="11">
          <cell r="C11" t="str">
            <v>AABCP7418F</v>
          </cell>
        </row>
        <row r="16">
          <cell r="C16" t="str">
            <v>Partner</v>
          </cell>
        </row>
        <row r="19">
          <cell r="C19" t="str">
            <v>Deloitte Haskins &amp; Sells</v>
          </cell>
        </row>
        <row r="20">
          <cell r="C20" t="str">
            <v>P.R. Ramesh</v>
          </cell>
        </row>
        <row r="23">
          <cell r="C23" t="str">
            <v>M.No: 70928</v>
          </cell>
        </row>
        <row r="24">
          <cell r="C24" t="str">
            <v>Chartered Accountants,7th Floor, Amrutha Estates,Lingapur House,Himayathnagar,Hyderabad-500 029.</v>
          </cell>
        </row>
        <row r="28">
          <cell r="C28" t="str">
            <v>31-03-2006</v>
          </cell>
        </row>
        <row r="34">
          <cell r="C34" t="str">
            <v>2006-07</v>
          </cell>
        </row>
        <row r="40">
          <cell r="C40" t="str">
            <v>August 5, 2006</v>
          </cell>
        </row>
        <row r="43">
          <cell r="C43" t="str">
            <v>Hyderabad</v>
          </cell>
        </row>
        <row r="45">
          <cell r="C45" t="str">
            <v>Software Development</v>
          </cell>
        </row>
        <row r="46">
          <cell r="C46" t="str">
            <v>Mercantile</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9 Schedule"/>
      <sheetName val="Schedule Qty"/>
      <sheetName val="BOQ Distribution"/>
      <sheetName val="Summary"/>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s>
    <sheetDataSet>
      <sheetData sheetId="0">
        <row r="5">
          <cell r="A5" t="str">
            <v>CLEARING &amp; GRUBBING</v>
          </cell>
        </row>
      </sheetData>
      <sheetData sheetId="1"/>
      <sheetData sheetId="2" refreshError="1">
        <row r="5">
          <cell r="A5" t="str">
            <v>CLEARING &amp; GRUBBING</v>
          </cell>
          <cell r="C5">
            <v>1.01</v>
          </cell>
          <cell r="D5" t="str">
            <v>HCT</v>
          </cell>
          <cell r="E5">
            <v>47</v>
          </cell>
          <cell r="F5">
            <v>27339.165000000001</v>
          </cell>
          <cell r="G5">
            <v>1284940.7550000001</v>
          </cell>
        </row>
        <row r="6">
          <cell r="A6" t="str">
            <v>EXCAVATION</v>
          </cell>
          <cell r="C6">
            <v>2.0099999999999998</v>
          </cell>
          <cell r="D6" t="str">
            <v>CUM</v>
          </cell>
          <cell r="E6">
            <v>123000</v>
          </cell>
          <cell r="F6">
            <v>34.11</v>
          </cell>
          <cell r="G6">
            <v>4195530</v>
          </cell>
        </row>
        <row r="7">
          <cell r="A7" t="str">
            <v>EARTHWORK IN EMBANKMENT</v>
          </cell>
          <cell r="C7" t="str">
            <v>2.02 + 2.03</v>
          </cell>
          <cell r="D7" t="str">
            <v>CUM</v>
          </cell>
          <cell r="E7">
            <v>355000</v>
          </cell>
          <cell r="F7">
            <v>124.69633802816901</v>
          </cell>
          <cell r="G7">
            <v>44267200</v>
          </cell>
        </row>
        <row r="8">
          <cell r="A8" t="str">
            <v>EARTHWORK IN SUBGRADE</v>
          </cell>
          <cell r="C8">
            <v>2.04</v>
          </cell>
          <cell r="D8" t="str">
            <v>CUM</v>
          </cell>
          <cell r="E8">
            <v>156000</v>
          </cell>
          <cell r="F8">
            <v>164.86500000000001</v>
          </cell>
          <cell r="G8">
            <v>25718940</v>
          </cell>
        </row>
        <row r="9">
          <cell r="A9" t="str">
            <v>MEDIAN FILLING</v>
          </cell>
          <cell r="C9">
            <v>2.06</v>
          </cell>
          <cell r="D9" t="str">
            <v>CUM</v>
          </cell>
          <cell r="E9">
            <v>48000</v>
          </cell>
          <cell r="F9">
            <v>145.91499999999999</v>
          </cell>
          <cell r="G9">
            <v>7003920</v>
          </cell>
        </row>
        <row r="10">
          <cell r="A10" t="str">
            <v>GRANULAR SUB BASE COURSE</v>
          </cell>
          <cell r="C10">
            <v>3.01</v>
          </cell>
          <cell r="D10" t="str">
            <v>CUM</v>
          </cell>
          <cell r="E10">
            <v>60000</v>
          </cell>
          <cell r="F10">
            <v>1338.8175000000001</v>
          </cell>
          <cell r="G10">
            <v>80329050</v>
          </cell>
        </row>
        <row r="11">
          <cell r="A11" t="str">
            <v>WET MIX MACADAM</v>
          </cell>
          <cell r="C11">
            <v>3.02</v>
          </cell>
          <cell r="D11" t="str">
            <v>CUM</v>
          </cell>
          <cell r="E11">
            <v>14000</v>
          </cell>
          <cell r="F11">
            <v>1438.3050000000001</v>
          </cell>
          <cell r="G11">
            <v>20136270</v>
          </cell>
        </row>
        <row r="12">
          <cell r="A12" t="str">
            <v>PROFILE CORRECTIVE COURSE</v>
          </cell>
          <cell r="C12">
            <v>4.03</v>
          </cell>
          <cell r="D12" t="str">
            <v>CUM</v>
          </cell>
          <cell r="E12">
            <v>3384</v>
          </cell>
          <cell r="F12">
            <v>3808.95</v>
          </cell>
          <cell r="G12">
            <v>12889486.799999999</v>
          </cell>
        </row>
        <row r="13">
          <cell r="A13" t="str">
            <v>DENSE BITUMINOUS MACADAM</v>
          </cell>
          <cell r="C13">
            <v>4.04</v>
          </cell>
          <cell r="D13" t="str">
            <v>CUM</v>
          </cell>
          <cell r="E13">
            <v>25742</v>
          </cell>
          <cell r="F13">
            <v>4469.3575000000001</v>
          </cell>
          <cell r="G13">
            <v>115050200.765</v>
          </cell>
        </row>
        <row r="14">
          <cell r="A14" t="str">
            <v>BITUMINOUS CONCRETE</v>
          </cell>
          <cell r="C14">
            <v>4.05</v>
          </cell>
          <cell r="D14" t="str">
            <v>CUM</v>
          </cell>
          <cell r="E14">
            <v>10175</v>
          </cell>
          <cell r="F14">
            <v>5341.0574999999999</v>
          </cell>
          <cell r="G14">
            <v>54345260.0625</v>
          </cell>
        </row>
        <row r="15">
          <cell r="A15" t="str">
            <v>BITUMENOUS MACADAM</v>
          </cell>
          <cell r="C15">
            <v>4.0599999999999996</v>
          </cell>
          <cell r="D15" t="str">
            <v>CUM</v>
          </cell>
          <cell r="E15">
            <v>16701</v>
          </cell>
          <cell r="F15">
            <v>3808.95</v>
          </cell>
          <cell r="G15">
            <v>63613273.949999996</v>
          </cell>
        </row>
        <row r="16">
          <cell r="A16" t="str">
            <v>SEMI DENSE BITUMENOUS COURSE</v>
          </cell>
          <cell r="C16">
            <v>4.07</v>
          </cell>
          <cell r="D16" t="str">
            <v>CUM</v>
          </cell>
          <cell r="E16">
            <v>227</v>
          </cell>
          <cell r="F16">
            <v>4497.7825000000003</v>
          </cell>
          <cell r="G16">
            <v>1020996.6275000001</v>
          </cell>
        </row>
        <row r="17">
          <cell r="A17" t="str">
            <v>DRY LEAN CONCRETE</v>
          </cell>
          <cell r="C17">
            <v>4.09</v>
          </cell>
          <cell r="D17" t="str">
            <v>CUM</v>
          </cell>
          <cell r="E17">
            <v>30697</v>
          </cell>
          <cell r="F17">
            <v>2346.0100000000007</v>
          </cell>
          <cell r="G17">
            <v>72015468.970000014</v>
          </cell>
        </row>
        <row r="18">
          <cell r="A18" t="str">
            <v>PAVEMENT QUALITY CONCRETE</v>
          </cell>
          <cell r="C18">
            <v>4.0999999999999996</v>
          </cell>
          <cell r="D18" t="str">
            <v>CUM</v>
          </cell>
          <cell r="E18">
            <v>55538</v>
          </cell>
          <cell r="F18">
            <v>4585.8999999999996</v>
          </cell>
          <cell r="G18">
            <v>254691714.19999999</v>
          </cell>
        </row>
        <row r="19">
          <cell r="A19" t="str">
            <v>MEDIAN KERB</v>
          </cell>
          <cell r="C19">
            <v>9.09</v>
          </cell>
          <cell r="D19" t="str">
            <v>LM</v>
          </cell>
          <cell r="E19">
            <v>42434</v>
          </cell>
          <cell r="F19">
            <v>144.9675</v>
          </cell>
          <cell r="G19">
            <v>6151550.8950000005</v>
          </cell>
        </row>
        <row r="20">
          <cell r="A20" t="str">
            <v>TURFING</v>
          </cell>
          <cell r="C20">
            <v>2.08</v>
          </cell>
          <cell r="D20" t="str">
            <v>SQM</v>
          </cell>
          <cell r="E20">
            <v>129000</v>
          </cell>
          <cell r="F20">
            <v>10.422499999999999</v>
          </cell>
          <cell r="G20">
            <v>1344502.5</v>
          </cell>
        </row>
        <row r="21">
          <cell r="A21" t="str">
            <v>DRAINAGE &amp; PROTECTION WORK</v>
          </cell>
          <cell r="C21" t="str">
            <v>Bill No. 8</v>
          </cell>
          <cell r="D21" t="str">
            <v>%</v>
          </cell>
          <cell r="E21">
            <v>1</v>
          </cell>
          <cell r="F21">
            <v>228818.54962500001</v>
          </cell>
          <cell r="G21">
            <v>22881854.962500002</v>
          </cell>
        </row>
        <row r="22">
          <cell r="A22" t="str">
            <v>ROAD MARKING</v>
          </cell>
          <cell r="C22" t="str">
            <v>Bill No. 9 - 9.09</v>
          </cell>
          <cell r="D22" t="str">
            <v>%</v>
          </cell>
          <cell r="E22">
            <v>1</v>
          </cell>
          <cell r="F22">
            <v>202729.24135000003</v>
          </cell>
          <cell r="G22">
            <v>20272924.135000002</v>
          </cell>
        </row>
        <row r="23">
          <cell r="A23" t="str">
            <v>JUNCTIONS</v>
          </cell>
          <cell r="C23" t="str">
            <v>Bill No. 10</v>
          </cell>
          <cell r="D23" t="str">
            <v>%</v>
          </cell>
          <cell r="E23">
            <v>1</v>
          </cell>
          <cell r="F23">
            <v>37511.998749999999</v>
          </cell>
          <cell r="G23">
            <v>3751199.875</v>
          </cell>
        </row>
        <row r="24">
          <cell r="A24" t="str">
            <v>MISC ROAD WORKS</v>
          </cell>
          <cell r="C24" t="str">
            <v>Bill No 1+2+3+4+8+9+10-(All Above Items)</v>
          </cell>
          <cell r="D24" t="str">
            <v>%</v>
          </cell>
          <cell r="E24">
            <v>1</v>
          </cell>
          <cell r="F24">
            <v>222351.53997500063</v>
          </cell>
          <cell r="G24">
            <v>22235153.997500062</v>
          </cell>
        </row>
        <row r="27">
          <cell r="A27" t="str">
            <v>EXCAVATION</v>
          </cell>
          <cell r="C27">
            <v>5.01</v>
          </cell>
          <cell r="D27" t="str">
            <v>CUM</v>
          </cell>
          <cell r="E27">
            <v>2852</v>
          </cell>
          <cell r="F27">
            <v>60.64</v>
          </cell>
          <cell r="G27">
            <v>172945.28</v>
          </cell>
        </row>
        <row r="28">
          <cell r="A28" t="str">
            <v>REINFORCEMENT</v>
          </cell>
          <cell r="C28">
            <v>5.09</v>
          </cell>
          <cell r="D28" t="str">
            <v>MT</v>
          </cell>
          <cell r="E28">
            <v>316</v>
          </cell>
          <cell r="F28">
            <v>40111.465000000004</v>
          </cell>
          <cell r="G28">
            <v>12675222.940000001</v>
          </cell>
        </row>
        <row r="29">
          <cell r="A29" t="str">
            <v>LEVELLING COURSE  / PCC</v>
          </cell>
          <cell r="C29">
            <v>5.04</v>
          </cell>
          <cell r="D29" t="str">
            <v>CUM</v>
          </cell>
          <cell r="E29">
            <v>585</v>
          </cell>
          <cell r="F29">
            <v>2871.8724999999999</v>
          </cell>
          <cell r="G29">
            <v>1680045.4124999999</v>
          </cell>
        </row>
        <row r="30">
          <cell r="A30" t="str">
            <v>CONCRETE WORKS - RCC</v>
          </cell>
          <cell r="C30" t="str">
            <v>5.05+5.06+5.07+5.08</v>
          </cell>
          <cell r="D30" t="str">
            <v>CUM</v>
          </cell>
          <cell r="E30">
            <v>4154</v>
          </cell>
          <cell r="F30">
            <v>3929.8420131198845</v>
          </cell>
          <cell r="G30">
            <v>16324563.7225</v>
          </cell>
        </row>
        <row r="31">
          <cell r="A31" t="str">
            <v>BACK FILLING</v>
          </cell>
          <cell r="C31" t="str">
            <v>5.02 + 5.03</v>
          </cell>
          <cell r="D31" t="str">
            <v>CUM</v>
          </cell>
          <cell r="E31">
            <v>3086</v>
          </cell>
          <cell r="F31">
            <v>575.54085223590414</v>
          </cell>
          <cell r="G31">
            <v>1776119.07</v>
          </cell>
        </row>
        <row r="32">
          <cell r="A32" t="str">
            <v>MISCELLENIOUS - CULVERTS</v>
          </cell>
          <cell r="C32" t="str">
            <v>Bill No. - 5 - (All above Items)</v>
          </cell>
          <cell r="D32" t="str">
            <v>%</v>
          </cell>
          <cell r="E32">
            <v>1</v>
          </cell>
          <cell r="F32">
            <v>89572.452574999959</v>
          </cell>
          <cell r="G32">
            <v>8957245.2574999966</v>
          </cell>
        </row>
        <row r="35">
          <cell r="A35" t="str">
            <v>EXCAVATION</v>
          </cell>
          <cell r="C35">
            <v>6.01</v>
          </cell>
          <cell r="D35" t="str">
            <v>CUM</v>
          </cell>
          <cell r="E35">
            <v>30989</v>
          </cell>
          <cell r="F35">
            <v>60.64</v>
          </cell>
          <cell r="G35">
            <v>1879172.96</v>
          </cell>
        </row>
        <row r="36">
          <cell r="A36" t="str">
            <v>LEVELLING COURSE  / PCC</v>
          </cell>
          <cell r="C36" t="str">
            <v>6.02 a) + 6.03 a)</v>
          </cell>
          <cell r="D36" t="str">
            <v>CUM</v>
          </cell>
          <cell r="E36">
            <v>2500</v>
          </cell>
          <cell r="F36">
            <v>3199.2011560000001</v>
          </cell>
          <cell r="G36">
            <v>7998002.8900000006</v>
          </cell>
        </row>
        <row r="37">
          <cell r="A37" t="str">
            <v>FOUNDATION CONCRETE</v>
          </cell>
          <cell r="C37" t="str">
            <v>6.02 b) + 6.02 c) + 6.03 b) + 6.03 c)</v>
          </cell>
          <cell r="D37" t="str">
            <v>CUM</v>
          </cell>
          <cell r="E37">
            <v>4094</v>
          </cell>
          <cell r="F37">
            <v>3637.8447844406446</v>
          </cell>
          <cell r="G37">
            <v>14893336.547499999</v>
          </cell>
        </row>
        <row r="38">
          <cell r="A38" t="str">
            <v>REINFORCEMENT</v>
          </cell>
          <cell r="C38">
            <v>6.07</v>
          </cell>
          <cell r="D38" t="str">
            <v>MT</v>
          </cell>
          <cell r="E38">
            <v>1809</v>
          </cell>
          <cell r="F38">
            <v>40111.465000000004</v>
          </cell>
          <cell r="G38">
            <v>72561640.185000002</v>
          </cell>
        </row>
        <row r="39">
          <cell r="A39" t="str">
            <v>WELL FOUNDATION KERB</v>
          </cell>
          <cell r="C39" t="str">
            <v>6.23 a)</v>
          </cell>
          <cell r="D39" t="str">
            <v>CUM</v>
          </cell>
          <cell r="E39">
            <v>39</v>
          </cell>
          <cell r="F39">
            <v>4692.9674999999997</v>
          </cell>
          <cell r="G39">
            <v>183025.73249999998</v>
          </cell>
        </row>
        <row r="40">
          <cell r="A40" t="str">
            <v>WELL FOUNDATION STEINING</v>
          </cell>
          <cell r="C40" t="str">
            <v>6.23 b)</v>
          </cell>
          <cell r="D40" t="str">
            <v>CUM</v>
          </cell>
          <cell r="E40">
            <v>488</v>
          </cell>
          <cell r="F40">
            <v>8351.2649999999994</v>
          </cell>
          <cell r="G40">
            <v>4075417.32</v>
          </cell>
        </row>
        <row r="41">
          <cell r="A41" t="str">
            <v>WELL FOUNDATION CAP</v>
          </cell>
          <cell r="C41" t="str">
            <v>6.23 c)</v>
          </cell>
          <cell r="D41" t="str">
            <v>CUM</v>
          </cell>
          <cell r="E41">
            <v>66</v>
          </cell>
          <cell r="F41">
            <v>4964.8999999999996</v>
          </cell>
          <cell r="G41">
            <v>327683.39999999997</v>
          </cell>
        </row>
        <row r="42">
          <cell r="A42" t="str">
            <v>WELL FOUNDATION BOTTOM PLUG</v>
          </cell>
          <cell r="C42" t="str">
            <v>6.23 d)</v>
          </cell>
          <cell r="D42" t="str">
            <v>CUM</v>
          </cell>
          <cell r="E42">
            <v>128</v>
          </cell>
          <cell r="F42">
            <v>4175.6324999999997</v>
          </cell>
          <cell r="G42">
            <v>534480.96</v>
          </cell>
        </row>
        <row r="43">
          <cell r="A43" t="str">
            <v>WELL FOUNDATION TOP PLUG</v>
          </cell>
          <cell r="C43" t="str">
            <v>6.23 e)</v>
          </cell>
          <cell r="D43" t="str">
            <v>CUM</v>
          </cell>
          <cell r="E43">
            <v>21</v>
          </cell>
          <cell r="F43">
            <v>4692.9674999999997</v>
          </cell>
          <cell r="G43">
            <v>98552.31749999999</v>
          </cell>
        </row>
        <row r="44">
          <cell r="A44" t="str">
            <v>SUPER STRUCTURE CONCRETE</v>
          </cell>
          <cell r="C44" t="str">
            <v>6.05 + 6.13</v>
          </cell>
          <cell r="D44" t="str">
            <v>CUM</v>
          </cell>
          <cell r="E44">
            <v>7675</v>
          </cell>
          <cell r="F44">
            <v>6815.5018166123773</v>
          </cell>
          <cell r="G44">
            <v>52308976.442499995</v>
          </cell>
        </row>
        <row r="45">
          <cell r="A45" t="str">
            <v>BACK FILLING</v>
          </cell>
          <cell r="C45" t="str">
            <v>6.16+6.17</v>
          </cell>
          <cell r="D45" t="str">
            <v>CUM</v>
          </cell>
          <cell r="E45">
            <v>6567</v>
          </cell>
          <cell r="F45">
            <v>417.7162033653114</v>
          </cell>
          <cell r="G45">
            <v>2743142.3075000001</v>
          </cell>
        </row>
        <row r="46">
          <cell r="A46" t="str">
            <v>MISCELLENIOUS - BRIDGES</v>
          </cell>
          <cell r="C46" t="str">
            <v>Bill No. - 6 - (All above Items)</v>
          </cell>
          <cell r="D46" t="str">
            <v>%</v>
          </cell>
          <cell r="E46">
            <v>1</v>
          </cell>
          <cell r="F46">
            <v>1653005.5343250013</v>
          </cell>
          <cell r="G46">
            <v>165300553.43250012</v>
          </cell>
        </row>
        <row r="47">
          <cell r="A47" t="str">
            <v>REHABILISATION OF STRUCTURES</v>
          </cell>
          <cell r="C47" t="str">
            <v>Bill No. - 7</v>
          </cell>
          <cell r="D47" t="str">
            <v>%</v>
          </cell>
          <cell r="E47">
            <v>1</v>
          </cell>
          <cell r="F47">
            <v>87740.94455</v>
          </cell>
          <cell r="G47">
            <v>8774094.4550000001</v>
          </cell>
        </row>
        <row r="50">
          <cell r="A50" t="str">
            <v>ROAD MAINTENANCE</v>
          </cell>
          <cell r="C50" t="str">
            <v>Bill No. 12</v>
          </cell>
          <cell r="D50" t="str">
            <v>%</v>
          </cell>
          <cell r="E50">
            <v>1</v>
          </cell>
          <cell r="F50">
            <v>17955341.977499999</v>
          </cell>
          <cell r="G50">
            <v>17955341.977499999</v>
          </cell>
        </row>
        <row r="51">
          <cell r="A51" t="str">
            <v>MISCELLANIOUS</v>
          </cell>
          <cell r="C51" t="str">
            <v>Bill No. 11</v>
          </cell>
          <cell r="D51" t="str">
            <v>%</v>
          </cell>
          <cell r="E51">
            <v>1</v>
          </cell>
          <cell r="F51">
            <v>25929246.152499996</v>
          </cell>
          <cell r="G51">
            <v>25929246.152499996</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N"/>
      <sheetName val="PMO ALL"/>
      <sheetName val="370 entries"/>
      <sheetName val="Consolidated TB"/>
      <sheetName val="BS before PMO"/>
      <sheetName val="BS afterPMO"/>
      <sheetName val="BalanceSheetAssets"/>
      <sheetName val="ReadMeFirst"/>
      <sheetName val="Title"/>
      <sheetName val="jun94"/>
    </sheetNames>
    <sheetDataSet>
      <sheetData sheetId="0"/>
      <sheetData sheetId="1"/>
      <sheetData sheetId="2"/>
      <sheetData sheetId="3"/>
      <sheetData sheetId="4">
        <row r="1">
          <cell r="C1" t="str">
            <v>SCHEDULES TO THE BALANCE SHEET AS AT</v>
          </cell>
          <cell r="I1" t="str">
            <v>SCHEDULES TO THE BALANCE SHEET AS AT</v>
          </cell>
          <cell r="U1" t="str">
            <v>HCL INFOSYSTEMS LIMITED</v>
          </cell>
          <cell r="Z1" t="str">
            <v>HCL INFOSYSTEMS LIMITED</v>
          </cell>
        </row>
        <row r="2">
          <cell r="U2" t="str">
            <v>FRONTLINE DIVISION</v>
          </cell>
          <cell r="Z2" t="str">
            <v>FRONTLINE DIVISION</v>
          </cell>
        </row>
        <row r="3">
          <cell r="C3" t="str">
            <v>6- INVENTORIES</v>
          </cell>
          <cell r="I3" t="str">
            <v>1- H.O. ACCOUNT</v>
          </cell>
        </row>
        <row r="5">
          <cell r="E5" t="str">
            <v>30.11.02</v>
          </cell>
          <cell r="G5" t="str">
            <v>31.03.02</v>
          </cell>
          <cell r="K5" t="str">
            <v>30.11.02</v>
          </cell>
          <cell r="L5" t="str">
            <v>31.03.02</v>
          </cell>
          <cell r="U5" t="str">
            <v>PROFIT AND LOSS ACCOUNT FOR THE PERIOD 1.4.02 TO 30.11.02</v>
          </cell>
          <cell r="Z5" t="str">
            <v>BALANCE SHEET AS AT NOVEMBER 30, 2002</v>
          </cell>
        </row>
        <row r="6">
          <cell r="E6" t="str">
            <v>Rs</v>
          </cell>
          <cell r="G6" t="str">
            <v>Rs</v>
          </cell>
          <cell r="K6" t="str">
            <v>Rs</v>
          </cell>
          <cell r="L6" t="str">
            <v>Rs</v>
          </cell>
          <cell r="Z6" t="str">
            <v>WITHOUT PMO OVERHEAD ALLOCATION DEBIT NOTE</v>
          </cell>
        </row>
        <row r="7">
          <cell r="V7" t="str">
            <v>SCHEDULE</v>
          </cell>
          <cell r="W7" t="str">
            <v>30.11.02</v>
          </cell>
          <cell r="X7" t="str">
            <v>31.03.02</v>
          </cell>
          <cell r="AA7" t="str">
            <v>SCHEDULE</v>
          </cell>
          <cell r="AC7" t="str">
            <v>30.11.02</v>
          </cell>
          <cell r="AD7">
            <v>1998</v>
          </cell>
          <cell r="BC7" t="str">
            <v>31.03.02</v>
          </cell>
        </row>
        <row r="8">
          <cell r="C8" t="str">
            <v>Stores and spares (Including in Transit)</v>
          </cell>
          <cell r="E8">
            <v>39500000</v>
          </cell>
          <cell r="G8">
            <v>33480207.09</v>
          </cell>
          <cell r="I8" t="str">
            <v>Interdivision Account</v>
          </cell>
          <cell r="W8" t="str">
            <v>Rs</v>
          </cell>
          <cell r="AB8" t="str">
            <v>Rs</v>
          </cell>
          <cell r="AC8" t="str">
            <v>Rs</v>
          </cell>
          <cell r="AD8" t="str">
            <v>Rs</v>
          </cell>
          <cell r="BC8" t="str">
            <v>Rs</v>
          </cell>
        </row>
        <row r="9">
          <cell r="C9" t="str">
            <v>Finished Goods (Including in Transit)</v>
          </cell>
          <cell r="E9">
            <v>100141379.05000001</v>
          </cell>
          <cell r="G9">
            <v>95268544.400000006</v>
          </cell>
          <cell r="I9" t="str">
            <v>Office Automation Division</v>
          </cell>
          <cell r="K9">
            <v>-489803.09</v>
          </cell>
          <cell r="L9">
            <v>3523128.9000000022</v>
          </cell>
        </row>
        <row r="10">
          <cell r="I10" t="str">
            <v>Insys Division</v>
          </cell>
          <cell r="K10">
            <v>603353266.28999996</v>
          </cell>
          <cell r="L10">
            <v>568328577.75999951</v>
          </cell>
          <cell r="U10" t="str">
            <v>INCOME</v>
          </cell>
          <cell r="Z10" t="str">
            <v>SOURCES OF FUNDS</v>
          </cell>
        </row>
        <row r="11">
          <cell r="I11" t="str">
            <v>Peripherals Division</v>
          </cell>
          <cell r="K11">
            <v>303219.00000000373</v>
          </cell>
          <cell r="L11">
            <v>589115.80000000377</v>
          </cell>
        </row>
        <row r="12">
          <cell r="E12">
            <v>139641379.05000001</v>
          </cell>
          <cell r="G12">
            <v>128748751.49000001</v>
          </cell>
          <cell r="U12" t="str">
            <v>Business Income</v>
          </cell>
          <cell r="V12">
            <v>12</v>
          </cell>
          <cell r="W12">
            <v>1289046833.6700001</v>
          </cell>
          <cell r="X12">
            <v>1475496195.2400002</v>
          </cell>
        </row>
        <row r="13">
          <cell r="U13" t="str">
            <v>Other Income</v>
          </cell>
          <cell r="V13">
            <v>13</v>
          </cell>
          <cell r="W13">
            <v>855527.87</v>
          </cell>
          <cell r="X13">
            <v>1246631.95</v>
          </cell>
          <cell r="Z13" t="str">
            <v>H.O. Account</v>
          </cell>
          <cell r="AA13">
            <v>1</v>
          </cell>
          <cell r="AC13">
            <v>603166682.19999993</v>
          </cell>
          <cell r="BC13">
            <v>572440822.45999944</v>
          </cell>
        </row>
        <row r="14">
          <cell r="C14" t="str">
            <v>7- SUNDRY DEBTORS (UNSECURED)</v>
          </cell>
          <cell r="K14">
            <v>603166682.19999993</v>
          </cell>
          <cell r="L14">
            <v>572440822.45999944</v>
          </cell>
          <cell r="U14">
            <v>572440576</v>
          </cell>
        </row>
        <row r="15">
          <cell r="Z15" t="str">
            <v>Secured Loans</v>
          </cell>
          <cell r="AA15">
            <v>3</v>
          </cell>
          <cell r="AC15">
            <v>37558798.519999743</v>
          </cell>
          <cell r="BC15">
            <v>42226884.470000029</v>
          </cell>
        </row>
        <row r="16">
          <cell r="I16" t="str">
            <v>2- RESERVE AND SURPLUS</v>
          </cell>
          <cell r="W16">
            <v>1289902361.54</v>
          </cell>
          <cell r="X16">
            <v>1476742827.1900003</v>
          </cell>
        </row>
        <row r="17">
          <cell r="E17" t="str">
            <v>30.11.02</v>
          </cell>
          <cell r="G17" t="str">
            <v>31.03.02</v>
          </cell>
          <cell r="Z17" t="str">
            <v>Unsecured Loans</v>
          </cell>
          <cell r="AA17">
            <v>4</v>
          </cell>
          <cell r="AC17">
            <v>0</v>
          </cell>
          <cell r="BC17">
            <v>844093.93</v>
          </cell>
        </row>
        <row r="18">
          <cell r="E18" t="str">
            <v>Rs</v>
          </cell>
          <cell r="G18" t="str">
            <v>Rs</v>
          </cell>
          <cell r="K18" t="str">
            <v>AS AT 1.4.02</v>
          </cell>
          <cell r="L18" t="str">
            <v>ADDITIONS</v>
          </cell>
          <cell r="M18" t="str">
            <v>DEDUCTIONS</v>
          </cell>
          <cell r="N18" t="str">
            <v>AS AT 30.11.02</v>
          </cell>
          <cell r="U18" t="str">
            <v>EXPENDITURE</v>
          </cell>
        </row>
        <row r="19">
          <cell r="K19" t="str">
            <v>Rs</v>
          </cell>
          <cell r="N19" t="str">
            <v>Rs</v>
          </cell>
          <cell r="Z19" t="str">
            <v>TOTAL</v>
          </cell>
          <cell r="AC19">
            <v>640725480.71999967</v>
          </cell>
          <cell r="BC19">
            <v>615511800.85999942</v>
          </cell>
        </row>
        <row r="20">
          <cell r="C20" t="str">
            <v>Debts Exceeding 6 months :</v>
          </cell>
          <cell r="U20" t="str">
            <v>Cost of Sales and Services</v>
          </cell>
          <cell r="V20">
            <v>14</v>
          </cell>
          <cell r="W20">
            <v>1209472641.573</v>
          </cell>
          <cell r="X20">
            <v>1386893096.1174033</v>
          </cell>
        </row>
        <row r="21">
          <cell r="C21" t="str">
            <v xml:space="preserve"> - Considered Good</v>
          </cell>
          <cell r="D21">
            <v>-6138741.8900000267</v>
          </cell>
          <cell r="G21">
            <v>18138472.36999999</v>
          </cell>
          <cell r="I21" t="str">
            <v>Profit and Loss Account (Loss)</v>
          </cell>
          <cell r="K21">
            <v>-343239419.19380897</v>
          </cell>
          <cell r="L21">
            <v>-54388237.342999697</v>
          </cell>
          <cell r="M21">
            <v>0</v>
          </cell>
          <cell r="N21">
            <v>-397627656.53680867</v>
          </cell>
          <cell r="U21" t="str">
            <v>Personnel</v>
          </cell>
          <cell r="V21">
            <v>15</v>
          </cell>
          <cell r="W21">
            <v>55975273.560000002</v>
          </cell>
          <cell r="X21">
            <v>80916667.329999998</v>
          </cell>
          <cell r="Z21" t="str">
            <v>APPLICATION OF FUNDS</v>
          </cell>
        </row>
        <row r="22">
          <cell r="C22" t="str">
            <v xml:space="preserve"> - Considered Doubtful</v>
          </cell>
          <cell r="D22">
            <v>7995663.75</v>
          </cell>
          <cell r="G22">
            <v>5948406.1500000004</v>
          </cell>
          <cell r="U22" t="str">
            <v>Administration, Selling and Distribution</v>
          </cell>
          <cell r="V22">
            <v>16</v>
          </cell>
          <cell r="W22">
            <v>74344931.109999999</v>
          </cell>
          <cell r="X22">
            <v>97478920.27058658</v>
          </cell>
        </row>
        <row r="23">
          <cell r="D23">
            <v>1856921.8599999733</v>
          </cell>
          <cell r="G23">
            <v>24086878.519999988</v>
          </cell>
          <cell r="K23">
            <v>-343239419.19380897</v>
          </cell>
          <cell r="L23">
            <v>-54388237.342999697</v>
          </cell>
          <cell r="M23">
            <v>0</v>
          </cell>
          <cell r="N23">
            <v>-397627656.53680867</v>
          </cell>
          <cell r="U23" t="str">
            <v>Repairs and Maintenance</v>
          </cell>
          <cell r="V23">
            <v>17</v>
          </cell>
          <cell r="W23">
            <v>1262722.5</v>
          </cell>
          <cell r="X23">
            <v>1799378.08</v>
          </cell>
          <cell r="Z23" t="str">
            <v>FIXED ASSETS</v>
          </cell>
          <cell r="AA23">
            <v>5</v>
          </cell>
        </row>
        <row r="24">
          <cell r="C24" t="str">
            <v>Less : Provision for Doubtful Debts</v>
          </cell>
          <cell r="D24">
            <v>7995663.75</v>
          </cell>
          <cell r="E24">
            <v>-6138741.8900000267</v>
          </cell>
          <cell r="G24">
            <v>5948406.1500000004</v>
          </cell>
          <cell r="I24" t="str">
            <v>Previous Year</v>
          </cell>
          <cell r="N24">
            <v>-343239419.19380897</v>
          </cell>
          <cell r="U24" t="str">
            <v>Finance Charges</v>
          </cell>
          <cell r="V24">
            <v>18</v>
          </cell>
          <cell r="W24">
            <v>668027.07000000007</v>
          </cell>
          <cell r="X24">
            <v>430639.98</v>
          </cell>
          <cell r="Z24" t="str">
            <v>Gross Block</v>
          </cell>
          <cell r="AB24">
            <v>28051915.640000001</v>
          </cell>
          <cell r="BB24">
            <v>27012993.800000001</v>
          </cell>
        </row>
        <row r="25">
          <cell r="U25" t="str">
            <v>Depreciation</v>
          </cell>
          <cell r="V25">
            <v>5</v>
          </cell>
          <cell r="W25">
            <v>2567003.0700000003</v>
          </cell>
          <cell r="X25">
            <v>4229984.71</v>
          </cell>
          <cell r="Z25" t="str">
            <v>Less : Depreciation</v>
          </cell>
          <cell r="AB25">
            <v>21636848.370000001</v>
          </cell>
          <cell r="BB25">
            <v>19570414.260586586</v>
          </cell>
        </row>
        <row r="26">
          <cell r="C26" t="str">
            <v>Other Debts - Considered Good</v>
          </cell>
          <cell r="E26">
            <v>286932724.09000009</v>
          </cell>
          <cell r="G26">
            <v>267384218.53000015</v>
          </cell>
          <cell r="I26" t="str">
            <v>3. SECURED LOANS</v>
          </cell>
          <cell r="Z26" t="str">
            <v>Net Block</v>
          </cell>
          <cell r="AB26">
            <v>6415067.2699999996</v>
          </cell>
          <cell r="BB26">
            <v>7442579.5394134149</v>
          </cell>
        </row>
        <row r="27">
          <cell r="W27">
            <v>1344290598.8829997</v>
          </cell>
          <cell r="X27">
            <v>1571748686.4879897</v>
          </cell>
          <cell r="Z27" t="str">
            <v>Capital Work in Progress (including Capital Advances)</v>
          </cell>
          <cell r="AB27">
            <v>0</v>
          </cell>
          <cell r="AC27">
            <v>6415067.2699999996</v>
          </cell>
          <cell r="BB27">
            <v>0</v>
          </cell>
          <cell r="BC27">
            <v>7442579.5394134149</v>
          </cell>
        </row>
        <row r="28">
          <cell r="E28">
            <v>280793982.20000005</v>
          </cell>
          <cell r="G28">
            <v>285522690.90000015</v>
          </cell>
          <cell r="K28" t="str">
            <v>30.11.02</v>
          </cell>
          <cell r="L28" t="str">
            <v>30.06.01</v>
          </cell>
        </row>
        <row r="29">
          <cell r="K29" t="str">
            <v>Rs</v>
          </cell>
          <cell r="L29" t="str">
            <v>Rs</v>
          </cell>
          <cell r="U29" t="str">
            <v>LOSS FOR THE PERIOD</v>
          </cell>
          <cell r="W29">
            <v>-54388237.342999697</v>
          </cell>
          <cell r="X29">
            <v>-95005859.297989368</v>
          </cell>
          <cell r="Z29" t="str">
            <v>CURRENT ASSETS, LOANS &amp; ADVANCES</v>
          </cell>
        </row>
        <row r="30">
          <cell r="C30" t="str">
            <v>8- CASH AND BANK BALANCES</v>
          </cell>
          <cell r="Z30" t="str">
            <v>Inventories</v>
          </cell>
          <cell r="AA30">
            <v>6</v>
          </cell>
          <cell r="AB30">
            <v>139641379.05000001</v>
          </cell>
          <cell r="BB30">
            <v>128748751.49000001</v>
          </cell>
        </row>
        <row r="31">
          <cell r="I31" t="str">
            <v>From Banks :</v>
          </cell>
          <cell r="U31" t="str">
            <v>LOSS AVAILABLE FOR APPROPRIATION</v>
          </cell>
          <cell r="W31">
            <v>-54388237.342999697</v>
          </cell>
          <cell r="X31">
            <v>-95005859.297989368</v>
          </cell>
          <cell r="Z31" t="str">
            <v>Sundry Debtors</v>
          </cell>
          <cell r="AA31">
            <v>7</v>
          </cell>
          <cell r="AB31">
            <v>280793982.20000005</v>
          </cell>
          <cell r="BB31">
            <v>285522690.90000015</v>
          </cell>
        </row>
        <row r="32">
          <cell r="E32" t="str">
            <v>30.11.02</v>
          </cell>
          <cell r="G32" t="str">
            <v>31.03.02</v>
          </cell>
          <cell r="Z32" t="str">
            <v>Cash and Bank Balances</v>
          </cell>
          <cell r="AA32">
            <v>8</v>
          </cell>
          <cell r="AB32">
            <v>870344.80999992788</v>
          </cell>
          <cell r="BB32">
            <v>11111999.689999949</v>
          </cell>
        </row>
        <row r="33">
          <cell r="E33" t="str">
            <v>Rs</v>
          </cell>
          <cell r="G33" t="str">
            <v>Rs</v>
          </cell>
          <cell r="I33" t="str">
            <v>Cash Credit</v>
          </cell>
          <cell r="K33">
            <v>37558798.519999743</v>
          </cell>
          <cell r="L33">
            <v>42226884.470000029</v>
          </cell>
          <cell r="U33" t="str">
            <v>ACCOUNTING POLICIES</v>
          </cell>
          <cell r="V33">
            <v>19</v>
          </cell>
          <cell r="Z33" t="str">
            <v>Other Current Assets</v>
          </cell>
          <cell r="AA33">
            <v>9</v>
          </cell>
          <cell r="AB33">
            <v>3938641.84</v>
          </cell>
          <cell r="BB33">
            <v>6228638.4399999995</v>
          </cell>
        </row>
        <row r="34">
          <cell r="U34" t="str">
            <v>NOTES TO ACCOUNTS</v>
          </cell>
          <cell r="V34">
            <v>20</v>
          </cell>
          <cell r="Z34" t="str">
            <v>Loans and Advances</v>
          </cell>
          <cell r="AA34">
            <v>10</v>
          </cell>
          <cell r="AB34">
            <v>14470080.970000003</v>
          </cell>
          <cell r="BB34">
            <v>10113685.030500002</v>
          </cell>
        </row>
        <row r="35">
          <cell r="C35" t="str">
            <v>Cash in Hand and in Transit</v>
          </cell>
          <cell r="E35">
            <v>541371.34000000358</v>
          </cell>
          <cell r="G35">
            <v>9431265.1700000055</v>
          </cell>
          <cell r="K35">
            <v>37558798.519999743</v>
          </cell>
          <cell r="L35">
            <v>42226884.470000029</v>
          </cell>
          <cell r="AB35">
            <v>439714428.87</v>
          </cell>
          <cell r="BB35">
            <v>441725765.55050009</v>
          </cell>
        </row>
        <row r="36">
          <cell r="C36" t="str">
            <v>(Includes Cheques in Hand : Rs 90.04  lacs ; Previous Year Rs. 88.70 lacs )</v>
          </cell>
          <cell r="Z36" t="str">
            <v>CURRENT LIABILITIES &amp; PROVISIONS</v>
          </cell>
          <cell r="AA36">
            <v>11</v>
          </cell>
        </row>
        <row r="37">
          <cell r="Z37" t="str">
            <v>Current Liabilities</v>
          </cell>
          <cell r="AB37">
            <v>196198842.95300007</v>
          </cell>
          <cell r="BB37">
            <v>172829112.42049998</v>
          </cell>
        </row>
        <row r="38">
          <cell r="C38" t="str">
            <v>Balances with Scheduled Banks</v>
          </cell>
          <cell r="Z38" t="str">
            <v>Provisions</v>
          </cell>
          <cell r="AB38">
            <v>6832829</v>
          </cell>
          <cell r="BB38">
            <v>4066851</v>
          </cell>
        </row>
        <row r="39">
          <cell r="C39" t="str">
            <v xml:space="preserve"> - On Current Accounts</v>
          </cell>
          <cell r="E39">
            <v>328973.4699999243</v>
          </cell>
          <cell r="G39">
            <v>1680734.5199999441</v>
          </cell>
          <cell r="AB39">
            <v>203031671.95300007</v>
          </cell>
          <cell r="BB39">
            <v>176895963.42049998</v>
          </cell>
        </row>
        <row r="40">
          <cell r="I40" t="str">
            <v>4. UNSECURED LOANS</v>
          </cell>
          <cell r="Z40" t="str">
            <v>NET CURRENT ASSETS</v>
          </cell>
          <cell r="AC40">
            <v>236682756.91699994</v>
          </cell>
          <cell r="BC40">
            <v>264829802.13000011</v>
          </cell>
        </row>
        <row r="42">
          <cell r="E42">
            <v>870344.80999992788</v>
          </cell>
          <cell r="G42">
            <v>11111999.689999949</v>
          </cell>
          <cell r="K42" t="str">
            <v>30.11.02</v>
          </cell>
          <cell r="L42" t="str">
            <v>30.06.01</v>
          </cell>
          <cell r="Z42" t="str">
            <v>ACCUMULATED LOSS</v>
          </cell>
          <cell r="AC42">
            <v>397627656.53680867</v>
          </cell>
          <cell r="BC42">
            <v>343239419.19380939</v>
          </cell>
        </row>
        <row r="43">
          <cell r="K43" t="str">
            <v>Rs</v>
          </cell>
          <cell r="L43" t="str">
            <v>Rs</v>
          </cell>
        </row>
        <row r="44">
          <cell r="C44" t="str">
            <v>9- OTHER CURRENT ASSETS</v>
          </cell>
        </row>
        <row r="45">
          <cell r="I45" t="str">
            <v>From Banks :</v>
          </cell>
          <cell r="Z45" t="str">
            <v>TOTAL</v>
          </cell>
          <cell r="AC45">
            <v>640725480.72380865</v>
          </cell>
          <cell r="BC45">
            <v>615511800.86322284</v>
          </cell>
        </row>
        <row r="46">
          <cell r="E46" t="str">
            <v>30.11.02</v>
          </cell>
          <cell r="G46" t="str">
            <v>31.03.02</v>
          </cell>
        </row>
        <row r="47">
          <cell r="E47" t="str">
            <v>Rs</v>
          </cell>
          <cell r="G47" t="str">
            <v>Rs</v>
          </cell>
          <cell r="I47" t="str">
            <v>Book Overdarft</v>
          </cell>
          <cell r="K47">
            <v>0</v>
          </cell>
          <cell r="L47">
            <v>844093.93</v>
          </cell>
          <cell r="Z47" t="str">
            <v>ACCOUNTING POLICIES</v>
          </cell>
          <cell r="AA47">
            <v>19</v>
          </cell>
        </row>
        <row r="48">
          <cell r="Z48" t="str">
            <v>NOTES TO ACCOUNTS</v>
          </cell>
          <cell r="AA48">
            <v>20</v>
          </cell>
        </row>
        <row r="49">
          <cell r="C49" t="str">
            <v>Deposits</v>
          </cell>
          <cell r="E49">
            <v>3029395</v>
          </cell>
          <cell r="G49">
            <v>4086250</v>
          </cell>
          <cell r="K49">
            <v>0</v>
          </cell>
          <cell r="L49">
            <v>844093.93</v>
          </cell>
        </row>
        <row r="50">
          <cell r="C50" t="str">
            <v>Prepaid Expenses</v>
          </cell>
          <cell r="E50">
            <v>909246.84</v>
          </cell>
          <cell r="G50">
            <v>2142388.44</v>
          </cell>
        </row>
        <row r="52">
          <cell r="E52">
            <v>3938641.84</v>
          </cell>
          <cell r="G52">
            <v>6228638.4399999995</v>
          </cell>
        </row>
        <row r="57">
          <cell r="C57" t="str">
            <v>SCHEDULES TO THE BALANCE SHEET AS AT</v>
          </cell>
        </row>
        <row r="59">
          <cell r="C59" t="str">
            <v>10- LOANS AND ADVANCES</v>
          </cell>
        </row>
        <row r="61">
          <cell r="E61" t="str">
            <v>30.11.02</v>
          </cell>
          <cell r="G61" t="str">
            <v>31.03.02</v>
          </cell>
        </row>
        <row r="62">
          <cell r="E62" t="str">
            <v>Rs</v>
          </cell>
          <cell r="G62" t="str">
            <v>Rs</v>
          </cell>
        </row>
        <row r="64">
          <cell r="C64" t="str">
            <v>Amount recoverable in cash or in kind or for</v>
          </cell>
        </row>
        <row r="65">
          <cell r="C65" t="str">
            <v xml:space="preserve">  value to be received</v>
          </cell>
        </row>
        <row r="66">
          <cell r="C66" t="str">
            <v xml:space="preserve"> - Unsecured considered good</v>
          </cell>
          <cell r="E66">
            <v>10652327.950000003</v>
          </cell>
          <cell r="G66">
            <v>8905263.3605000023</v>
          </cell>
        </row>
        <row r="67">
          <cell r="C67" t="str">
            <v xml:space="preserve"> - Advances and Loans to Subsidiaries</v>
          </cell>
          <cell r="E67">
            <v>2272745.04</v>
          </cell>
          <cell r="G67">
            <v>303649.17</v>
          </cell>
        </row>
        <row r="68">
          <cell r="C68" t="str">
            <v>Advance Tax</v>
          </cell>
        </row>
        <row r="69">
          <cell r="C69" t="str">
            <v xml:space="preserve"> - TDS Customers</v>
          </cell>
          <cell r="D69">
            <v>1545007.98</v>
          </cell>
          <cell r="G69">
            <v>904772.5</v>
          </cell>
        </row>
        <row r="70">
          <cell r="C70" t="str">
            <v xml:space="preserve"> - Withholding Tax</v>
          </cell>
          <cell r="D70">
            <v>0</v>
          </cell>
          <cell r="E70">
            <v>1545007.98</v>
          </cell>
          <cell r="G70">
            <v>0</v>
          </cell>
        </row>
        <row r="73">
          <cell r="E73">
            <v>14470080.970000003</v>
          </cell>
          <cell r="G73">
            <v>10113685.030500002</v>
          </cell>
        </row>
        <row r="75">
          <cell r="C75" t="str">
            <v>11- CURRENT LIABILITIES AND PROVISIONS</v>
          </cell>
        </row>
        <row r="77">
          <cell r="E77" t="str">
            <v>30.11.02</v>
          </cell>
          <cell r="G77" t="str">
            <v>31.03.02</v>
          </cell>
        </row>
        <row r="78">
          <cell r="E78" t="str">
            <v>Rs</v>
          </cell>
          <cell r="G78" t="str">
            <v>Rs</v>
          </cell>
        </row>
        <row r="80">
          <cell r="C80" t="str">
            <v>CURRENT LIABILITIES :</v>
          </cell>
        </row>
        <row r="82">
          <cell r="C82" t="str">
            <v>Acceptances</v>
          </cell>
          <cell r="E82">
            <v>73049759.287950739</v>
          </cell>
          <cell r="G82">
            <v>53777947.765499994</v>
          </cell>
        </row>
        <row r="83">
          <cell r="C83" t="str">
            <v>Sundry Creditors</v>
          </cell>
        </row>
        <row r="84">
          <cell r="C84" t="str">
            <v xml:space="preserve"> - Due to Subsidiaries</v>
          </cell>
          <cell r="D84">
            <v>0</v>
          </cell>
        </row>
        <row r="85">
          <cell r="C85" t="str">
            <v xml:space="preserve"> - Due to SSI Undertakings</v>
          </cell>
          <cell r="D85">
            <v>0</v>
          </cell>
          <cell r="G85">
            <v>0</v>
          </cell>
        </row>
        <row r="86">
          <cell r="C86" t="str">
            <v xml:space="preserve"> - Others </v>
          </cell>
          <cell r="D86">
            <v>58754625.235049292</v>
          </cell>
          <cell r="E86">
            <v>58754625.235049292</v>
          </cell>
          <cell r="G86">
            <v>47559159.185000002</v>
          </cell>
        </row>
        <row r="87">
          <cell r="C87" t="str">
            <v>Sundry Deposits</v>
          </cell>
          <cell r="E87">
            <v>12372730</v>
          </cell>
          <cell r="G87">
            <v>9934543</v>
          </cell>
        </row>
        <row r="88">
          <cell r="C88" t="str">
            <v>Advances from Customers</v>
          </cell>
          <cell r="E88">
            <v>8252499.9999999944</v>
          </cell>
          <cell r="G88">
            <v>19119064.130000003</v>
          </cell>
        </row>
        <row r="89">
          <cell r="C89" t="str">
            <v>Unaccrued Service Revenue</v>
          </cell>
          <cell r="E89">
            <v>6449274.9999999981</v>
          </cell>
          <cell r="G89">
            <v>9716408.3299999982</v>
          </cell>
        </row>
        <row r="90">
          <cell r="C90" t="str">
            <v>Interest Accrued bt not due</v>
          </cell>
          <cell r="E90">
            <v>116842</v>
          </cell>
          <cell r="G90">
            <v>0</v>
          </cell>
        </row>
        <row r="91">
          <cell r="C91" t="str">
            <v>Other Liabilities</v>
          </cell>
          <cell r="E91">
            <v>37203111.430000044</v>
          </cell>
          <cell r="G91">
            <v>32721990.00999999</v>
          </cell>
        </row>
        <row r="92">
          <cell r="E92">
            <v>196198842.95300007</v>
          </cell>
          <cell r="G92">
            <v>172829112.42049998</v>
          </cell>
        </row>
        <row r="94">
          <cell r="C94" t="str">
            <v>PROVISIONS :</v>
          </cell>
        </row>
        <row r="96">
          <cell r="C96" t="str">
            <v>For Warranty Liability</v>
          </cell>
          <cell r="E96">
            <v>3959558</v>
          </cell>
          <cell r="G96">
            <v>1538977</v>
          </cell>
        </row>
        <row r="97">
          <cell r="C97" t="str">
            <v>For Gratuity &amp; Other Employee Benefits</v>
          </cell>
          <cell r="E97">
            <v>2873271</v>
          </cell>
          <cell r="G97">
            <v>2527874</v>
          </cell>
        </row>
        <row r="98">
          <cell r="E98">
            <v>6832829</v>
          </cell>
          <cell r="G98">
            <v>4066851</v>
          </cell>
        </row>
        <row r="99">
          <cell r="E99">
            <v>203031671.95300007</v>
          </cell>
          <cell r="G99">
            <v>176895963.42049998</v>
          </cell>
        </row>
        <row r="102">
          <cell r="C102" t="str">
            <v>SCHEDULES TO THE PROFIT AND LOSS ACCOUNT FOR THE YEAR ENDED</v>
          </cell>
        </row>
        <row r="104">
          <cell r="C104" t="str">
            <v>12- BUSINESS INCOME</v>
          </cell>
        </row>
        <row r="106">
          <cell r="E106" t="str">
            <v>30.11.02</v>
          </cell>
          <cell r="G106" t="str">
            <v>31.03.02</v>
          </cell>
        </row>
        <row r="107">
          <cell r="E107" t="str">
            <v>Rs</v>
          </cell>
          <cell r="G107" t="str">
            <v>Rs</v>
          </cell>
        </row>
        <row r="109">
          <cell r="C109" t="str">
            <v>Sales and Related Income</v>
          </cell>
          <cell r="E109">
            <v>1267015239.48</v>
          </cell>
          <cell r="G109">
            <v>1433506215.8806126</v>
          </cell>
        </row>
        <row r="110">
          <cell r="C110" t="str">
            <v>Services</v>
          </cell>
          <cell r="E110">
            <v>22031594.189999998</v>
          </cell>
          <cell r="G110">
            <v>41989979.359387673</v>
          </cell>
        </row>
        <row r="112">
          <cell r="E112">
            <v>1289046833.6700001</v>
          </cell>
          <cell r="G112">
            <v>1475496195.2400002</v>
          </cell>
        </row>
        <row r="115">
          <cell r="C115" t="str">
            <v>13- OTHER INCOME</v>
          </cell>
        </row>
        <row r="117">
          <cell r="E117" t="str">
            <v>30.11.02</v>
          </cell>
          <cell r="G117" t="str">
            <v>31.03.02</v>
          </cell>
        </row>
        <row r="118">
          <cell r="E118" t="str">
            <v>Rs</v>
          </cell>
          <cell r="G118" t="str">
            <v>Rs</v>
          </cell>
        </row>
        <row r="120">
          <cell r="C120" t="str">
            <v>Liabilities no Longer Required Written Back</v>
          </cell>
          <cell r="E120">
            <v>651966.87</v>
          </cell>
          <cell r="G120">
            <v>739110.83</v>
          </cell>
        </row>
        <row r="121">
          <cell r="C121" t="str">
            <v>Miscellaneous Income (TDS : Nil ; Previous Year : Nil)</v>
          </cell>
          <cell r="E121">
            <v>203561</v>
          </cell>
          <cell r="G121">
            <v>507521.12</v>
          </cell>
        </row>
        <row r="124">
          <cell r="E124">
            <v>855527.87</v>
          </cell>
          <cell r="G124">
            <v>1246631.95</v>
          </cell>
        </row>
        <row r="127">
          <cell r="C127" t="str">
            <v>14- COST OF SALES AND SERVICES</v>
          </cell>
        </row>
        <row r="129">
          <cell r="E129" t="str">
            <v>30.11.02</v>
          </cell>
          <cell r="G129" t="str">
            <v>31.03.02</v>
          </cell>
        </row>
        <row r="130">
          <cell r="E130" t="str">
            <v>Rs</v>
          </cell>
          <cell r="G130" t="str">
            <v>Rs</v>
          </cell>
        </row>
        <row r="132">
          <cell r="C132" t="str">
            <v>Purchase of Finished Goods and Services</v>
          </cell>
          <cell r="E132">
            <v>1234353189.803</v>
          </cell>
          <cell r="G132">
            <v>1391074844.5474033</v>
          </cell>
        </row>
        <row r="133">
          <cell r="C133" t="str">
            <v>Telesupport / Indent Margin from Insys</v>
          </cell>
          <cell r="E133">
            <v>-40591546.32</v>
          </cell>
          <cell r="G133">
            <v>-53435861.659999996</v>
          </cell>
        </row>
        <row r="134">
          <cell r="C134" t="str">
            <v>Stores and Spares Consumed</v>
          </cell>
          <cell r="E134">
            <v>22508261.290000007</v>
          </cell>
          <cell r="G134">
            <v>58423524.819999993</v>
          </cell>
        </row>
        <row r="135">
          <cell r="C135" t="str">
            <v>Royalty</v>
          </cell>
          <cell r="E135">
            <v>2092867.36</v>
          </cell>
          <cell r="G135">
            <v>2360122.2000000002</v>
          </cell>
        </row>
        <row r="136">
          <cell r="E136">
            <v>1218362772.1329999</v>
          </cell>
          <cell r="G136">
            <v>1398422629.9074032</v>
          </cell>
        </row>
        <row r="138">
          <cell r="C138" t="str">
            <v>Closing Stock</v>
          </cell>
        </row>
        <row r="139">
          <cell r="C139" t="str">
            <v xml:space="preserve"> - Finished Goods (Including in Transit)</v>
          </cell>
          <cell r="E139">
            <v>100141379.05000001</v>
          </cell>
          <cell r="G139">
            <v>91251248.49000001</v>
          </cell>
        </row>
        <row r="141">
          <cell r="C141" t="str">
            <v>Opening Stock</v>
          </cell>
        </row>
        <row r="142">
          <cell r="C142" t="str">
            <v xml:space="preserve"> - Finished Goods (Including in Transit)</v>
          </cell>
          <cell r="E142">
            <v>91251248.49000001</v>
          </cell>
          <cell r="G142">
            <v>79721714.699999988</v>
          </cell>
        </row>
        <row r="144">
          <cell r="E144">
            <v>91251248.49000001</v>
          </cell>
          <cell r="G144">
            <v>79721714.699999988</v>
          </cell>
        </row>
        <row r="145">
          <cell r="E145">
            <v>-8890130.5600000024</v>
          </cell>
          <cell r="G145">
            <v>-11529533.790000021</v>
          </cell>
        </row>
        <row r="146">
          <cell r="E146">
            <v>1209472641.573</v>
          </cell>
          <cell r="G146">
            <v>1386893096.1174033</v>
          </cell>
        </row>
        <row r="148">
          <cell r="C148" t="str">
            <v>15- PERSONNEL</v>
          </cell>
        </row>
        <row r="150">
          <cell r="E150" t="str">
            <v>30.11.02</v>
          </cell>
          <cell r="G150" t="str">
            <v>31.03.02</v>
          </cell>
        </row>
        <row r="151">
          <cell r="E151" t="str">
            <v>Rs</v>
          </cell>
          <cell r="G151" t="str">
            <v>Rs</v>
          </cell>
        </row>
        <row r="153">
          <cell r="C153" t="str">
            <v>Salaries, Wages, Allowances, Bonus &amp; Gratuity</v>
          </cell>
          <cell r="E153">
            <v>52434833.100000001</v>
          </cell>
          <cell r="G153">
            <v>65908311.810000002</v>
          </cell>
        </row>
        <row r="154">
          <cell r="C154" t="str">
            <v>Contribution to Provident Fund &amp; Other Funds</v>
          </cell>
          <cell r="E154">
            <v>1341558.46</v>
          </cell>
          <cell r="G154">
            <v>2073067.67</v>
          </cell>
        </row>
        <row r="155">
          <cell r="C155" t="str">
            <v>Staff Welfare Expenses</v>
          </cell>
          <cell r="E155">
            <v>2198882</v>
          </cell>
          <cell r="G155">
            <v>3940632.85</v>
          </cell>
        </row>
        <row r="156">
          <cell r="C156" t="str">
            <v>Advance Equity Trust Written Off</v>
          </cell>
          <cell r="E156">
            <v>0</v>
          </cell>
          <cell r="G156">
            <v>8994655</v>
          </cell>
        </row>
        <row r="158">
          <cell r="E158">
            <v>55975273.560000002</v>
          </cell>
          <cell r="G158">
            <v>80916667.329999998</v>
          </cell>
        </row>
        <row r="160">
          <cell r="C160" t="str">
            <v>SCHEDULES TO THE PROFIT AND LOSS ACCOUNT FOR THE YEAR ENDED</v>
          </cell>
        </row>
        <row r="162">
          <cell r="C162" t="str">
            <v>16- ADMINISTRATION, SELLING AND DISTRIBUTION</v>
          </cell>
        </row>
        <row r="164">
          <cell r="E164" t="str">
            <v>30.11.02</v>
          </cell>
          <cell r="G164" t="str">
            <v>31.03.02</v>
          </cell>
        </row>
        <row r="165">
          <cell r="E165" t="str">
            <v>Rs</v>
          </cell>
          <cell r="G165" t="str">
            <v>Rs</v>
          </cell>
        </row>
        <row r="167">
          <cell r="C167" t="str">
            <v>Rent</v>
          </cell>
          <cell r="E167">
            <v>1475303.82</v>
          </cell>
          <cell r="G167">
            <v>14868432.989999998</v>
          </cell>
        </row>
        <row r="168">
          <cell r="C168" t="str">
            <v>Rates and Taxes</v>
          </cell>
          <cell r="E168">
            <v>455193.00000000017</v>
          </cell>
          <cell r="G168">
            <v>433469.74</v>
          </cell>
        </row>
        <row r="169">
          <cell r="C169" t="str">
            <v>Printing and Stationery</v>
          </cell>
          <cell r="E169">
            <v>1193668</v>
          </cell>
          <cell r="G169">
            <v>2040516.31</v>
          </cell>
        </row>
        <row r="170">
          <cell r="C170" t="str">
            <v>Communication</v>
          </cell>
          <cell r="E170">
            <v>6093102.0599999996</v>
          </cell>
          <cell r="G170">
            <v>10658680.939999999</v>
          </cell>
        </row>
        <row r="171">
          <cell r="C171" t="str">
            <v>Travelling and Conveyance</v>
          </cell>
          <cell r="E171">
            <v>10328096.940000001</v>
          </cell>
          <cell r="G171">
            <v>14347144.68</v>
          </cell>
        </row>
        <row r="172">
          <cell r="C172" t="str">
            <v>Packing, Freight and Forwarding</v>
          </cell>
          <cell r="E172">
            <v>22749341.900000002</v>
          </cell>
          <cell r="G172">
            <v>24986171.199999999</v>
          </cell>
        </row>
        <row r="173">
          <cell r="C173" t="str">
            <v>Legal and Professional</v>
          </cell>
          <cell r="E173">
            <v>4412526.68</v>
          </cell>
          <cell r="G173">
            <v>3863896.5</v>
          </cell>
        </row>
        <row r="174">
          <cell r="C174" t="str">
            <v>Traning and Conference</v>
          </cell>
          <cell r="E174">
            <v>788751.77</v>
          </cell>
          <cell r="G174">
            <v>1540784</v>
          </cell>
        </row>
        <row r="175">
          <cell r="C175" t="str">
            <v>Office Electricity and Water</v>
          </cell>
          <cell r="E175">
            <v>1828935.2</v>
          </cell>
          <cell r="G175">
            <v>2591698.6</v>
          </cell>
        </row>
        <row r="176">
          <cell r="C176" t="str">
            <v>Miscellaneous</v>
          </cell>
          <cell r="E176">
            <v>749752.85</v>
          </cell>
          <cell r="G176">
            <v>1570622.3905865857</v>
          </cell>
        </row>
        <row r="177">
          <cell r="C177" t="str">
            <v>Insurance</v>
          </cell>
          <cell r="E177">
            <v>1497265.85</v>
          </cell>
          <cell r="G177">
            <v>2221713.21</v>
          </cell>
        </row>
        <row r="178">
          <cell r="C178" t="str">
            <v>Advertisement, Publicity &amp; Entertainment</v>
          </cell>
          <cell r="E178">
            <v>17076979.490000002</v>
          </cell>
          <cell r="G178">
            <v>10980592.219999999</v>
          </cell>
        </row>
        <row r="179">
          <cell r="C179" t="str">
            <v>Computer Equipment &amp; Vehicle Hire Charges</v>
          </cell>
          <cell r="E179">
            <v>482399</v>
          </cell>
          <cell r="G179">
            <v>587217.05000000005</v>
          </cell>
        </row>
        <row r="180">
          <cell r="C180" t="str">
            <v>Loss on Foreign Exchange Fluctuation (Net)</v>
          </cell>
          <cell r="E180">
            <v>-1849624.69</v>
          </cell>
          <cell r="G180">
            <v>695478.92</v>
          </cell>
        </row>
        <row r="181">
          <cell r="C181" t="str">
            <v>Loss / Profit on Sale of Fixed Assets  (Net)</v>
          </cell>
          <cell r="E181">
            <v>0</v>
          </cell>
          <cell r="G181">
            <v>109211.09</v>
          </cell>
        </row>
        <row r="182">
          <cell r="C182" t="str">
            <v>Bank Charges</v>
          </cell>
          <cell r="E182">
            <v>4963239.24</v>
          </cell>
          <cell r="G182">
            <v>4483290.43</v>
          </cell>
        </row>
        <row r="183">
          <cell r="C183" t="str">
            <v>Provision for Doubtful Debts</v>
          </cell>
          <cell r="E183">
            <v>2100000</v>
          </cell>
          <cell r="G183">
            <v>1500000</v>
          </cell>
        </row>
        <row r="185">
          <cell r="E185">
            <v>74344931.109999999</v>
          </cell>
          <cell r="G185">
            <v>97478920.27058658</v>
          </cell>
        </row>
        <row r="188">
          <cell r="C188" t="str">
            <v>17- REPAIRS AND MAINTENANCE</v>
          </cell>
        </row>
        <row r="190">
          <cell r="E190" t="str">
            <v>30.11.02</v>
          </cell>
          <cell r="G190" t="str">
            <v>31.03.02</v>
          </cell>
        </row>
        <row r="191">
          <cell r="E191" t="str">
            <v>Rs</v>
          </cell>
          <cell r="G191" t="str">
            <v>Rs</v>
          </cell>
        </row>
        <row r="193">
          <cell r="C193" t="str">
            <v>Others</v>
          </cell>
          <cell r="E193">
            <v>1262722.5</v>
          </cell>
          <cell r="G193">
            <v>1799378.08</v>
          </cell>
        </row>
        <row r="195">
          <cell r="E195">
            <v>1262722.5</v>
          </cell>
          <cell r="G195">
            <v>1799378.08</v>
          </cell>
        </row>
        <row r="197">
          <cell r="C197" t="str">
            <v>18- FINANCE CHARGES</v>
          </cell>
        </row>
        <row r="198">
          <cell r="D198">
            <v>132250954.23999999</v>
          </cell>
        </row>
        <row r="199">
          <cell r="E199" t="str">
            <v>30.11.02</v>
          </cell>
          <cell r="G199" t="str">
            <v>31.03.02</v>
          </cell>
        </row>
        <row r="200">
          <cell r="E200" t="str">
            <v>Rs</v>
          </cell>
          <cell r="G200" t="str">
            <v>Rs</v>
          </cell>
        </row>
        <row r="202">
          <cell r="C202" t="str">
            <v>Others</v>
          </cell>
          <cell r="E202">
            <v>668027.07000000007</v>
          </cell>
          <cell r="G202">
            <v>430639.98</v>
          </cell>
        </row>
        <row r="203">
          <cell r="C203" t="str">
            <v>(Interest recovered from employees Rs. Nil ; Previous Year :  Rs. Nil lacs)</v>
          </cell>
        </row>
        <row r="204">
          <cell r="E204">
            <v>668027.07000000007</v>
          </cell>
          <cell r="G204">
            <v>430639.98</v>
          </cell>
        </row>
      </sheetData>
      <sheetData sheetId="5"/>
      <sheetData sheetId="6" refreshError="1"/>
      <sheetData sheetId="7" refreshError="1"/>
      <sheetData sheetId="8" refreshError="1"/>
      <sheetData sheetId="9"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Sch 1-6"/>
      <sheetName val="FA-cos"/>
      <sheetName val="Sch7-12"/>
      <sheetName val="IT dep"/>
      <sheetName val="Abstract"/>
      <sheetName val="Taxation"/>
      <sheetName val="chk"/>
    </sheetNames>
    <sheetDataSet>
      <sheetData sheetId="0" refreshError="1"/>
      <sheetData sheetId="1" refreshError="1"/>
      <sheetData sheetId="2">
        <row r="15">
          <cell r="D15">
            <v>1000000</v>
          </cell>
          <cell r="E15">
            <v>1000000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endix 2.2 variances"/>
      <sheetName val="appendix 2.5 final accounts"/>
      <sheetName val="appendix 2.8 provisions"/>
      <sheetName val="cashflow"/>
      <sheetName val="01"/>
      <sheetName val="Final VA"/>
      <sheetName val="Cum value"/>
      <sheetName val="doq"/>
      <sheetName val="Sheet1"/>
      <sheetName val="appendix_2_2_variances"/>
      <sheetName val="appendix_2_5_final_accounts"/>
      <sheetName val="appendix_2_8_provisions"/>
      <sheetName val="Final_VA"/>
      <sheetName val="appendix_2_2_variances1"/>
      <sheetName val="appendix_2_5_final_accounts1"/>
      <sheetName val="appendix_2_8_provisions1"/>
      <sheetName val="Final_VA1"/>
      <sheetName val="TBAL9697 -group wise  sdpl"/>
      <sheetName val="data"/>
      <sheetName val="master"/>
      <sheetName val="Rate Analysis"/>
      <sheetName val="S1BOQ"/>
    </sheetNames>
    <sheetDataSet>
      <sheetData sheetId="0">
        <row r="1">
          <cell r="A1" t="str">
            <v>Skanska Cementation India Limited</v>
          </cell>
        </row>
      </sheetData>
      <sheetData sheetId="1" refreshError="1">
        <row r="1">
          <cell r="A1" t="str">
            <v>Skanska Cementation India Limited</v>
          </cell>
        </row>
        <row r="2">
          <cell r="A2" t="str">
            <v>Business Unit II</v>
          </cell>
        </row>
        <row r="3">
          <cell r="A3" t="str">
            <v>Final account balances</v>
          </cell>
        </row>
        <row r="4">
          <cell r="A4" t="str">
            <v>Currency millions</v>
          </cell>
          <cell r="B4" t="str">
            <v>Please include projects where contract is complete and work in progress is over £1m (or local currency equivalent)</v>
          </cell>
        </row>
        <row r="5">
          <cell r="B5" t="str">
            <v>Final account outstanding</v>
          </cell>
          <cell r="F5" t="str">
            <v>Forecast to achieve</v>
          </cell>
          <cell r="L5" t="str">
            <v>Unagreed</v>
          </cell>
          <cell r="M5" t="str">
            <v>Unagreed items</v>
          </cell>
        </row>
        <row r="6">
          <cell r="A6" t="str">
            <v>Contract</v>
          </cell>
          <cell r="B6" t="str">
            <v>Commercial</v>
          </cell>
          <cell r="C6" t="str">
            <v>Cash</v>
          </cell>
          <cell r="F6">
            <v>2004</v>
          </cell>
          <cell r="G6">
            <v>2004</v>
          </cell>
          <cell r="H6">
            <v>2004</v>
          </cell>
          <cell r="I6">
            <v>2004</v>
          </cell>
          <cell r="J6">
            <v>2005</v>
          </cell>
          <cell r="K6">
            <v>2006</v>
          </cell>
          <cell r="L6" t="str">
            <v>items included</v>
          </cell>
          <cell r="M6" t="str">
            <v>included in</v>
          </cell>
          <cell r="N6" t="str">
            <v>Provisions</v>
          </cell>
        </row>
        <row r="7">
          <cell r="B7" t="str">
            <v>value</v>
          </cell>
          <cell r="C7" t="str">
            <v>rec'd</v>
          </cell>
          <cell r="D7" t="str">
            <v>Retention</v>
          </cell>
          <cell r="E7" t="str">
            <v>Net</v>
          </cell>
          <cell r="F7" t="str">
            <v>Mar</v>
          </cell>
          <cell r="G7" t="str">
            <v>Jun</v>
          </cell>
          <cell r="H7" t="str">
            <v>Sep</v>
          </cell>
          <cell r="I7" t="str">
            <v>Dec</v>
          </cell>
          <cell r="K7" t="str">
            <v>and later</v>
          </cell>
          <cell r="L7" t="str">
            <v>to date</v>
          </cell>
          <cell r="M7" t="str">
            <v>forecast</v>
          </cell>
        </row>
        <row r="8">
          <cell r="A8" t="str">
            <v xml:space="preserve">M K V D C - ARPHAL </v>
          </cell>
          <cell r="B8">
            <v>140</v>
          </cell>
          <cell r="D8">
            <v>19</v>
          </cell>
          <cell r="E8">
            <v>121</v>
          </cell>
          <cell r="F8">
            <v>110</v>
          </cell>
          <cell r="G8">
            <v>11</v>
          </cell>
          <cell r="K8">
            <v>0</v>
          </cell>
        </row>
        <row r="9">
          <cell r="A9" t="str">
            <v xml:space="preserve">D M R C - II - DELHI </v>
          </cell>
          <cell r="B9">
            <v>98</v>
          </cell>
          <cell r="D9">
            <v>0</v>
          </cell>
          <cell r="E9">
            <v>98</v>
          </cell>
          <cell r="F9">
            <v>89</v>
          </cell>
          <cell r="G9">
            <v>9</v>
          </cell>
          <cell r="K9">
            <v>0</v>
          </cell>
        </row>
        <row r="10">
          <cell r="A10" t="str">
            <v xml:space="preserve">NHAI - AP 4 A </v>
          </cell>
          <cell r="B10">
            <v>79</v>
          </cell>
          <cell r="D10">
            <v>4</v>
          </cell>
          <cell r="E10">
            <v>75</v>
          </cell>
          <cell r="F10">
            <v>41</v>
          </cell>
          <cell r="G10">
            <v>34</v>
          </cell>
          <cell r="K10">
            <v>0</v>
          </cell>
        </row>
        <row r="11">
          <cell r="A11" t="str">
            <v xml:space="preserve">NHAI - AP 4 B </v>
          </cell>
          <cell r="B11">
            <v>138</v>
          </cell>
          <cell r="D11">
            <v>21</v>
          </cell>
          <cell r="E11">
            <v>117</v>
          </cell>
          <cell r="F11">
            <v>75</v>
          </cell>
          <cell r="G11">
            <v>42</v>
          </cell>
          <cell r="K11">
            <v>0</v>
          </cell>
        </row>
        <row r="12">
          <cell r="E12">
            <v>0</v>
          </cell>
          <cell r="K12">
            <v>0</v>
          </cell>
        </row>
        <row r="13">
          <cell r="A13" t="str">
            <v>Total</v>
          </cell>
          <cell r="B13">
            <v>455</v>
          </cell>
          <cell r="C13">
            <v>0</v>
          </cell>
          <cell r="D13">
            <v>44</v>
          </cell>
          <cell r="E13">
            <v>411</v>
          </cell>
          <cell r="F13">
            <v>315</v>
          </cell>
          <cell r="G13">
            <v>96</v>
          </cell>
          <cell r="H13">
            <v>0</v>
          </cell>
          <cell r="K13">
            <v>0</v>
          </cell>
          <cell r="L13">
            <v>0</v>
          </cell>
          <cell r="M13">
            <v>0</v>
          </cell>
          <cell r="N13">
            <v>0</v>
          </cell>
        </row>
      </sheetData>
      <sheetData sheetId="2">
        <row r="1">
          <cell r="A1" t="str">
            <v>Skanska Cementation India Limited</v>
          </cell>
        </row>
      </sheetData>
      <sheetData sheetId="3"/>
      <sheetData sheetId="4" refreshError="1"/>
      <sheetData sheetId="5" refreshError="1"/>
      <sheetData sheetId="6" refreshError="1"/>
      <sheetData sheetId="7" refreshError="1"/>
      <sheetData sheetId="8" refreshError="1"/>
      <sheetData sheetId="9">
        <row r="1">
          <cell r="A1" t="str">
            <v>Skanska Cementation India Limited</v>
          </cell>
        </row>
      </sheetData>
      <sheetData sheetId="10">
        <row r="1">
          <cell r="A1" t="str">
            <v>Skanska Cementation India Limited</v>
          </cell>
        </row>
      </sheetData>
      <sheetData sheetId="11">
        <row r="1">
          <cell r="A1" t="str">
            <v>Skanska Cementation India Limited</v>
          </cell>
        </row>
      </sheetData>
      <sheetData sheetId="12">
        <row r="1">
          <cell r="A1" t="str">
            <v>Skanska Cementation India Limited</v>
          </cell>
        </row>
      </sheetData>
      <sheetData sheetId="13">
        <row r="1">
          <cell r="A1" t="str">
            <v>Skanska Cementation India Limited</v>
          </cell>
        </row>
      </sheetData>
      <sheetData sheetId="14" refreshError="1"/>
      <sheetData sheetId="15">
        <row r="1">
          <cell r="A1" t="str">
            <v>Skanska Cementation India Limited</v>
          </cell>
        </row>
      </sheetData>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0 Key dates"/>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1MATqty-code"/>
      <sheetName val="S41MATProcurement"/>
      <sheetName val="S41-2MATexp-code"/>
      <sheetName val="S42HSE"/>
      <sheetName val="S43Tax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HINDUSTAN CONSTRUCTION CO. LTD</v>
          </cell>
        </row>
        <row r="3">
          <cell r="A3" t="str">
            <v>PROJECT BUDGET 2006-2010</v>
          </cell>
        </row>
      </sheetData>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Enero"/>
      <sheetName val="Febrero"/>
      <sheetName val="Marzo"/>
      <sheetName val="Abril"/>
      <sheetName val="Mayo"/>
      <sheetName val="Junio"/>
      <sheetName val="Julio"/>
      <sheetName val="Agosto"/>
      <sheetName val="Octubre"/>
      <sheetName val="noviembre"/>
      <sheetName val="Septiembre"/>
      <sheetName val="Sistema"/>
    </sheetNames>
    <sheetDataSet>
      <sheetData sheetId="0"/>
      <sheetData sheetId="1" refreshError="1">
        <row r="12">
          <cell r="P12">
            <v>0.01</v>
          </cell>
          <cell r="Q12">
            <v>341.35</v>
          </cell>
          <cell r="R12">
            <v>0</v>
          </cell>
          <cell r="U12">
            <v>0.01</v>
          </cell>
          <cell r="V12">
            <v>1217.26</v>
          </cell>
        </row>
        <row r="13">
          <cell r="P13">
            <v>341.36</v>
          </cell>
          <cell r="Q13">
            <v>2897.26</v>
          </cell>
          <cell r="R13">
            <v>10.24</v>
          </cell>
          <cell r="U13">
            <v>1217.27</v>
          </cell>
          <cell r="V13">
            <v>1792.32</v>
          </cell>
        </row>
        <row r="14">
          <cell r="P14">
            <v>2897.2700000000004</v>
          </cell>
          <cell r="Q14">
            <v>5091.68</v>
          </cell>
          <cell r="R14">
            <v>265.83</v>
          </cell>
          <cell r="U14">
            <v>1792.33</v>
          </cell>
          <cell r="V14">
            <v>1825.85</v>
          </cell>
        </row>
        <row r="15">
          <cell r="P15">
            <v>5091.6900000000005</v>
          </cell>
          <cell r="Q15">
            <v>5918.87</v>
          </cell>
          <cell r="R15">
            <v>638.88</v>
          </cell>
          <cell r="U15">
            <v>1825.86</v>
          </cell>
          <cell r="V15">
            <v>2389.7399999999998</v>
          </cell>
        </row>
        <row r="16">
          <cell r="P16">
            <v>5918.88</v>
          </cell>
          <cell r="Q16">
            <v>7086.49</v>
          </cell>
          <cell r="R16">
            <v>845.68</v>
          </cell>
          <cell r="U16">
            <v>2389.75</v>
          </cell>
          <cell r="V16">
            <v>2434.48</v>
          </cell>
        </row>
        <row r="17">
          <cell r="P17">
            <v>7086.5</v>
          </cell>
          <cell r="Q17">
            <v>14292.44</v>
          </cell>
          <cell r="R17">
            <v>1219.32</v>
          </cell>
          <cell r="U17">
            <v>2434.4900000000002</v>
          </cell>
          <cell r="V17">
            <v>2604.9</v>
          </cell>
        </row>
        <row r="18">
          <cell r="P18">
            <v>14292.45</v>
          </cell>
          <cell r="Q18">
            <v>41666.67</v>
          </cell>
          <cell r="R18">
            <v>3597.28</v>
          </cell>
          <cell r="U18">
            <v>2604.9100000000003</v>
          </cell>
          <cell r="V18">
            <v>3059.49</v>
          </cell>
        </row>
        <row r="19">
          <cell r="P19">
            <v>41666.68</v>
          </cell>
          <cell r="Q19">
            <v>125000</v>
          </cell>
          <cell r="R19">
            <v>12904.52</v>
          </cell>
          <cell r="U19">
            <v>3059.5</v>
          </cell>
          <cell r="V19">
            <v>3245.98</v>
          </cell>
        </row>
        <row r="20">
          <cell r="U20">
            <v>3245.9900000000002</v>
          </cell>
          <cell r="V20">
            <v>3671.41</v>
          </cell>
        </row>
        <row r="21">
          <cell r="U21">
            <v>3671.42</v>
          </cell>
          <cell r="V21">
            <v>4283.32</v>
          </cell>
        </row>
        <row r="22">
          <cell r="U22">
            <v>4283.33</v>
          </cell>
          <cell r="V22">
            <v>4895.2</v>
          </cell>
        </row>
        <row r="23">
          <cell r="U23">
            <v>4895.21</v>
          </cell>
          <cell r="V23">
            <v>5079.93</v>
          </cell>
        </row>
      </sheetData>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D"/>
      <sheetName val="PCD_N"/>
      <sheetName val="PCD_C"/>
      <sheetName val="DRS_PCDT"/>
      <sheetName val="DRS_SDCT"/>
      <sheetName val="cust_mas"/>
    </sheetNames>
    <sheetDataSet>
      <sheetData sheetId="0"/>
      <sheetData sheetId="1"/>
      <sheetData sheetId="2"/>
      <sheetData sheetId="3"/>
      <sheetData sheetId="4"/>
      <sheetData sheetId="5">
        <row r="1">
          <cell r="A1" t="str">
            <v>Customer account</v>
          </cell>
          <cell r="B1" t="str">
            <v>Address book type</v>
          </cell>
          <cell r="C1" t="str">
            <v>Name</v>
          </cell>
          <cell r="D1" t="str">
            <v>Terms of payment</v>
          </cell>
        </row>
        <row r="2">
          <cell r="A2" t="str">
            <v>C00000</v>
          </cell>
          <cell r="B2" t="str">
            <v>Organization</v>
          </cell>
          <cell r="C2" t="str">
            <v>SALES REVERSAL (YEAR END)</v>
          </cell>
          <cell r="D2" t="str">
            <v>0</v>
          </cell>
        </row>
        <row r="3">
          <cell r="A3" t="str">
            <v>C00001</v>
          </cell>
          <cell r="B3" t="str">
            <v>Organization</v>
          </cell>
          <cell r="C3" t="str">
            <v>CREDIT BALANCES IN DEBTORS ACCOUNT</v>
          </cell>
          <cell r="D3" t="str">
            <v>0</v>
          </cell>
        </row>
        <row r="4">
          <cell r="A4" t="str">
            <v>C10001</v>
          </cell>
          <cell r="B4" t="str">
            <v>Organization</v>
          </cell>
          <cell r="C4" t="str">
            <v>ABCD DRUMS &amp; BARRELS PVT.LTD.</v>
          </cell>
          <cell r="D4" t="str">
            <v>60</v>
          </cell>
        </row>
        <row r="5">
          <cell r="A5" t="str">
            <v>C10002</v>
          </cell>
          <cell r="B5" t="str">
            <v>Organization</v>
          </cell>
          <cell r="C5" t="str">
            <v>ACCENT PACKAGING PVT.LTD.</v>
          </cell>
          <cell r="D5" t="str">
            <v>7</v>
          </cell>
        </row>
        <row r="6">
          <cell r="A6" t="str">
            <v>C10003</v>
          </cell>
          <cell r="B6" t="str">
            <v>Organization</v>
          </cell>
          <cell r="C6" t="str">
            <v>ACE CRANE SYSTEMS</v>
          </cell>
          <cell r="D6" t="str">
            <v>1</v>
          </cell>
        </row>
        <row r="7">
          <cell r="A7" t="str">
            <v>C10004</v>
          </cell>
          <cell r="B7" t="str">
            <v>Organization</v>
          </cell>
          <cell r="C7" t="str">
            <v>ADAMJI LUKMANJEE &amp; SONS LTD.</v>
          </cell>
          <cell r="D7" t="str">
            <v>30</v>
          </cell>
        </row>
        <row r="8">
          <cell r="A8" t="str">
            <v>C10005</v>
          </cell>
          <cell r="B8" t="str">
            <v>Organization</v>
          </cell>
          <cell r="C8" t="str">
            <v>ADIT PACKAGING</v>
          </cell>
          <cell r="D8" t="str">
            <v>60</v>
          </cell>
        </row>
        <row r="9">
          <cell r="A9" t="str">
            <v>C10006</v>
          </cell>
          <cell r="B9" t="str">
            <v>Organization</v>
          </cell>
          <cell r="C9" t="str">
            <v>ADWAN ENERGY* CHEMICALS</v>
          </cell>
          <cell r="D9" t="str">
            <v>30</v>
          </cell>
        </row>
        <row r="10">
          <cell r="A10" t="str">
            <v>C10007</v>
          </cell>
          <cell r="B10" t="str">
            <v>Organization</v>
          </cell>
          <cell r="C10" t="str">
            <v>AGARWAL PACKAGINGS PVT. LTD.</v>
          </cell>
          <cell r="D10" t="str">
            <v>7</v>
          </cell>
        </row>
        <row r="11">
          <cell r="A11" t="str">
            <v>C10008</v>
          </cell>
          <cell r="B11" t="str">
            <v>Organization</v>
          </cell>
          <cell r="C11" t="str">
            <v>AHLIA CHEMICALS</v>
          </cell>
          <cell r="D11" t="str">
            <v>30</v>
          </cell>
        </row>
        <row r="12">
          <cell r="A12" t="str">
            <v>C10009</v>
          </cell>
          <cell r="B12" t="str">
            <v>Organization</v>
          </cell>
          <cell r="C12" t="str">
            <v>AJFAN FENERAL TRAD.&amp; CONT.EST</v>
          </cell>
          <cell r="D12" t="str">
            <v>30</v>
          </cell>
        </row>
        <row r="13">
          <cell r="A13" t="str">
            <v>C10011</v>
          </cell>
          <cell r="B13" t="str">
            <v>Organization</v>
          </cell>
          <cell r="C13" t="str">
            <v>AL FAROOQUI ADV. AND TRD.</v>
          </cell>
          <cell r="D13" t="str">
            <v>30</v>
          </cell>
        </row>
        <row r="14">
          <cell r="A14" t="str">
            <v>C10013</v>
          </cell>
          <cell r="B14" t="str">
            <v>Organization</v>
          </cell>
          <cell r="C14" t="str">
            <v>AL RADAN GENERAL TRADING ( L.L.C.)</v>
          </cell>
          <cell r="D14" t="str">
            <v>1</v>
          </cell>
        </row>
        <row r="15">
          <cell r="A15" t="str">
            <v>C10014</v>
          </cell>
          <cell r="B15" t="str">
            <v>Organization</v>
          </cell>
          <cell r="C15" t="str">
            <v>ALEXANDRIA METAL PRODUCTS</v>
          </cell>
          <cell r="D15" t="str">
            <v>1</v>
          </cell>
        </row>
        <row r="16">
          <cell r="A16" t="str">
            <v>C10015</v>
          </cell>
          <cell r="B16" t="str">
            <v>Organization</v>
          </cell>
          <cell r="C16" t="str">
            <v>ALHAMRANI INDUSTRIAL GROUP</v>
          </cell>
          <cell r="D16" t="str">
            <v>1</v>
          </cell>
        </row>
        <row r="17">
          <cell r="A17" t="str">
            <v>C10016</v>
          </cell>
          <cell r="B17" t="str">
            <v>Organization</v>
          </cell>
          <cell r="C17" t="str">
            <v>ALI REZA ZAKI</v>
          </cell>
          <cell r="D17" t="str">
            <v>1</v>
          </cell>
        </row>
        <row r="18">
          <cell r="A18" t="str">
            <v>C10017</v>
          </cell>
          <cell r="B18" t="str">
            <v>Organization</v>
          </cell>
          <cell r="C18" t="str">
            <v>ALKYL AMINES CHEMICALS LIMITED - PATALGANGA</v>
          </cell>
          <cell r="D18" t="str">
            <v>60</v>
          </cell>
        </row>
        <row r="19">
          <cell r="A19" t="str">
            <v>C10018</v>
          </cell>
          <cell r="B19" t="str">
            <v>Organization</v>
          </cell>
          <cell r="C19" t="str">
            <v>ALLIED ENGINEERS &amp; TRADERS</v>
          </cell>
          <cell r="D19" t="str">
            <v>0</v>
          </cell>
        </row>
        <row r="20">
          <cell r="A20" t="str">
            <v>C10019</v>
          </cell>
          <cell r="B20" t="str">
            <v>Organization</v>
          </cell>
          <cell r="C20" t="str">
            <v>ALOK INGOTS (MUMBAI) PVT. LTD.</v>
          </cell>
          <cell r="D20" t="str">
            <v>0</v>
          </cell>
        </row>
        <row r="21">
          <cell r="A21" t="str">
            <v>C10020</v>
          </cell>
          <cell r="B21" t="str">
            <v>Organization</v>
          </cell>
          <cell r="C21" t="str">
            <v>AMBIKA UDYOG (PACKAGINGS)</v>
          </cell>
          <cell r="D21" t="str">
            <v>15</v>
          </cell>
        </row>
        <row r="22">
          <cell r="A22" t="str">
            <v>C10021</v>
          </cell>
          <cell r="B22" t="str">
            <v>Organization</v>
          </cell>
          <cell r="C22" t="str">
            <v>AMERICAN FLANGE &amp; MFG. CO. INC..,</v>
          </cell>
          <cell r="D22" t="str">
            <v>60</v>
          </cell>
        </row>
        <row r="23">
          <cell r="A23" t="str">
            <v>C10022</v>
          </cell>
          <cell r="B23" t="str">
            <v>Organization</v>
          </cell>
          <cell r="C23" t="str">
            <v>AMERYA PETROL .REF. CO.</v>
          </cell>
          <cell r="D23" t="str">
            <v>1</v>
          </cell>
        </row>
        <row r="24">
          <cell r="A24" t="str">
            <v>C10023</v>
          </cell>
          <cell r="B24" t="str">
            <v>Organization</v>
          </cell>
          <cell r="C24" t="str">
            <v>ANIL &amp; SONS</v>
          </cell>
          <cell r="D24" t="str">
            <v>0</v>
          </cell>
        </row>
        <row r="25">
          <cell r="A25" t="str">
            <v>C10024</v>
          </cell>
          <cell r="B25" t="str">
            <v>Organization</v>
          </cell>
          <cell r="C25" t="str">
            <v>ANKIT ENTERPRISE</v>
          </cell>
          <cell r="D25" t="str">
            <v>1</v>
          </cell>
        </row>
        <row r="26">
          <cell r="A26" t="str">
            <v>C10025</v>
          </cell>
          <cell r="B26" t="str">
            <v>Organization</v>
          </cell>
          <cell r="C26" t="str">
            <v>ANSARI SCRAP TRADERS</v>
          </cell>
          <cell r="D26" t="str">
            <v>0</v>
          </cell>
        </row>
        <row r="27">
          <cell r="A27" t="str">
            <v>C10026</v>
          </cell>
          <cell r="B27" t="str">
            <v>Organization</v>
          </cell>
          <cell r="C27" t="str">
            <v>APAR INDUSTRIES LTD. - SILVASSA</v>
          </cell>
          <cell r="D27" t="str">
            <v>30</v>
          </cell>
        </row>
        <row r="28">
          <cell r="A28" t="str">
            <v>C10027</v>
          </cell>
          <cell r="B28" t="str">
            <v>Organization</v>
          </cell>
          <cell r="C28" t="str">
            <v>APCOTEX INDUSTRIES LTD.</v>
          </cell>
          <cell r="D28" t="str">
            <v>30</v>
          </cell>
        </row>
        <row r="29">
          <cell r="A29" t="str">
            <v>C10028</v>
          </cell>
          <cell r="B29" t="str">
            <v>Organization</v>
          </cell>
          <cell r="C29" t="str">
            <v>AQSA STEEL ENTERPRISES</v>
          </cell>
          <cell r="D29" t="str">
            <v>0</v>
          </cell>
        </row>
        <row r="30">
          <cell r="A30" t="str">
            <v>C10029</v>
          </cell>
          <cell r="B30" t="str">
            <v>Organization</v>
          </cell>
          <cell r="C30" t="str">
            <v>ARABCAL FABRICATION</v>
          </cell>
          <cell r="D30" t="str">
            <v>1</v>
          </cell>
        </row>
        <row r="31">
          <cell r="A31" t="str">
            <v>C10030</v>
          </cell>
          <cell r="B31" t="str">
            <v>Organization</v>
          </cell>
          <cell r="C31" t="str">
            <v>ARABIAN CHEMICAL TERMINALS</v>
          </cell>
          <cell r="D31" t="str">
            <v>1</v>
          </cell>
        </row>
        <row r="32">
          <cell r="A32" t="str">
            <v>C10031</v>
          </cell>
          <cell r="B32" t="str">
            <v>Organization</v>
          </cell>
          <cell r="C32" t="str">
            <v>ARABIAN PETROLEUM SUPPLY COMPANY</v>
          </cell>
          <cell r="D32" t="str">
            <v>1</v>
          </cell>
        </row>
        <row r="33">
          <cell r="A33" t="str">
            <v>C10033</v>
          </cell>
          <cell r="B33" t="str">
            <v>Organization</v>
          </cell>
          <cell r="C33" t="str">
            <v>ARIHANT</v>
          </cell>
          <cell r="D33" t="str">
            <v>0</v>
          </cell>
        </row>
        <row r="34">
          <cell r="A34" t="str">
            <v>C10034</v>
          </cell>
          <cell r="B34" t="str">
            <v>Organization</v>
          </cell>
          <cell r="C34" t="str">
            <v>BABA CONTAINER MANUFACTURERS</v>
          </cell>
          <cell r="D34" t="str">
            <v>60</v>
          </cell>
        </row>
        <row r="35">
          <cell r="A35" t="str">
            <v>C10035</v>
          </cell>
          <cell r="B35" t="str">
            <v>Organization</v>
          </cell>
          <cell r="C35" t="str">
            <v>BALAJI AMINES LIMITED.</v>
          </cell>
          <cell r="D35" t="str">
            <v>30</v>
          </cell>
        </row>
        <row r="36">
          <cell r="A36" t="str">
            <v>C10036</v>
          </cell>
          <cell r="B36" t="str">
            <v>Organization</v>
          </cell>
          <cell r="C36" t="str">
            <v>BALAJI DRUMS WORKS</v>
          </cell>
          <cell r="D36" t="str">
            <v>15</v>
          </cell>
        </row>
        <row r="37">
          <cell r="A37" t="str">
            <v>C10037</v>
          </cell>
          <cell r="B37" t="str">
            <v>Organization</v>
          </cell>
          <cell r="C37" t="str">
            <v>BALMER LAWRIE - VAN LEER LIMITED - SELF INVOICE</v>
          </cell>
          <cell r="D37" t="str">
            <v>0</v>
          </cell>
        </row>
        <row r="38">
          <cell r="A38" t="str">
            <v>C10038</v>
          </cell>
          <cell r="B38" t="str">
            <v>Organization</v>
          </cell>
          <cell r="C38" t="str">
            <v>BALMER LAWRIE - VAN LEER LIMITED - MADURANTAKAM - CHENNAI</v>
          </cell>
          <cell r="D38" t="str">
            <v>0</v>
          </cell>
        </row>
        <row r="39">
          <cell r="A39" t="str">
            <v>C10039</v>
          </cell>
          <cell r="B39" t="str">
            <v>Organization</v>
          </cell>
          <cell r="C39" t="str">
            <v>BALMER LAWRIE - VAN  LEER  LIMITED - SAMPLE</v>
          </cell>
          <cell r="D39" t="str">
            <v>0</v>
          </cell>
        </row>
        <row r="40">
          <cell r="A40" t="str">
            <v>C10041</v>
          </cell>
          <cell r="B40" t="str">
            <v>Organization</v>
          </cell>
          <cell r="C40" t="str">
            <v>BALMER LAWRIE &amp; CO. LTD. - TALOJA A/C CALTEX (IBP)</v>
          </cell>
          <cell r="D40" t="str">
            <v>45</v>
          </cell>
        </row>
        <row r="41">
          <cell r="A41" t="str">
            <v>C10043</v>
          </cell>
          <cell r="B41" t="str">
            <v>Organization</v>
          </cell>
          <cell r="C41" t="str">
            <v>BALMER LAWRIE &amp; CO. LTD. - PANIPAT(CLOSED)</v>
          </cell>
          <cell r="D41" t="str">
            <v>45</v>
          </cell>
        </row>
        <row r="42">
          <cell r="A42" t="str">
            <v>C10044</v>
          </cell>
          <cell r="B42" t="str">
            <v>Organization</v>
          </cell>
          <cell r="C42" t="str">
            <v>BALMER LAWRIE &amp; CO. LTD. - CHENNAI</v>
          </cell>
          <cell r="D42" t="str">
            <v>45</v>
          </cell>
        </row>
        <row r="43">
          <cell r="A43" t="str">
            <v>C10045</v>
          </cell>
          <cell r="B43" t="str">
            <v>Organization</v>
          </cell>
          <cell r="C43" t="str">
            <v>BALMER LAWRIE &amp; CO. LTD. - KOLKATA GREASE DIVN.</v>
          </cell>
          <cell r="D43" t="str">
            <v>45</v>
          </cell>
        </row>
        <row r="44">
          <cell r="A44" t="str">
            <v>C10046</v>
          </cell>
          <cell r="B44" t="str">
            <v>Organization</v>
          </cell>
          <cell r="C44" t="str">
            <v>BALMER LAWRIE &amp; CO. LTD. - MANALI - CHENNAI</v>
          </cell>
          <cell r="D44" t="str">
            <v>45</v>
          </cell>
        </row>
        <row r="45">
          <cell r="A45" t="str">
            <v>C10047</v>
          </cell>
          <cell r="B45" t="str">
            <v>Organization</v>
          </cell>
          <cell r="C45" t="str">
            <v>BALMER LAWRIE (UAE)</v>
          </cell>
          <cell r="D45" t="str">
            <v>15</v>
          </cell>
        </row>
        <row r="46">
          <cell r="A46" t="str">
            <v>C10048</v>
          </cell>
          <cell r="B46" t="str">
            <v>Organization</v>
          </cell>
          <cell r="C46" t="str">
            <v>BARMALT (INDIA) LTD.</v>
          </cell>
          <cell r="D46" t="str">
            <v>30</v>
          </cell>
        </row>
        <row r="47">
          <cell r="A47" t="str">
            <v>C10049</v>
          </cell>
          <cell r="B47" t="str">
            <v>Organization</v>
          </cell>
          <cell r="C47" t="str">
            <v>BARODA TIN FACTORY</v>
          </cell>
          <cell r="D47" t="str">
            <v>30</v>
          </cell>
        </row>
        <row r="48">
          <cell r="A48" t="str">
            <v>C10050</v>
          </cell>
          <cell r="B48" t="str">
            <v>Organization</v>
          </cell>
          <cell r="C48" t="str">
            <v>BASF COATINGS (INDIA) PVT. LTD..</v>
          </cell>
          <cell r="D48" t="str">
            <v>30</v>
          </cell>
        </row>
        <row r="49">
          <cell r="A49" t="str">
            <v>C10051</v>
          </cell>
          <cell r="B49" t="str">
            <v>Organization</v>
          </cell>
          <cell r="C49" t="str">
            <v>BEHL STEEL TRADERS.</v>
          </cell>
          <cell r="D49" t="str">
            <v>0</v>
          </cell>
        </row>
        <row r="50">
          <cell r="A50" t="str">
            <v>C10052</v>
          </cell>
          <cell r="B50" t="str">
            <v>Organization</v>
          </cell>
          <cell r="C50" t="str">
            <v>BEHRAN OIL CO.</v>
          </cell>
          <cell r="D50" t="str">
            <v>0</v>
          </cell>
        </row>
        <row r="51">
          <cell r="A51" t="str">
            <v>C10053</v>
          </cell>
          <cell r="B51" t="str">
            <v>Organization</v>
          </cell>
          <cell r="C51" t="str">
            <v>BETA INDUSTRIES LIMITED</v>
          </cell>
          <cell r="D51" t="str">
            <v>60</v>
          </cell>
        </row>
        <row r="52">
          <cell r="A52" t="str">
            <v>C10054</v>
          </cell>
          <cell r="B52" t="str">
            <v>Organization</v>
          </cell>
          <cell r="C52" t="str">
            <v>BHAGWATI STEEL CAST PVT. LTD.</v>
          </cell>
          <cell r="D52" t="str">
            <v>0</v>
          </cell>
        </row>
        <row r="53">
          <cell r="A53" t="str">
            <v>C10055</v>
          </cell>
          <cell r="B53" t="str">
            <v>Organization</v>
          </cell>
          <cell r="C53" t="str">
            <v>BHARAT BUCKET FACTORY</v>
          </cell>
          <cell r="D53" t="str">
            <v>30</v>
          </cell>
        </row>
        <row r="54">
          <cell r="A54" t="str">
            <v>C10056</v>
          </cell>
          <cell r="B54" t="str">
            <v>Organization</v>
          </cell>
          <cell r="C54" t="str">
            <v>BHARAT VIJAY IRON FACTORY</v>
          </cell>
          <cell r="D54" t="str">
            <v>30</v>
          </cell>
        </row>
        <row r="55">
          <cell r="A55" t="str">
            <v>C10057</v>
          </cell>
          <cell r="B55" t="str">
            <v>Organization</v>
          </cell>
          <cell r="C55" t="str">
            <v>BHARAT'S OILS  &amp; CHEMICALS</v>
          </cell>
          <cell r="D55" t="str">
            <v>1</v>
          </cell>
        </row>
        <row r="56">
          <cell r="A56" t="str">
            <v>C10058</v>
          </cell>
          <cell r="B56" t="str">
            <v>Organization</v>
          </cell>
          <cell r="C56" t="str">
            <v>BHAVIN CONTAINERS</v>
          </cell>
          <cell r="D56" t="str">
            <v>30</v>
          </cell>
        </row>
        <row r="57">
          <cell r="A57" t="str">
            <v>C10059</v>
          </cell>
          <cell r="B57" t="str">
            <v>Organization</v>
          </cell>
          <cell r="C57" t="str">
            <v>BIN SEDDIQ INTERNATIONAL</v>
          </cell>
          <cell r="D57" t="str">
            <v>1</v>
          </cell>
        </row>
        <row r="58">
          <cell r="A58" t="str">
            <v>C10060</v>
          </cell>
          <cell r="B58" t="str">
            <v>Organization</v>
          </cell>
          <cell r="C58" t="str">
            <v>BIZREH BROTHERS COMPANY</v>
          </cell>
          <cell r="D58" t="str">
            <v>1</v>
          </cell>
        </row>
        <row r="59">
          <cell r="A59" t="str">
            <v>C10061</v>
          </cell>
          <cell r="B59" t="str">
            <v>Organization</v>
          </cell>
          <cell r="C59" t="str">
            <v>BOMBAY DRUMS MANUFACTURERS.</v>
          </cell>
          <cell r="D59" t="str">
            <v>1</v>
          </cell>
        </row>
        <row r="60">
          <cell r="A60" t="str">
            <v>C10062</v>
          </cell>
          <cell r="B60" t="str">
            <v>Organization</v>
          </cell>
          <cell r="C60" t="str">
            <v>BOMBAY PAINTS LTD.</v>
          </cell>
          <cell r="D60" t="str">
            <v>1</v>
          </cell>
        </row>
        <row r="61">
          <cell r="A61" t="str">
            <v>C10063</v>
          </cell>
          <cell r="B61" t="str">
            <v>Organization</v>
          </cell>
          <cell r="C61" t="str">
            <v>BOOTALEE PRODUCTS</v>
          </cell>
          <cell r="D61" t="str">
            <v>60</v>
          </cell>
        </row>
        <row r="62">
          <cell r="A62" t="str">
            <v>C10064</v>
          </cell>
          <cell r="B62" t="str">
            <v>Organization</v>
          </cell>
          <cell r="C62" t="str">
            <v>BORAX MORARJI LTD.</v>
          </cell>
          <cell r="D62" t="str">
            <v>1</v>
          </cell>
        </row>
        <row r="63">
          <cell r="A63" t="str">
            <v>C10065</v>
          </cell>
          <cell r="B63" t="str">
            <v>Organization</v>
          </cell>
          <cell r="C63" t="str">
            <v>BR AGROTECH LIMITED</v>
          </cell>
          <cell r="D63" t="str">
            <v>30</v>
          </cell>
        </row>
        <row r="64">
          <cell r="A64" t="str">
            <v>C10066</v>
          </cell>
          <cell r="B64" t="str">
            <v>Organization</v>
          </cell>
          <cell r="C64" t="str">
            <v>C.K.K. NAIR CONTAINERS</v>
          </cell>
          <cell r="D64" t="str">
            <v>30</v>
          </cell>
        </row>
        <row r="65">
          <cell r="A65" t="str">
            <v>C10067</v>
          </cell>
          <cell r="B65" t="str">
            <v>Organization</v>
          </cell>
          <cell r="C65" t="str">
            <v>CALTEX LUBRICANTS (I) LTD.</v>
          </cell>
          <cell r="D65" t="str">
            <v>30</v>
          </cell>
        </row>
        <row r="66">
          <cell r="A66" t="str">
            <v>C10068</v>
          </cell>
          <cell r="B66" t="str">
            <v>Organization</v>
          </cell>
          <cell r="C66" t="str">
            <v>CASTROL INDIA LIMITED - DELHI</v>
          </cell>
          <cell r="D66" t="str">
            <v>45</v>
          </cell>
        </row>
        <row r="67">
          <cell r="A67" t="str">
            <v>C10069</v>
          </cell>
          <cell r="B67" t="str">
            <v>Organization</v>
          </cell>
          <cell r="C67" t="str">
            <v>CASTROL INDIA LIMITED - KOLKATA</v>
          </cell>
          <cell r="D67" t="str">
            <v>45</v>
          </cell>
        </row>
        <row r="68">
          <cell r="A68" t="str">
            <v>C10070</v>
          </cell>
          <cell r="B68" t="str">
            <v>Organization</v>
          </cell>
          <cell r="C68" t="str">
            <v>CASTROL INDIA LIMITED - CHENNAI</v>
          </cell>
          <cell r="D68" t="str">
            <v>45</v>
          </cell>
        </row>
        <row r="69">
          <cell r="A69" t="str">
            <v>C10071</v>
          </cell>
          <cell r="B69" t="str">
            <v>Organization</v>
          </cell>
          <cell r="C69" t="str">
            <v>CASTROL INDIA LIMITED - PATALGANGA</v>
          </cell>
          <cell r="D69" t="str">
            <v>45</v>
          </cell>
        </row>
        <row r="70">
          <cell r="A70" t="str">
            <v>C10072</v>
          </cell>
          <cell r="B70" t="str">
            <v>Organization</v>
          </cell>
          <cell r="C70" t="str">
            <v>CEYLON PETROLEUM CORPORATION</v>
          </cell>
          <cell r="D70" t="str">
            <v>1</v>
          </cell>
        </row>
        <row r="71">
          <cell r="A71" t="str">
            <v>C10073</v>
          </cell>
          <cell r="B71" t="str">
            <v>Organization</v>
          </cell>
          <cell r="C71" t="str">
            <v>CHERUBIUM (PRIVATE) LIMITED</v>
          </cell>
          <cell r="D71" t="str">
            <v>1</v>
          </cell>
        </row>
        <row r="72">
          <cell r="A72" t="str">
            <v>C10074</v>
          </cell>
          <cell r="B72" t="str">
            <v>Organization</v>
          </cell>
          <cell r="C72" t="str">
            <v>CHEVRON LUBRICANTS INDIA PVT LTD</v>
          </cell>
          <cell r="D72" t="str">
            <v>30</v>
          </cell>
        </row>
        <row r="73">
          <cell r="A73" t="str">
            <v>C10075</v>
          </cell>
          <cell r="B73" t="str">
            <v>Organization</v>
          </cell>
          <cell r="C73" t="str">
            <v>CHEVRON LUBRICANTS LANKA PLC.</v>
          </cell>
          <cell r="D73" t="str">
            <v>0</v>
          </cell>
        </row>
        <row r="74">
          <cell r="A74" t="str">
            <v>C10076</v>
          </cell>
          <cell r="B74" t="str">
            <v>Organization</v>
          </cell>
          <cell r="C74" t="str">
            <v>CITY LUBRICANTS PVT. LTD</v>
          </cell>
          <cell r="D74" t="str">
            <v>30</v>
          </cell>
        </row>
        <row r="75">
          <cell r="A75" t="str">
            <v>C10077</v>
          </cell>
          <cell r="B75" t="str">
            <v>Organization</v>
          </cell>
          <cell r="C75" t="str">
            <v>CONTINENTAL TRADING HOUSE</v>
          </cell>
          <cell r="D75" t="str">
            <v>1</v>
          </cell>
        </row>
        <row r="76">
          <cell r="A76" t="str">
            <v>C10078</v>
          </cell>
          <cell r="B76" t="str">
            <v>Organization</v>
          </cell>
          <cell r="C76" t="str">
            <v>DAYARAM CHEMICALS INDUSTRIES</v>
          </cell>
          <cell r="D76" t="str">
            <v>15</v>
          </cell>
        </row>
        <row r="77">
          <cell r="A77" t="str">
            <v>C10080</v>
          </cell>
          <cell r="B77" t="str">
            <v>Organization</v>
          </cell>
          <cell r="C77" t="str">
            <v>DEEPAK FERTILISERS AND PETROCHEMICALS CORP. LTD..</v>
          </cell>
          <cell r="D77" t="str">
            <v>60</v>
          </cell>
        </row>
        <row r="78">
          <cell r="A78" t="str">
            <v>C10081</v>
          </cell>
          <cell r="B78" t="str">
            <v>Organization</v>
          </cell>
          <cell r="C78" t="str">
            <v>DHARAMSHI METALS P. LTD.</v>
          </cell>
          <cell r="D78" t="str">
            <v>30</v>
          </cell>
        </row>
        <row r="79">
          <cell r="A79" t="str">
            <v>C10082</v>
          </cell>
          <cell r="B79" t="str">
            <v>Organization</v>
          </cell>
          <cell r="C79" t="str">
            <v>DIAMOND DRUM &amp; BUCKET FACTORY</v>
          </cell>
          <cell r="D79" t="str">
            <v>7</v>
          </cell>
        </row>
        <row r="80">
          <cell r="A80" t="str">
            <v>C10083</v>
          </cell>
          <cell r="B80" t="str">
            <v>Organization</v>
          </cell>
          <cell r="C80" t="str">
            <v>DOOAA LATH WORK SHOP</v>
          </cell>
          <cell r="D80" t="str">
            <v>1</v>
          </cell>
        </row>
        <row r="81">
          <cell r="A81" t="str">
            <v>C10084</v>
          </cell>
          <cell r="B81" t="str">
            <v>Organization</v>
          </cell>
          <cell r="C81" t="str">
            <v>DORF KETAL CHEMICALS (I) PVT. LTD.</v>
          </cell>
          <cell r="D81" t="str">
            <v>60</v>
          </cell>
        </row>
        <row r="82">
          <cell r="A82" t="str">
            <v>C10085</v>
          </cell>
          <cell r="B82" t="str">
            <v>Organization</v>
          </cell>
          <cell r="C82" t="str">
            <v>DOW (INDIA) SYSTEM PVT. LTD.</v>
          </cell>
          <cell r="D82" t="str">
            <v>2</v>
          </cell>
        </row>
        <row r="83">
          <cell r="A83" t="str">
            <v>C10086</v>
          </cell>
          <cell r="B83" t="str">
            <v>Organization</v>
          </cell>
          <cell r="C83" t="str">
            <v>DYNATECH MARKETING COMPANY</v>
          </cell>
          <cell r="D83" t="str">
            <v>1</v>
          </cell>
        </row>
        <row r="84">
          <cell r="A84" t="str">
            <v>C10087</v>
          </cell>
          <cell r="B84" t="str">
            <v>Organization</v>
          </cell>
          <cell r="C84" t="str">
            <v>ELANTAS BECK INDIA LIMITED - ANKLESHAWAR</v>
          </cell>
          <cell r="D84" t="str">
            <v>30</v>
          </cell>
        </row>
        <row r="85">
          <cell r="A85" t="str">
            <v>C10088</v>
          </cell>
          <cell r="B85" t="str">
            <v>Organization</v>
          </cell>
          <cell r="C85" t="str">
            <v>ELANTAS BECK INDIA LIMITED - PIMPRI</v>
          </cell>
          <cell r="D85" t="str">
            <v>30</v>
          </cell>
        </row>
        <row r="86">
          <cell r="A86" t="str">
            <v>C10089</v>
          </cell>
          <cell r="B86" t="str">
            <v>Organization</v>
          </cell>
          <cell r="C86" t="str">
            <v>ELECTRO CHEMICALS</v>
          </cell>
          <cell r="D86" t="str">
            <v>1</v>
          </cell>
        </row>
        <row r="87">
          <cell r="A87" t="str">
            <v>C10091</v>
          </cell>
          <cell r="B87" t="str">
            <v>Organization</v>
          </cell>
          <cell r="C87" t="str">
            <v>EXXON MOBIL LUBRICANTS  PVT. LTD..</v>
          </cell>
          <cell r="D87" t="str">
            <v>45</v>
          </cell>
        </row>
        <row r="88">
          <cell r="A88" t="str">
            <v>C10092</v>
          </cell>
          <cell r="B88" t="str">
            <v>Organization</v>
          </cell>
          <cell r="C88" t="str">
            <v>FAKHRUDDIN SCRAP &amp; TIMBER MART</v>
          </cell>
          <cell r="D88" t="str">
            <v>0</v>
          </cell>
        </row>
        <row r="89">
          <cell r="A89" t="str">
            <v>C10093</v>
          </cell>
          <cell r="B89" t="str">
            <v>Organization</v>
          </cell>
          <cell r="C89" t="str">
            <v>FOSROC JORDAN.</v>
          </cell>
          <cell r="D89" t="str">
            <v>1</v>
          </cell>
        </row>
        <row r="90">
          <cell r="A90" t="str">
            <v>C10094</v>
          </cell>
          <cell r="B90" t="str">
            <v>Organization</v>
          </cell>
          <cell r="C90" t="str">
            <v>FUJAIRAH STEEL BARRELS &amp; DRUMS</v>
          </cell>
          <cell r="D90" t="str">
            <v>30</v>
          </cell>
        </row>
        <row r="91">
          <cell r="A91" t="str">
            <v>C10096</v>
          </cell>
          <cell r="B91" t="str">
            <v>Organization</v>
          </cell>
          <cell r="C91" t="str">
            <v>GODREJ INDUSTRIES LIMITED VALIA</v>
          </cell>
          <cell r="D91" t="str">
            <v>30</v>
          </cell>
        </row>
        <row r="92">
          <cell r="A92" t="str">
            <v>C10097</v>
          </cell>
          <cell r="B92" t="str">
            <v>Organization</v>
          </cell>
          <cell r="C92" t="str">
            <v>GOPAL METAL CONTAINERS PVT. LTD.</v>
          </cell>
          <cell r="D92" t="str">
            <v>60</v>
          </cell>
        </row>
        <row r="93">
          <cell r="A93" t="str">
            <v>C10098</v>
          </cell>
          <cell r="B93" t="str">
            <v>Organization</v>
          </cell>
          <cell r="C93" t="str">
            <v>GRAUER &amp; WELL (I) LTD.</v>
          </cell>
          <cell r="D93" t="str">
            <v>1</v>
          </cell>
        </row>
        <row r="94">
          <cell r="A94" t="str">
            <v>C10099</v>
          </cell>
          <cell r="B94" t="str">
            <v>Organization</v>
          </cell>
          <cell r="C94" t="str">
            <v>GREIF EGYPT</v>
          </cell>
          <cell r="D94" t="str">
            <v>90</v>
          </cell>
        </row>
        <row r="95">
          <cell r="A95" t="str">
            <v>C10100</v>
          </cell>
          <cell r="B95" t="str">
            <v>Organization</v>
          </cell>
          <cell r="C95" t="str">
            <v>GREIF AUSTRALIA  PTY. LTD</v>
          </cell>
          <cell r="D95" t="str">
            <v>30</v>
          </cell>
        </row>
        <row r="96">
          <cell r="A96" t="str">
            <v>C10101</v>
          </cell>
          <cell r="B96" t="str">
            <v>Organization</v>
          </cell>
          <cell r="C96" t="str">
            <v>GREIF EMBALAGENS IND. DO BRASIL LTDA.</v>
          </cell>
          <cell r="D96" t="str">
            <v>60</v>
          </cell>
        </row>
        <row r="97">
          <cell r="A97" t="str">
            <v>C10102</v>
          </cell>
          <cell r="B97" t="str">
            <v>Organization</v>
          </cell>
          <cell r="C97" t="str">
            <v>GREIF ITALIA S.P.A. - DIVISIONE CLOSURE SYSTEMS</v>
          </cell>
          <cell r="D97" t="str">
            <v>90</v>
          </cell>
        </row>
        <row r="98">
          <cell r="A98" t="str">
            <v>C10103</v>
          </cell>
          <cell r="B98" t="str">
            <v>Organization</v>
          </cell>
          <cell r="C98" t="str">
            <v>GREIF NEDERLAND B.V.</v>
          </cell>
          <cell r="D98" t="str">
            <v>60</v>
          </cell>
        </row>
        <row r="99">
          <cell r="A99" t="str">
            <v>C10104</v>
          </cell>
          <cell r="B99" t="str">
            <v>Organization</v>
          </cell>
          <cell r="C99" t="str">
            <v>GREIF SINGAPORE PTE. LTD.</v>
          </cell>
          <cell r="D99" t="str">
            <v>45</v>
          </cell>
        </row>
        <row r="100">
          <cell r="A100" t="str">
            <v>C10105</v>
          </cell>
          <cell r="B100" t="str">
            <v>Organization</v>
          </cell>
          <cell r="C100" t="str">
            <v>GRL INDUSTRIES</v>
          </cell>
          <cell r="D100" t="str">
            <v>1</v>
          </cell>
        </row>
        <row r="101">
          <cell r="A101" t="str">
            <v>C10106</v>
          </cell>
          <cell r="B101" t="str">
            <v>Organization</v>
          </cell>
          <cell r="C101" t="str">
            <v>GUARDIAN CASTINGS PVT. LTD</v>
          </cell>
          <cell r="D101" t="str">
            <v>0</v>
          </cell>
        </row>
        <row r="102">
          <cell r="A102" t="str">
            <v>C10107</v>
          </cell>
          <cell r="B102" t="str">
            <v>Organization</v>
          </cell>
          <cell r="C102" t="str">
            <v>GULF OIL CORPORATION LIMITED - ANDHERI</v>
          </cell>
          <cell r="D102" t="str">
            <v>45</v>
          </cell>
        </row>
        <row r="103">
          <cell r="A103" t="str">
            <v>C10108</v>
          </cell>
          <cell r="B103" t="str">
            <v>Organization</v>
          </cell>
          <cell r="C103" t="str">
            <v>GWALIOR CHEMICAL INDUSTRIES LIMITED.</v>
          </cell>
          <cell r="D103" t="str">
            <v>35</v>
          </cell>
        </row>
        <row r="104">
          <cell r="A104" t="str">
            <v>C10109</v>
          </cell>
          <cell r="B104" t="str">
            <v>Organization</v>
          </cell>
          <cell r="C104" t="str">
            <v>HAMZA INDUSTRIAL EQUIPMENT TRADING</v>
          </cell>
          <cell r="D104" t="str">
            <v>1</v>
          </cell>
        </row>
        <row r="105">
          <cell r="A105" t="str">
            <v>C10110</v>
          </cell>
          <cell r="B105" t="str">
            <v>Organization</v>
          </cell>
          <cell r="C105" t="str">
            <v>HARISONS STEEL PVT. LTD.</v>
          </cell>
          <cell r="D105" t="str">
            <v>0</v>
          </cell>
        </row>
        <row r="106">
          <cell r="A106" t="str">
            <v>C10111</v>
          </cell>
          <cell r="B106" t="str">
            <v>Organization</v>
          </cell>
          <cell r="C106" t="str">
            <v>HCKL BARREL CONTAINER WORKS</v>
          </cell>
          <cell r="D106" t="str">
            <v>30</v>
          </cell>
        </row>
        <row r="107">
          <cell r="A107" t="str">
            <v>C10112</v>
          </cell>
          <cell r="B107" t="str">
            <v>Organization</v>
          </cell>
          <cell r="C107" t="str">
            <v>HINDUSTAN AROMATICS</v>
          </cell>
          <cell r="D107" t="str">
            <v>1</v>
          </cell>
        </row>
        <row r="108">
          <cell r="A108" t="str">
            <v>C10113</v>
          </cell>
          <cell r="B108" t="str">
            <v>Organization</v>
          </cell>
          <cell r="C108" t="str">
            <v>HINDUSTAN PETROLEUM CORPN. - SEWREE</v>
          </cell>
          <cell r="D108" t="str">
            <v>30</v>
          </cell>
        </row>
        <row r="109">
          <cell r="A109" t="str">
            <v>C10114</v>
          </cell>
          <cell r="B109" t="str">
            <v>Organization</v>
          </cell>
          <cell r="C109" t="str">
            <v>HINDUSTAN PETROLEUM CORPN. - MUMBAI</v>
          </cell>
          <cell r="D109" t="str">
            <v>30</v>
          </cell>
        </row>
        <row r="110">
          <cell r="A110" t="str">
            <v>C10116</v>
          </cell>
          <cell r="B110" t="str">
            <v>Organization</v>
          </cell>
          <cell r="C110" t="str">
            <v>HOLLOWARE MFG. SYNDICATE</v>
          </cell>
          <cell r="D110" t="str">
            <v>60</v>
          </cell>
        </row>
        <row r="111">
          <cell r="A111" t="str">
            <v>C10117</v>
          </cell>
          <cell r="B111" t="str">
            <v>Organization</v>
          </cell>
          <cell r="C111" t="str">
            <v>GREIF HORIZON METALLIC INDUSTRIES CO. LLC</v>
          </cell>
          <cell r="D111" t="str">
            <v>30</v>
          </cell>
        </row>
        <row r="112">
          <cell r="A112" t="str">
            <v>C10118</v>
          </cell>
          <cell r="B112" t="str">
            <v>Organization</v>
          </cell>
          <cell r="C112" t="str">
            <v>IBP CALTEX LTD.</v>
          </cell>
          <cell r="D112" t="str">
            <v>30</v>
          </cell>
        </row>
        <row r="113">
          <cell r="A113" t="str">
            <v>C10119</v>
          </cell>
          <cell r="B113" t="str">
            <v>Organization</v>
          </cell>
          <cell r="C113" t="str">
            <v>IDEAL ENTERPRISES</v>
          </cell>
          <cell r="D113" t="str">
            <v>1</v>
          </cell>
        </row>
        <row r="114">
          <cell r="A114" t="str">
            <v>C10120</v>
          </cell>
          <cell r="B114" t="str">
            <v>Organization</v>
          </cell>
          <cell r="C114" t="str">
            <v>IHSEDU AGROCHEM PVT. LTD..</v>
          </cell>
          <cell r="D114" t="str">
            <v>30</v>
          </cell>
        </row>
        <row r="115">
          <cell r="A115" t="str">
            <v>C10121</v>
          </cell>
          <cell r="B115" t="str">
            <v>Organization</v>
          </cell>
          <cell r="C115" t="str">
            <v>IMPEX INTERNATIONAL INDIA.</v>
          </cell>
          <cell r="D115" t="str">
            <v>0</v>
          </cell>
        </row>
        <row r="116">
          <cell r="A116" t="str">
            <v>C10122</v>
          </cell>
          <cell r="B116" t="str">
            <v>Organization</v>
          </cell>
          <cell r="C116" t="str">
            <v>INDIA GLYCOLS LTD. - NOIDA</v>
          </cell>
          <cell r="D116" t="str">
            <v>45</v>
          </cell>
        </row>
        <row r="117">
          <cell r="A117" t="str">
            <v>C10123</v>
          </cell>
          <cell r="B117" t="str">
            <v>Organization</v>
          </cell>
          <cell r="C117" t="str">
            <v>INDIAN OIL CORPORATION  LTD. (PIRPAU)</v>
          </cell>
          <cell r="D117" t="str">
            <v>30</v>
          </cell>
        </row>
        <row r="118">
          <cell r="A118" t="str">
            <v>C10124</v>
          </cell>
          <cell r="B118" t="str">
            <v>Organization</v>
          </cell>
          <cell r="C118" t="str">
            <v>INDIAN OIL CORPORATION LTD - SILVASSA</v>
          </cell>
          <cell r="D118" t="str">
            <v>30</v>
          </cell>
        </row>
        <row r="119">
          <cell r="A119" t="str">
            <v>C10125</v>
          </cell>
          <cell r="B119" t="str">
            <v>Organization</v>
          </cell>
          <cell r="C119" t="str">
            <v>INDIAN OIL CORPORATION LTD - ASAOTI</v>
          </cell>
          <cell r="D119" t="str">
            <v>30</v>
          </cell>
        </row>
        <row r="120">
          <cell r="A120" t="str">
            <v>C10126</v>
          </cell>
          <cell r="B120" t="str">
            <v>Organization</v>
          </cell>
          <cell r="C120" t="str">
            <v>INDIAN PACKAGING</v>
          </cell>
          <cell r="D120" t="str">
            <v>7</v>
          </cell>
        </row>
        <row r="121">
          <cell r="A121" t="str">
            <v>C10127</v>
          </cell>
          <cell r="B121" t="str">
            <v>Organization</v>
          </cell>
          <cell r="C121" t="str">
            <v>INDO-NIPPON CHEMICALS CO. LTD..</v>
          </cell>
          <cell r="D121" t="str">
            <v>45</v>
          </cell>
        </row>
        <row r="122">
          <cell r="A122" t="str">
            <v>C10128</v>
          </cell>
          <cell r="B122" t="str">
            <v>Organization</v>
          </cell>
          <cell r="C122" t="str">
            <v>INDUSTRIAL ENGINEERING CORPORATION</v>
          </cell>
          <cell r="D122" t="str">
            <v>30</v>
          </cell>
        </row>
        <row r="123">
          <cell r="A123" t="str">
            <v>C10129</v>
          </cell>
          <cell r="B123" t="str">
            <v>Organization</v>
          </cell>
          <cell r="C123" t="str">
            <v>INSUNG CO. LTD.KOREA</v>
          </cell>
          <cell r="D123" t="str">
            <v>30</v>
          </cell>
        </row>
        <row r="124">
          <cell r="A124" t="str">
            <v>C10130</v>
          </cell>
          <cell r="B124" t="str">
            <v>Organization</v>
          </cell>
          <cell r="C124" t="str">
            <v>INTERNATIONAL BARREL COMPANY</v>
          </cell>
          <cell r="D124" t="str">
            <v>30</v>
          </cell>
        </row>
        <row r="125">
          <cell r="A125" t="str">
            <v>C10131</v>
          </cell>
          <cell r="B125" t="str">
            <v>Organization</v>
          </cell>
          <cell r="C125" t="str">
            <v>INTERNATIONAL FLAVOURS &amp; FRAGRANCES INDIA PVT. LTD.</v>
          </cell>
          <cell r="D125" t="str">
            <v>7</v>
          </cell>
        </row>
        <row r="126">
          <cell r="A126" t="str">
            <v>C10132</v>
          </cell>
          <cell r="B126" t="str">
            <v>Organization</v>
          </cell>
          <cell r="C126" t="str">
            <v>INTERNATIONAL PETROLEUM PRODUCTS CO.</v>
          </cell>
          <cell r="D126" t="str">
            <v>15</v>
          </cell>
        </row>
        <row r="127">
          <cell r="A127" t="str">
            <v>C10133</v>
          </cell>
          <cell r="B127" t="str">
            <v>Organization</v>
          </cell>
          <cell r="C127" t="str">
            <v>INVENTY'S RESEARCH CO. PVT. LTD.</v>
          </cell>
          <cell r="D127" t="str">
            <v>1</v>
          </cell>
        </row>
        <row r="128">
          <cell r="A128" t="str">
            <v>C10134</v>
          </cell>
          <cell r="B128" t="str">
            <v>Organization</v>
          </cell>
          <cell r="C128" t="str">
            <v>IOL CHEMICALS AND PHARMACEUTICALS LTD.</v>
          </cell>
          <cell r="D128" t="str">
            <v>30</v>
          </cell>
        </row>
        <row r="129">
          <cell r="A129" t="str">
            <v>C10135</v>
          </cell>
          <cell r="B129" t="str">
            <v>Organization</v>
          </cell>
          <cell r="C129" t="str">
            <v>JAGATJIT INDUSTRIES LTD.</v>
          </cell>
          <cell r="D129" t="str">
            <v>30</v>
          </cell>
        </row>
        <row r="130">
          <cell r="A130" t="str">
            <v>C10136</v>
          </cell>
          <cell r="B130" t="str">
            <v>Organization</v>
          </cell>
          <cell r="C130" t="str">
            <v>JAI AMBE STEEL COMPANY</v>
          </cell>
          <cell r="D130" t="str">
            <v>0</v>
          </cell>
        </row>
        <row r="131">
          <cell r="A131" t="str">
            <v>C10137</v>
          </cell>
          <cell r="B131" t="str">
            <v>Organization</v>
          </cell>
          <cell r="C131" t="str">
            <v>JAMALUDDIN TRADING</v>
          </cell>
          <cell r="D131" t="str">
            <v>1</v>
          </cell>
        </row>
        <row r="132">
          <cell r="A132" t="str">
            <v>C10138</v>
          </cell>
          <cell r="B132" t="str">
            <v>Organization</v>
          </cell>
          <cell r="C132" t="str">
            <v>JAY AMBE GOWRI PETROCHEM LTD.</v>
          </cell>
          <cell r="D132" t="str">
            <v>30</v>
          </cell>
        </row>
        <row r="133">
          <cell r="A133" t="str">
            <v>C10139</v>
          </cell>
          <cell r="B133" t="str">
            <v>Organization</v>
          </cell>
          <cell r="C133" t="str">
            <v>JOHNSON DIVERSEY INDIA PRIVATE LIMITED.</v>
          </cell>
          <cell r="D133" t="str">
            <v>30</v>
          </cell>
        </row>
        <row r="134">
          <cell r="A134" t="str">
            <v>C10140</v>
          </cell>
          <cell r="B134" t="str">
            <v>Organization</v>
          </cell>
          <cell r="C134" t="str">
            <v>K. P. STEELS</v>
          </cell>
          <cell r="D134" t="str">
            <v>0</v>
          </cell>
        </row>
        <row r="135">
          <cell r="A135" t="str">
            <v>C10141</v>
          </cell>
          <cell r="B135" t="str">
            <v>Organization</v>
          </cell>
          <cell r="C135" t="str">
            <v>K. UTTAMLAL (EXPORTS) PVT. LTD..</v>
          </cell>
          <cell r="D135" t="str">
            <v>1</v>
          </cell>
        </row>
        <row r="136">
          <cell r="A136" t="str">
            <v>C10142</v>
          </cell>
          <cell r="B136" t="str">
            <v>Organization</v>
          </cell>
          <cell r="C136" t="str">
            <v>KAILASH METAL PRODUCTS</v>
          </cell>
          <cell r="D136" t="str">
            <v>0</v>
          </cell>
        </row>
        <row r="137">
          <cell r="A137" t="str">
            <v>C10143</v>
          </cell>
          <cell r="B137" t="str">
            <v>Organization</v>
          </cell>
          <cell r="C137" t="str">
            <v>KARUNA GROUP</v>
          </cell>
          <cell r="D137" t="str">
            <v>1</v>
          </cell>
        </row>
        <row r="138">
          <cell r="A138" t="str">
            <v>C10144</v>
          </cell>
          <cell r="B138" t="str">
            <v>Organization</v>
          </cell>
          <cell r="C138" t="str">
            <v>KBN MACHINE TOOLS</v>
          </cell>
          <cell r="D138" t="str">
            <v>0</v>
          </cell>
        </row>
        <row r="139">
          <cell r="A139" t="str">
            <v>C10145</v>
          </cell>
          <cell r="B139" t="str">
            <v>Organization</v>
          </cell>
          <cell r="C139" t="str">
            <v>KRUPA CONTAINERS PVT. LTD.</v>
          </cell>
          <cell r="D139" t="str">
            <v>1</v>
          </cell>
        </row>
        <row r="140">
          <cell r="A140" t="str">
            <v>C10146</v>
          </cell>
          <cell r="B140" t="str">
            <v>Organization</v>
          </cell>
          <cell r="C140" t="str">
            <v>LANKA LUBRICANTS LIMITED</v>
          </cell>
          <cell r="D140" t="str">
            <v>30</v>
          </cell>
        </row>
        <row r="141">
          <cell r="A141" t="str">
            <v>C10147</v>
          </cell>
          <cell r="B141" t="str">
            <v>Organization</v>
          </cell>
          <cell r="C141" t="str">
            <v>LINTAS PACKAGING PVT. LTD..</v>
          </cell>
          <cell r="D141" t="str">
            <v>30</v>
          </cell>
        </row>
        <row r="142">
          <cell r="A142" t="str">
            <v>C10148</v>
          </cell>
          <cell r="B142" t="str">
            <v>Organization</v>
          </cell>
          <cell r="C142" t="str">
            <v>LSR SPECIALITY OIL (P) LTD.</v>
          </cell>
          <cell r="D142" t="str">
            <v>45</v>
          </cell>
        </row>
        <row r="143">
          <cell r="A143" t="str">
            <v>C10149</v>
          </cell>
          <cell r="B143" t="str">
            <v>Organization</v>
          </cell>
          <cell r="C143" t="str">
            <v>LUBRIZOL (INDIA) PVT. LTD.</v>
          </cell>
          <cell r="D143" t="str">
            <v>30</v>
          </cell>
        </row>
        <row r="144">
          <cell r="A144" t="str">
            <v>C10150</v>
          </cell>
          <cell r="B144" t="str">
            <v>Organization</v>
          </cell>
          <cell r="C144" t="str">
            <v>M.M. TRADERS</v>
          </cell>
          <cell r="D144" t="str">
            <v>0</v>
          </cell>
        </row>
        <row r="145">
          <cell r="A145" t="str">
            <v>C10151</v>
          </cell>
          <cell r="B145" t="str">
            <v>Organization</v>
          </cell>
          <cell r="C145" t="str">
            <v>M.S. SALES CORPORATION</v>
          </cell>
          <cell r="D145" t="str">
            <v>0</v>
          </cell>
        </row>
        <row r="146">
          <cell r="A146" t="str">
            <v>C10152</v>
          </cell>
          <cell r="B146" t="str">
            <v>Organization</v>
          </cell>
          <cell r="C146" t="str">
            <v>MACHINERY AND MACHINE TOOLS</v>
          </cell>
          <cell r="D146" t="str">
            <v>0</v>
          </cell>
        </row>
        <row r="147">
          <cell r="A147" t="str">
            <v>C10153</v>
          </cell>
          <cell r="B147" t="str">
            <v>Organization</v>
          </cell>
          <cell r="C147" t="str">
            <v>MADHUBAN DRUMS &amp; BARRELS - RUDANA</v>
          </cell>
          <cell r="D147" t="str">
            <v>30</v>
          </cell>
        </row>
        <row r="148">
          <cell r="A148" t="str">
            <v>C10154</v>
          </cell>
          <cell r="B148" t="str">
            <v>Organization</v>
          </cell>
          <cell r="C148" t="str">
            <v>MAHDI ATAROODI GHALEH JOGH</v>
          </cell>
          <cell r="D148" t="str">
            <v>1</v>
          </cell>
        </row>
        <row r="149">
          <cell r="A149" t="str">
            <v>C10155</v>
          </cell>
          <cell r="B149" t="str">
            <v>Organization</v>
          </cell>
          <cell r="C149" t="str">
            <v>MAISON F. MATHIEU</v>
          </cell>
          <cell r="D149" t="str">
            <v>30</v>
          </cell>
        </row>
        <row r="150">
          <cell r="A150" t="str">
            <v>C10156</v>
          </cell>
          <cell r="B150" t="str">
            <v>Organization</v>
          </cell>
          <cell r="C150" t="str">
            <v>MALDAR BARRELS PVT. LTD. (TALOJA)</v>
          </cell>
          <cell r="D150" t="str">
            <v>45</v>
          </cell>
        </row>
        <row r="151">
          <cell r="A151" t="str">
            <v>C10157</v>
          </cell>
          <cell r="B151" t="str">
            <v>Organization</v>
          </cell>
          <cell r="C151" t="str">
            <v>MARITIME &amp; MERCANTILE INTERNATIONAL</v>
          </cell>
          <cell r="D151" t="str">
            <v>1</v>
          </cell>
        </row>
        <row r="152">
          <cell r="A152" t="str">
            <v>C10158</v>
          </cell>
          <cell r="B152" t="str">
            <v>Organization</v>
          </cell>
          <cell r="C152" t="str">
            <v>MEGUIN OIL INDIA LTD.</v>
          </cell>
          <cell r="D152" t="str">
            <v>2</v>
          </cell>
        </row>
        <row r="153">
          <cell r="A153" t="str">
            <v>C10159</v>
          </cell>
          <cell r="B153" t="str">
            <v>Organization</v>
          </cell>
          <cell r="C153" t="str">
            <v>MEHTA  TRADING CORPORATION</v>
          </cell>
          <cell r="D153" t="str">
            <v>0</v>
          </cell>
        </row>
        <row r="154">
          <cell r="A154" t="str">
            <v>C10160</v>
          </cell>
          <cell r="B154" t="str">
            <v>Organization</v>
          </cell>
          <cell r="C154" t="str">
            <v>METAL SEAM CO. PVT. LTD.</v>
          </cell>
          <cell r="D154" t="str">
            <v>75</v>
          </cell>
        </row>
        <row r="155">
          <cell r="A155" t="str">
            <v>C10161</v>
          </cell>
          <cell r="B155" t="str">
            <v>Organization</v>
          </cell>
          <cell r="C155" t="str">
            <v>METOCHEM INTERNATIONAL PVT. LTD.</v>
          </cell>
          <cell r="D155" t="str">
            <v>4</v>
          </cell>
        </row>
        <row r="156">
          <cell r="A156" t="str">
            <v>C10162</v>
          </cell>
          <cell r="B156" t="str">
            <v>Organization</v>
          </cell>
          <cell r="C156" t="str">
            <v>METRO INTERNATIONAL LLC</v>
          </cell>
          <cell r="D156" t="str">
            <v>15</v>
          </cell>
        </row>
        <row r="157">
          <cell r="A157" t="str">
            <v>C10163</v>
          </cell>
          <cell r="B157" t="str">
            <v>Organization</v>
          </cell>
          <cell r="C157" t="str">
            <v>MILLENNIUM TRADING COMPANY PVT. LTD.</v>
          </cell>
          <cell r="D157" t="str">
            <v>0</v>
          </cell>
        </row>
        <row r="158">
          <cell r="A158" t="str">
            <v>C10164</v>
          </cell>
          <cell r="B158" t="str">
            <v>Organization</v>
          </cell>
          <cell r="C158" t="str">
            <v>MINI SARVODYA SIRA</v>
          </cell>
          <cell r="D158" t="str">
            <v>60</v>
          </cell>
        </row>
        <row r="159">
          <cell r="A159" t="str">
            <v>C10165</v>
          </cell>
          <cell r="B159" t="str">
            <v>Organization</v>
          </cell>
          <cell r="C159" t="str">
            <v>MOBIL OIL</v>
          </cell>
          <cell r="D159" t="str">
            <v>30</v>
          </cell>
        </row>
        <row r="160">
          <cell r="A160" t="str">
            <v>C10166</v>
          </cell>
          <cell r="B160" t="str">
            <v>Organization</v>
          </cell>
          <cell r="C160" t="str">
            <v>MOHAMMAD REZA FARAJPOUR</v>
          </cell>
          <cell r="D160" t="str">
            <v>1</v>
          </cell>
        </row>
        <row r="161">
          <cell r="A161" t="str">
            <v>C10167</v>
          </cell>
          <cell r="B161" t="str">
            <v>Organization</v>
          </cell>
          <cell r="C161" t="str">
            <v>MOHAMMED JAMAL ABDULKARIM</v>
          </cell>
          <cell r="D161" t="str">
            <v>1</v>
          </cell>
        </row>
        <row r="162">
          <cell r="A162" t="str">
            <v>C10168</v>
          </cell>
          <cell r="B162" t="str">
            <v>Organization</v>
          </cell>
          <cell r="C162" t="str">
            <v>MONARCH CATALYST PVT. LTD.</v>
          </cell>
          <cell r="D162" t="str">
            <v>1</v>
          </cell>
        </row>
        <row r="163">
          <cell r="A163" t="str">
            <v>C10169</v>
          </cell>
          <cell r="B163" t="str">
            <v>Organization</v>
          </cell>
          <cell r="C163" t="str">
            <v>MONSANTO INDIA LTD.</v>
          </cell>
          <cell r="D163" t="str">
            <v>30</v>
          </cell>
        </row>
        <row r="164">
          <cell r="A164" t="str">
            <v>C10170</v>
          </cell>
          <cell r="B164" t="str">
            <v>Organization</v>
          </cell>
          <cell r="C164" t="str">
            <v>MONTANA EXPORTS PVT. LTD..</v>
          </cell>
          <cell r="D164" t="str">
            <v>1</v>
          </cell>
        </row>
        <row r="165">
          <cell r="A165" t="str">
            <v>C10171</v>
          </cell>
          <cell r="B165" t="str">
            <v>Organization</v>
          </cell>
          <cell r="C165" t="str">
            <v>MOUNIR AL HAKIM</v>
          </cell>
          <cell r="D165" t="str">
            <v>1</v>
          </cell>
        </row>
        <row r="166">
          <cell r="A166" t="str">
            <v>C10172</v>
          </cell>
          <cell r="B166" t="str">
            <v>Organization</v>
          </cell>
          <cell r="C166" t="str">
            <v>MR. HWOFASA MOSES IGHO</v>
          </cell>
          <cell r="D166" t="str">
            <v>1</v>
          </cell>
        </row>
        <row r="167">
          <cell r="A167" t="str">
            <v>C10173</v>
          </cell>
          <cell r="B167" t="str">
            <v>Organization</v>
          </cell>
          <cell r="C167" t="str">
            <v>MR. RAHMATOLLAH POUR MIRZAY ESTALAKHI</v>
          </cell>
          <cell r="D167" t="str">
            <v>1</v>
          </cell>
        </row>
        <row r="168">
          <cell r="A168" t="str">
            <v>C10174</v>
          </cell>
          <cell r="B168" t="str">
            <v>Organization</v>
          </cell>
          <cell r="C168" t="str">
            <v>MR. ALI DO JAHANI</v>
          </cell>
          <cell r="D168" t="str">
            <v>1</v>
          </cell>
        </row>
        <row r="169">
          <cell r="A169" t="str">
            <v>C10175</v>
          </cell>
          <cell r="B169" t="str">
            <v>Organization</v>
          </cell>
          <cell r="C169" t="str">
            <v>MR. MOHAMMAD ABBASI TAFTI</v>
          </cell>
          <cell r="D169" t="str">
            <v>1</v>
          </cell>
        </row>
        <row r="170">
          <cell r="A170" t="str">
            <v>C10176</v>
          </cell>
          <cell r="B170" t="str">
            <v>Organization</v>
          </cell>
          <cell r="C170" t="str">
            <v>MRS. A'ZAM SHAMLAAN</v>
          </cell>
          <cell r="D170" t="str">
            <v>1</v>
          </cell>
        </row>
        <row r="171">
          <cell r="A171" t="str">
            <v>C10177</v>
          </cell>
          <cell r="B171" t="str">
            <v>Organization</v>
          </cell>
          <cell r="C171" t="str">
            <v>MTC BUSINESS PVT. LTD.</v>
          </cell>
          <cell r="D171" t="str">
            <v>0</v>
          </cell>
        </row>
        <row r="172">
          <cell r="A172" t="str">
            <v>C10178</v>
          </cell>
          <cell r="B172" t="str">
            <v>Organization</v>
          </cell>
          <cell r="C172" t="str">
            <v>* not to use ** NAGPAL STEEL</v>
          </cell>
          <cell r="D172" t="str">
            <v>0</v>
          </cell>
        </row>
        <row r="173">
          <cell r="A173" t="str">
            <v>C10179</v>
          </cell>
          <cell r="B173" t="str">
            <v>Organization</v>
          </cell>
          <cell r="C173" t="str">
            <v>NAGPAL STEEL</v>
          </cell>
          <cell r="D173" t="str">
            <v>0</v>
          </cell>
        </row>
        <row r="174">
          <cell r="A174" t="str">
            <v>C10180</v>
          </cell>
          <cell r="B174" t="str">
            <v>Organization</v>
          </cell>
          <cell r="C174" t="str">
            <v>NAJAM STEEL ASSOCIATES PVT. LTD.</v>
          </cell>
          <cell r="D174" t="str">
            <v>0</v>
          </cell>
        </row>
        <row r="175">
          <cell r="A175" t="str">
            <v>C10181</v>
          </cell>
          <cell r="B175" t="str">
            <v>Organization</v>
          </cell>
          <cell r="C175" t="str">
            <v>NANDAN PETROCHEM LTD. - TALOJA</v>
          </cell>
          <cell r="D175" t="str">
            <v>30</v>
          </cell>
        </row>
        <row r="176">
          <cell r="A176" t="str">
            <v>C10182</v>
          </cell>
          <cell r="B176" t="str">
            <v>Organization</v>
          </cell>
          <cell r="C176" t="str">
            <v>NASIR MOHSIN STEEL CORPORATION</v>
          </cell>
          <cell r="D176" t="str">
            <v>1</v>
          </cell>
        </row>
        <row r="177">
          <cell r="A177" t="str">
            <v>C10183</v>
          </cell>
          <cell r="B177" t="str">
            <v>Organization</v>
          </cell>
          <cell r="C177" t="str">
            <v>NASRIN MIRZAEI</v>
          </cell>
          <cell r="D177" t="str">
            <v>1</v>
          </cell>
        </row>
        <row r="178">
          <cell r="A178" t="str">
            <v>C10184</v>
          </cell>
          <cell r="B178" t="str">
            <v>Organization</v>
          </cell>
          <cell r="C178" t="str">
            <v>NATIONAL CONTAINERS</v>
          </cell>
          <cell r="D178" t="str">
            <v>30</v>
          </cell>
        </row>
        <row r="179">
          <cell r="A179" t="str">
            <v>C10185</v>
          </cell>
          <cell r="B179" t="str">
            <v>Organization</v>
          </cell>
          <cell r="C179" t="str">
            <v>NATIONAL PAINTS FACTORIES CO. LTD.</v>
          </cell>
          <cell r="D179" t="str">
            <v>1</v>
          </cell>
        </row>
        <row r="180">
          <cell r="A180" t="str">
            <v>C10187</v>
          </cell>
          <cell r="B180" t="str">
            <v>Organization</v>
          </cell>
          <cell r="C180" t="str">
            <v>NAWAH CHEMICALS FACTORY</v>
          </cell>
          <cell r="D180" t="str">
            <v>1</v>
          </cell>
        </row>
        <row r="181">
          <cell r="A181" t="str">
            <v>C10188</v>
          </cell>
          <cell r="B181" t="str">
            <v>Organization</v>
          </cell>
          <cell r="C181" t="str">
            <v>NEHA DRUMS AND BARRELS PVT. LTD.</v>
          </cell>
          <cell r="D181" t="str">
            <v>30</v>
          </cell>
        </row>
        <row r="182">
          <cell r="A182" t="str">
            <v>C10189</v>
          </cell>
          <cell r="B182" t="str">
            <v>Organization</v>
          </cell>
          <cell r="C182" t="str">
            <v>NEW BOMBAY ISPAT UDYOG PVT. LTD..</v>
          </cell>
          <cell r="D182" t="str">
            <v>0</v>
          </cell>
        </row>
        <row r="183">
          <cell r="A183" t="str">
            <v>C10191</v>
          </cell>
          <cell r="B183" t="str">
            <v>Organization</v>
          </cell>
          <cell r="C183" t="str">
            <v>NIKHEEL ENGINEERS</v>
          </cell>
          <cell r="D183" t="str">
            <v>0</v>
          </cell>
        </row>
        <row r="184">
          <cell r="A184" t="str">
            <v>C10193</v>
          </cell>
          <cell r="B184" t="str">
            <v>Organization</v>
          </cell>
          <cell r="C184" t="str">
            <v>PACK-WELL STEEL CONTAINERS</v>
          </cell>
          <cell r="D184" t="str">
            <v>30</v>
          </cell>
        </row>
        <row r="185">
          <cell r="A185" t="str">
            <v>C10194</v>
          </cell>
          <cell r="B185" t="str">
            <v>Organization</v>
          </cell>
          <cell r="C185" t="str">
            <v>PARAG MILK &amp; MILK PRODUCTS PVT. LTD.</v>
          </cell>
          <cell r="D185" t="str">
            <v>30</v>
          </cell>
        </row>
        <row r="186">
          <cell r="A186" t="str">
            <v>C10195</v>
          </cell>
          <cell r="B186" t="str">
            <v>Organization</v>
          </cell>
          <cell r="C186" t="str">
            <v>PETROCHEM  MIDDLE  EAST</v>
          </cell>
          <cell r="D186" t="str">
            <v>1</v>
          </cell>
        </row>
        <row r="187">
          <cell r="A187" t="str">
            <v>C10196</v>
          </cell>
          <cell r="B187" t="str">
            <v>Organization</v>
          </cell>
          <cell r="C187" t="str">
            <v>PETROMIN LUBRICATING OIL CO.</v>
          </cell>
          <cell r="D187" t="str">
            <v>1</v>
          </cell>
        </row>
        <row r="188">
          <cell r="A188" t="str">
            <v>C10197</v>
          </cell>
          <cell r="B188" t="str">
            <v>Organization</v>
          </cell>
          <cell r="C188" t="str">
            <v>PIBU INK (INDIA) PRIVATE LIMITED</v>
          </cell>
          <cell r="D188" t="str">
            <v>30</v>
          </cell>
        </row>
        <row r="189">
          <cell r="A189" t="str">
            <v>C10198</v>
          </cell>
          <cell r="B189" t="str">
            <v>Organization</v>
          </cell>
          <cell r="C189" t="str">
            <v>PREMIER PRESSING WORKS</v>
          </cell>
          <cell r="D189" t="str">
            <v>30</v>
          </cell>
        </row>
        <row r="190">
          <cell r="A190" t="str">
            <v>C10199</v>
          </cell>
          <cell r="B190" t="str">
            <v>Organization</v>
          </cell>
          <cell r="C190" t="str">
            <v>PRIMA CYCLES (P) LTD.</v>
          </cell>
          <cell r="D190" t="str">
            <v>0</v>
          </cell>
        </row>
        <row r="191">
          <cell r="A191" t="str">
            <v>C10200</v>
          </cell>
          <cell r="B191" t="str">
            <v>Organization</v>
          </cell>
          <cell r="C191" t="str">
            <v>PRIT LUBCHEM SYSTEM PVT. LTD</v>
          </cell>
          <cell r="D191" t="str">
            <v>1</v>
          </cell>
        </row>
        <row r="192">
          <cell r="A192" t="str">
            <v>C10201</v>
          </cell>
          <cell r="B192" t="str">
            <v>Organization</v>
          </cell>
          <cell r="C192" t="str">
            <v>PROSEAL CLOSURE LTD.</v>
          </cell>
          <cell r="D192" t="str">
            <v>30</v>
          </cell>
        </row>
        <row r="193">
          <cell r="A193" t="str">
            <v>C10202</v>
          </cell>
          <cell r="B193" t="str">
            <v>Organization</v>
          </cell>
          <cell r="C193" t="str">
            <v>R.B. ELECTRONIC</v>
          </cell>
          <cell r="D193" t="str">
            <v>1</v>
          </cell>
        </row>
        <row r="194">
          <cell r="A194" t="str">
            <v>C10203</v>
          </cell>
          <cell r="B194" t="str">
            <v>Organization</v>
          </cell>
          <cell r="C194" t="str">
            <v>RADHASON INTERNATIONAL</v>
          </cell>
          <cell r="D194" t="str">
            <v>0</v>
          </cell>
        </row>
        <row r="195">
          <cell r="A195" t="str">
            <v>C10204</v>
          </cell>
          <cell r="B195" t="str">
            <v>Organization</v>
          </cell>
          <cell r="C195" t="str">
            <v>RAINBOW INK &amp; VARNISH MFG. CO. LTD.     (SUPPLIER)</v>
          </cell>
          <cell r="D195" t="str">
            <v>1</v>
          </cell>
        </row>
        <row r="196">
          <cell r="A196" t="str">
            <v>C10205</v>
          </cell>
          <cell r="B196" t="str">
            <v>Organization</v>
          </cell>
          <cell r="C196" t="str">
            <v>RAJ PETRO SPECIALITIES PVT. LTD. - PANOLI</v>
          </cell>
          <cell r="D196" t="str">
            <v>60</v>
          </cell>
        </row>
        <row r="197">
          <cell r="A197" t="str">
            <v>C10206</v>
          </cell>
          <cell r="B197" t="str">
            <v>Organization</v>
          </cell>
          <cell r="C197" t="str">
            <v>RAJ SHEET METAL ENGINEERING WORKS - KILLAPARDI</v>
          </cell>
          <cell r="D197" t="str">
            <v>60</v>
          </cell>
        </row>
        <row r="198">
          <cell r="A198" t="str">
            <v>C10207</v>
          </cell>
          <cell r="B198" t="str">
            <v>Organization</v>
          </cell>
          <cell r="C198" t="str">
            <v>RAJ SHEET METAL ENGINEERING WORKS - ATTAK PARDI</v>
          </cell>
          <cell r="D198" t="str">
            <v>60</v>
          </cell>
        </row>
        <row r="199">
          <cell r="A199" t="str">
            <v>C10208</v>
          </cell>
          <cell r="B199" t="str">
            <v>Organization</v>
          </cell>
          <cell r="C199" t="str">
            <v>RAMA INDUSTRIES</v>
          </cell>
          <cell r="D199" t="str">
            <v>0</v>
          </cell>
        </row>
        <row r="200">
          <cell r="A200" t="str">
            <v>C10210</v>
          </cell>
          <cell r="B200" t="str">
            <v>Organization</v>
          </cell>
          <cell r="C200" t="str">
            <v>RAMDAS ISPAT &amp; METAL PVT. LTD.</v>
          </cell>
          <cell r="D200" t="str">
            <v>0</v>
          </cell>
        </row>
        <row r="201">
          <cell r="A201" t="str">
            <v>C10211</v>
          </cell>
          <cell r="B201" t="str">
            <v>Organization</v>
          </cell>
          <cell r="C201" t="str">
            <v>RAMESHKUMAR RAJENDRA KUMAR &amp; CO.</v>
          </cell>
          <cell r="D201" t="str">
            <v>0</v>
          </cell>
        </row>
        <row r="202">
          <cell r="A202" t="str">
            <v>C10212</v>
          </cell>
          <cell r="B202" t="str">
            <v>Organization</v>
          </cell>
          <cell r="C202" t="str">
            <v>RIVER GENERAL TRADING</v>
          </cell>
          <cell r="D202" t="str">
            <v>1</v>
          </cell>
        </row>
        <row r="203">
          <cell r="A203" t="str">
            <v>C10213</v>
          </cell>
          <cell r="B203" t="str">
            <v>Organization</v>
          </cell>
          <cell r="C203" t="str">
            <v>ROYAL INDUSTRIES</v>
          </cell>
          <cell r="D203" t="str">
            <v>60</v>
          </cell>
        </row>
        <row r="204">
          <cell r="A204" t="str">
            <v>C10214</v>
          </cell>
          <cell r="B204" t="str">
            <v>Organization</v>
          </cell>
          <cell r="C204" t="str">
            <v>ROYAL STAINLESS STEEL CONTAINERS</v>
          </cell>
          <cell r="D204" t="str">
            <v>30</v>
          </cell>
        </row>
        <row r="205">
          <cell r="A205" t="str">
            <v>C10215</v>
          </cell>
          <cell r="B205" t="str">
            <v>Organization</v>
          </cell>
          <cell r="C205" t="str">
            <v>ROYAL STEEL  (SCRAP)</v>
          </cell>
          <cell r="D205" t="str">
            <v>1</v>
          </cell>
        </row>
        <row r="206">
          <cell r="A206" t="str">
            <v>C10216</v>
          </cell>
          <cell r="B206" t="str">
            <v>Organization</v>
          </cell>
          <cell r="C206" t="str">
            <v>ROYAL TRADING  CO.</v>
          </cell>
          <cell r="D206" t="str">
            <v>1</v>
          </cell>
        </row>
        <row r="207">
          <cell r="A207" t="str">
            <v>C10217</v>
          </cell>
          <cell r="B207" t="str">
            <v>Organization</v>
          </cell>
          <cell r="C207" t="str">
            <v>RUSHI TRADERS</v>
          </cell>
          <cell r="D207" t="str">
            <v>1</v>
          </cell>
        </row>
        <row r="208">
          <cell r="A208" t="str">
            <v>C10218</v>
          </cell>
          <cell r="B208" t="str">
            <v>Organization</v>
          </cell>
          <cell r="C208" t="str">
            <v>S.B.N. CONTAINERS</v>
          </cell>
          <cell r="D208" t="str">
            <v>30</v>
          </cell>
        </row>
        <row r="209">
          <cell r="A209" t="str">
            <v>C10219</v>
          </cell>
          <cell r="B209" t="str">
            <v>Organization</v>
          </cell>
          <cell r="C209" t="str">
            <v>SAH PETROLEUMS LIMITED.</v>
          </cell>
          <cell r="D209" t="str">
            <v>30</v>
          </cell>
        </row>
        <row r="210">
          <cell r="A210" t="str">
            <v>C10221</v>
          </cell>
          <cell r="B210" t="str">
            <v>Organization</v>
          </cell>
          <cell r="C210" t="str">
            <v>SANTHI INDUSTRIES</v>
          </cell>
          <cell r="D210" t="str">
            <v>60</v>
          </cell>
        </row>
        <row r="211">
          <cell r="A211" t="str">
            <v>C10222</v>
          </cell>
          <cell r="B211" t="str">
            <v>Organization</v>
          </cell>
          <cell r="C211" t="str">
            <v>SAUDI INDUSTRIAL RESINS</v>
          </cell>
          <cell r="D211" t="str">
            <v>1</v>
          </cell>
        </row>
        <row r="212">
          <cell r="A212" t="str">
            <v>C10223</v>
          </cell>
          <cell r="B212" t="str">
            <v>Organization</v>
          </cell>
          <cell r="C212" t="str">
            <v>SAUDI INDUSTRIAL SOLVENTS COMPANY LTD</v>
          </cell>
          <cell r="D212" t="str">
            <v>30</v>
          </cell>
        </row>
        <row r="213">
          <cell r="A213" t="str">
            <v>C10224</v>
          </cell>
          <cell r="B213" t="str">
            <v>Organization</v>
          </cell>
          <cell r="C213" t="str">
            <v>SAUDI TOTAL LUBRICANTS CO LTD</v>
          </cell>
          <cell r="D213" t="str">
            <v>45</v>
          </cell>
        </row>
        <row r="214">
          <cell r="A214" t="str">
            <v>C10226</v>
          </cell>
          <cell r="B214" t="str">
            <v>Organization</v>
          </cell>
          <cell r="C214" t="str">
            <v>SCCI (INDIA) PVT. LTD. - GURGAON</v>
          </cell>
          <cell r="D214" t="str">
            <v>30</v>
          </cell>
        </row>
        <row r="215">
          <cell r="A215" t="str">
            <v>C10227</v>
          </cell>
          <cell r="B215" t="str">
            <v>Organization</v>
          </cell>
          <cell r="C215" t="str">
            <v>SCCI INDIA PVT. LTD. - ALWAR</v>
          </cell>
          <cell r="D215" t="str">
            <v>30</v>
          </cell>
        </row>
        <row r="216">
          <cell r="A216" t="str">
            <v>C10228</v>
          </cell>
          <cell r="B216" t="str">
            <v>Organization</v>
          </cell>
          <cell r="C216" t="str">
            <v>SEDAWATTE DRUMS LTD.</v>
          </cell>
          <cell r="D216" t="str">
            <v>30</v>
          </cell>
        </row>
        <row r="217">
          <cell r="A217" t="str">
            <v>C10230</v>
          </cell>
          <cell r="B217" t="str">
            <v>Organization</v>
          </cell>
          <cell r="C217" t="str">
            <v>SHANU METALS</v>
          </cell>
          <cell r="D217" t="str">
            <v>1</v>
          </cell>
        </row>
        <row r="218">
          <cell r="A218" t="str">
            <v>C10231</v>
          </cell>
          <cell r="B218" t="str">
            <v>Organization</v>
          </cell>
          <cell r="C218" t="str">
            <v>SHARATH ENGINEERING COMPANY.</v>
          </cell>
          <cell r="D218" t="str">
            <v>30</v>
          </cell>
        </row>
        <row r="219">
          <cell r="A219" t="str">
            <v>C10232</v>
          </cell>
          <cell r="B219" t="str">
            <v>Organization</v>
          </cell>
          <cell r="C219" t="str">
            <v>SHARJAH NATIONAL LUBE OIL CO. LTD..</v>
          </cell>
          <cell r="D219" t="str">
            <v>30</v>
          </cell>
        </row>
        <row r="220">
          <cell r="A220" t="str">
            <v>C10233</v>
          </cell>
          <cell r="B220" t="str">
            <v>Organization</v>
          </cell>
          <cell r="C220" t="str">
            <v>SHARP ALLOY LIMITED</v>
          </cell>
          <cell r="D220" t="str">
            <v>1</v>
          </cell>
        </row>
        <row r="221">
          <cell r="A221" t="str">
            <v>C10234</v>
          </cell>
          <cell r="B221" t="str">
            <v>Organization</v>
          </cell>
          <cell r="C221" t="str">
            <v>SHARP ALLOYS LIMITED.</v>
          </cell>
          <cell r="D221" t="str">
            <v>1</v>
          </cell>
        </row>
        <row r="222">
          <cell r="A222" t="str">
            <v>C10235</v>
          </cell>
          <cell r="B222" t="str">
            <v>Organization</v>
          </cell>
          <cell r="C222" t="str">
            <v>SHERKAT BOSHKE SAZI FOOLAD SALAFCHEGAN</v>
          </cell>
          <cell r="D222" t="str">
            <v>30</v>
          </cell>
        </row>
        <row r="223">
          <cell r="A223" t="str">
            <v>C10236</v>
          </cell>
          <cell r="B223" t="str">
            <v>Organization</v>
          </cell>
          <cell r="C223" t="str">
            <v>SHIVA DRUMS PVT. LTD..</v>
          </cell>
          <cell r="D223" t="str">
            <v>60</v>
          </cell>
        </row>
        <row r="224">
          <cell r="A224" t="str">
            <v>C10237</v>
          </cell>
          <cell r="B224" t="str">
            <v>Organization</v>
          </cell>
          <cell r="C224" t="str">
            <v>SHIVA METAL WORKS</v>
          </cell>
          <cell r="D224" t="str">
            <v>60</v>
          </cell>
        </row>
        <row r="225">
          <cell r="A225" t="str">
            <v>C10238</v>
          </cell>
          <cell r="B225" t="str">
            <v>Organization</v>
          </cell>
          <cell r="C225" t="str">
            <v>SHIVA PETROSYNTH SPE</v>
          </cell>
          <cell r="D225" t="str">
            <v>1</v>
          </cell>
        </row>
        <row r="226">
          <cell r="A226" t="str">
            <v>C10239</v>
          </cell>
          <cell r="B226" t="str">
            <v>Organization</v>
          </cell>
          <cell r="C226" t="str">
            <v>SHIVA UDYOG BARRELS PVT. LTD.. UNIT II</v>
          </cell>
          <cell r="D226" t="str">
            <v>30</v>
          </cell>
        </row>
        <row r="227">
          <cell r="A227" t="str">
            <v>C10240</v>
          </cell>
          <cell r="B227" t="str">
            <v>Organization</v>
          </cell>
          <cell r="C227" t="str">
            <v>SHIVANG ISPAT PVT. L</v>
          </cell>
          <cell r="D227" t="str">
            <v>1</v>
          </cell>
        </row>
        <row r="228">
          <cell r="A228" t="str">
            <v>C10241</v>
          </cell>
          <cell r="B228" t="str">
            <v>Organization</v>
          </cell>
          <cell r="C228" t="str">
            <v>SHIVRAJ DRUMS &amp; CONTAINERS PVT. LTD.</v>
          </cell>
          <cell r="D228" t="str">
            <v>60</v>
          </cell>
        </row>
        <row r="229">
          <cell r="A229" t="str">
            <v>C10242</v>
          </cell>
          <cell r="B229" t="str">
            <v>Organization</v>
          </cell>
          <cell r="C229" t="str">
            <v>SHIVSHAKTI BARRELS - FORMERLY SHREEJI BARRELS</v>
          </cell>
          <cell r="D229" t="str">
            <v>60</v>
          </cell>
        </row>
        <row r="230">
          <cell r="A230" t="str">
            <v>C10243</v>
          </cell>
          <cell r="B230" t="str">
            <v>Organization</v>
          </cell>
          <cell r="C230" t="str">
            <v>SHIV-VANI OIL &amp; GAS EXPLORATION SERVICES LTD.</v>
          </cell>
          <cell r="D230" t="str">
            <v>1</v>
          </cell>
        </row>
        <row r="231">
          <cell r="A231" t="str">
            <v>C10244</v>
          </cell>
          <cell r="B231" t="str">
            <v>Organization</v>
          </cell>
          <cell r="C231" t="str">
            <v>SHREE RAJ METAL &amp; CHEMICAL INDUSTRIES</v>
          </cell>
          <cell r="D231" t="str">
            <v>45</v>
          </cell>
        </row>
        <row r="232">
          <cell r="A232" t="str">
            <v>C10246</v>
          </cell>
          <cell r="B232" t="str">
            <v>Organization</v>
          </cell>
          <cell r="C232" t="str">
            <v>SI GROUP-INDIA LTD., RASAL</v>
          </cell>
          <cell r="D232" t="str">
            <v>45</v>
          </cell>
        </row>
        <row r="233">
          <cell r="A233" t="str">
            <v>C10247</v>
          </cell>
          <cell r="B233" t="str">
            <v>Organization</v>
          </cell>
          <cell r="C233" t="str">
            <v>SI GROUP-INDIA LTD.,TURBHE</v>
          </cell>
          <cell r="D233" t="str">
            <v>45</v>
          </cell>
        </row>
        <row r="234">
          <cell r="A234" t="str">
            <v>C10248</v>
          </cell>
          <cell r="B234" t="str">
            <v>Organization</v>
          </cell>
          <cell r="C234" t="str">
            <v>SIDDHARTH PETRO PRODUCTS</v>
          </cell>
          <cell r="D234" t="str">
            <v>1</v>
          </cell>
        </row>
        <row r="235">
          <cell r="A235" t="str">
            <v>C10250</v>
          </cell>
          <cell r="B235" t="str">
            <v>Organization</v>
          </cell>
          <cell r="C235" t="str">
            <v>SIGMA TOOLS &amp; ACCESSORIES PVT. LTD. -     (SUPPLIER)</v>
          </cell>
          <cell r="D235" t="str">
            <v>1</v>
          </cell>
        </row>
        <row r="236">
          <cell r="A236" t="str">
            <v>C10251</v>
          </cell>
          <cell r="B236" t="str">
            <v>Organization</v>
          </cell>
          <cell r="C236" t="str">
            <v>SILVER ISPAT  PVT. LIMITED</v>
          </cell>
          <cell r="D236" t="str">
            <v>1</v>
          </cell>
        </row>
        <row r="237">
          <cell r="A237" t="str">
            <v>C10252</v>
          </cell>
          <cell r="B237" t="str">
            <v>Organization</v>
          </cell>
          <cell r="C237" t="str">
            <v>SILVERMILL HOLDING LIMITED</v>
          </cell>
          <cell r="D237" t="str">
            <v>1</v>
          </cell>
        </row>
        <row r="238">
          <cell r="A238" t="str">
            <v>C10253</v>
          </cell>
          <cell r="B238" t="str">
            <v>Organization</v>
          </cell>
          <cell r="C238" t="str">
            <v>SINGH &amp; COMPANIES</v>
          </cell>
          <cell r="D238" t="str">
            <v>30</v>
          </cell>
        </row>
        <row r="239">
          <cell r="A239" t="str">
            <v>C10254</v>
          </cell>
          <cell r="B239" t="str">
            <v>Organization</v>
          </cell>
          <cell r="C239" t="str">
            <v>SONKAMAL ENTERPRISES PVT. LTD..</v>
          </cell>
          <cell r="D239" t="str">
            <v>1</v>
          </cell>
        </row>
        <row r="240">
          <cell r="A240" t="str">
            <v>C10255</v>
          </cell>
          <cell r="B240" t="str">
            <v>Organization</v>
          </cell>
          <cell r="C240" t="str">
            <v>SPI INDUSTRIES  PVT. LTD. - SANAND</v>
          </cell>
          <cell r="D240" t="str">
            <v>60</v>
          </cell>
        </row>
        <row r="241">
          <cell r="A241" t="str">
            <v>C10256</v>
          </cell>
          <cell r="B241" t="str">
            <v>Organization</v>
          </cell>
          <cell r="C241" t="str">
            <v>SRI BHARANI STEELS &amp; INDUSTRIES - CHENNAI</v>
          </cell>
          <cell r="D241" t="str">
            <v>30</v>
          </cell>
        </row>
        <row r="242">
          <cell r="A242" t="str">
            <v>C10257</v>
          </cell>
          <cell r="B242" t="str">
            <v>Organization</v>
          </cell>
          <cell r="C242" t="str">
            <v>SS PACKAGING</v>
          </cell>
          <cell r="D242" t="str">
            <v>90</v>
          </cell>
        </row>
        <row r="243">
          <cell r="A243" t="str">
            <v>C10258</v>
          </cell>
          <cell r="B243" t="str">
            <v>Organization</v>
          </cell>
          <cell r="C243" t="str">
            <v>STAR BARRELS INDS. PVT. LTD.</v>
          </cell>
          <cell r="D243" t="str">
            <v>30</v>
          </cell>
        </row>
        <row r="244">
          <cell r="A244" t="str">
            <v>C10259</v>
          </cell>
          <cell r="B244" t="str">
            <v>Organization</v>
          </cell>
          <cell r="C244" t="str">
            <v>STAR STEEL CORPORATION</v>
          </cell>
          <cell r="D244" t="str">
            <v>1</v>
          </cell>
        </row>
        <row r="245">
          <cell r="A245" t="str">
            <v>C10260</v>
          </cell>
          <cell r="B245" t="str">
            <v>Organization</v>
          </cell>
          <cell r="C245" t="str">
            <v>STEEL ROLLING MILL OF MAHARASHTRA</v>
          </cell>
          <cell r="D245" t="str">
            <v>1</v>
          </cell>
        </row>
        <row r="246">
          <cell r="A246" t="str">
            <v>C10261</v>
          </cell>
          <cell r="B246" t="str">
            <v>Organization</v>
          </cell>
          <cell r="C246" t="str">
            <v>STERLING TRADE</v>
          </cell>
          <cell r="D246" t="str">
            <v>1</v>
          </cell>
        </row>
        <row r="247">
          <cell r="A247" t="str">
            <v>C10263</v>
          </cell>
          <cell r="B247" t="str">
            <v>Organization</v>
          </cell>
          <cell r="C247" t="str">
            <v>SUNSTAR LUBRICANTS LIMITED</v>
          </cell>
          <cell r="D247" t="str">
            <v>30</v>
          </cell>
        </row>
        <row r="248">
          <cell r="A248" t="str">
            <v>C10264</v>
          </cell>
          <cell r="B248" t="str">
            <v>Organization</v>
          </cell>
          <cell r="C248" t="str">
            <v>SUPER GLOBE CHEMICALS INDUSTRIES (PVT.) LTD.</v>
          </cell>
          <cell r="D248" t="str">
            <v>1</v>
          </cell>
        </row>
        <row r="249">
          <cell r="A249" t="str">
            <v>C10265</v>
          </cell>
          <cell r="B249" t="str">
            <v>Organization</v>
          </cell>
          <cell r="C249" t="str">
            <v>SUPREME STEEL PACKAGINGS PVT. LTD..</v>
          </cell>
          <cell r="D249" t="str">
            <v>90</v>
          </cell>
        </row>
        <row r="250">
          <cell r="A250" t="str">
            <v>C10266</v>
          </cell>
          <cell r="B250" t="str">
            <v>Organization</v>
          </cell>
          <cell r="C250" t="str">
            <v>SURYA CONTAINERS PVT. LTD.</v>
          </cell>
          <cell r="D250" t="str">
            <v>30</v>
          </cell>
        </row>
        <row r="251">
          <cell r="A251" t="str">
            <v>C10267</v>
          </cell>
          <cell r="B251" t="str">
            <v>Organization</v>
          </cell>
          <cell r="C251" t="str">
            <v>SWASTIK CORPORATION</v>
          </cell>
          <cell r="D251" t="str">
            <v>30</v>
          </cell>
        </row>
        <row r="252">
          <cell r="A252" t="str">
            <v>C10268</v>
          </cell>
          <cell r="B252" t="str">
            <v>Organization</v>
          </cell>
          <cell r="C252" t="str">
            <v>SWISSOL CHEMICALS (INDIA) PVT. LTD.</v>
          </cell>
          <cell r="D252" t="str">
            <v>30</v>
          </cell>
        </row>
        <row r="253">
          <cell r="A253" t="str">
            <v>C10269</v>
          </cell>
          <cell r="B253" t="str">
            <v>Organization</v>
          </cell>
          <cell r="C253" t="str">
            <v>TAJ DRUM CONTAINERS</v>
          </cell>
          <cell r="D253" t="str">
            <v>1</v>
          </cell>
        </row>
        <row r="254">
          <cell r="A254" t="str">
            <v>C10270</v>
          </cell>
          <cell r="B254" t="str">
            <v>Organization</v>
          </cell>
          <cell r="C254" t="str">
            <v>TECHNOCHEM SERVICES</v>
          </cell>
          <cell r="D254" t="str">
            <v>1</v>
          </cell>
        </row>
        <row r="255">
          <cell r="A255" t="str">
            <v>C10271</v>
          </cell>
          <cell r="B255" t="str">
            <v>Organization</v>
          </cell>
          <cell r="C255" t="str">
            <v>THE ANUP INDUSTRIES PVT. LTD..(closed)</v>
          </cell>
          <cell r="D255" t="str">
            <v>1</v>
          </cell>
        </row>
        <row r="256">
          <cell r="A256" t="str">
            <v>C10272</v>
          </cell>
          <cell r="B256" t="str">
            <v>Organization</v>
          </cell>
          <cell r="C256" t="str">
            <v>THE INDIAN SMELTING &amp; REFINING COMPANY LTD.</v>
          </cell>
          <cell r="D256" t="str">
            <v>1</v>
          </cell>
        </row>
        <row r="257">
          <cell r="A257" t="str">
            <v>C10273</v>
          </cell>
          <cell r="B257" t="str">
            <v>Organization</v>
          </cell>
          <cell r="C257" t="str">
            <v>THE SEAS PETRO CHEMICALS TRADING CO. (LLC)</v>
          </cell>
          <cell r="D257" t="str">
            <v>30</v>
          </cell>
        </row>
        <row r="258">
          <cell r="A258" t="str">
            <v>C10274</v>
          </cell>
          <cell r="B258" t="str">
            <v>Organization</v>
          </cell>
          <cell r="C258" t="str">
            <v>TIDE WATER OIL CO. (INDIA) LTD. - HOWRAH</v>
          </cell>
          <cell r="D258" t="str">
            <v>30</v>
          </cell>
        </row>
        <row r="259">
          <cell r="A259" t="str">
            <v>C10275</v>
          </cell>
          <cell r="B259" t="str">
            <v>Organization</v>
          </cell>
          <cell r="C259" t="str">
            <v>TIDE WATER OIL CO. (INDIA) LTD. - DELHI</v>
          </cell>
          <cell r="D259" t="str">
            <v>30</v>
          </cell>
        </row>
        <row r="260">
          <cell r="A260" t="str">
            <v>C10276</v>
          </cell>
          <cell r="B260" t="str">
            <v>Organization</v>
          </cell>
          <cell r="C260" t="str">
            <v>TIDE WATER OIL CO. (INDIA) LTD. - CHENNAI</v>
          </cell>
          <cell r="D260" t="str">
            <v>30</v>
          </cell>
        </row>
        <row r="261">
          <cell r="A261" t="str">
            <v>C10277</v>
          </cell>
          <cell r="B261" t="str">
            <v>Organization</v>
          </cell>
          <cell r="C261" t="str">
            <v>TIME MAUSER INDUSTRIES PVT. LTD..</v>
          </cell>
          <cell r="D261" t="str">
            <v>60</v>
          </cell>
        </row>
        <row r="262">
          <cell r="A262" t="str">
            <v>C10278</v>
          </cell>
          <cell r="B262" t="str">
            <v>Organization</v>
          </cell>
          <cell r="C262" t="str">
            <v>TIN BOX COMPANY</v>
          </cell>
          <cell r="D262" t="str">
            <v>90</v>
          </cell>
        </row>
        <row r="263">
          <cell r="A263" t="str">
            <v>C10279</v>
          </cell>
          <cell r="B263" t="str">
            <v>Organization</v>
          </cell>
          <cell r="C263" t="str">
            <v>TOP TECHNICAL CO.</v>
          </cell>
          <cell r="D263" t="str">
            <v>1</v>
          </cell>
        </row>
        <row r="264">
          <cell r="A264" t="str">
            <v>C10281</v>
          </cell>
          <cell r="B264" t="str">
            <v>Organization</v>
          </cell>
          <cell r="C264" t="str">
            <v>TRIPURA CONTAINERS PVT. LTD..</v>
          </cell>
          <cell r="D264" t="str">
            <v>15</v>
          </cell>
        </row>
        <row r="265">
          <cell r="A265" t="str">
            <v>C10282</v>
          </cell>
          <cell r="B265" t="str">
            <v>Organization</v>
          </cell>
          <cell r="C265" t="str">
            <v>TRI-SURE CLOSURES AUSTRALIA PTY. LTD.</v>
          </cell>
          <cell r="D265" t="str">
            <v>60</v>
          </cell>
        </row>
        <row r="266">
          <cell r="A266" t="str">
            <v>C10283</v>
          </cell>
          <cell r="B266" t="str">
            <v>Organization</v>
          </cell>
          <cell r="C266" t="str">
            <v>ULTRA GLOSS THINNERS &amp; CHEMICALS</v>
          </cell>
          <cell r="D266" t="str">
            <v>1</v>
          </cell>
        </row>
        <row r="267">
          <cell r="A267" t="str">
            <v>C10285</v>
          </cell>
          <cell r="B267" t="str">
            <v>Organization</v>
          </cell>
          <cell r="C267" t="str">
            <v>UNIVERSAL CONTAINERS PVT. LTD. - KHOPOLI</v>
          </cell>
          <cell r="D267" t="str">
            <v>45</v>
          </cell>
        </row>
        <row r="268">
          <cell r="A268" t="str">
            <v>C10286</v>
          </cell>
          <cell r="B268" t="str">
            <v>Organization</v>
          </cell>
          <cell r="C268" t="str">
            <v>UNIVERSAL CONTAINERS PVT. LTD. - DARUKHANA</v>
          </cell>
          <cell r="D268" t="str">
            <v>45</v>
          </cell>
        </row>
        <row r="269">
          <cell r="A269" t="str">
            <v>C10287</v>
          </cell>
          <cell r="B269" t="str">
            <v>Organization</v>
          </cell>
          <cell r="C269" t="str">
            <v>UNIVERSAL PETROCHEMICALS LTD. - (SILVASSA)</v>
          </cell>
          <cell r="D269" t="str">
            <v>30</v>
          </cell>
        </row>
        <row r="270">
          <cell r="A270" t="str">
            <v>C10288</v>
          </cell>
          <cell r="B270" t="str">
            <v>Organization</v>
          </cell>
          <cell r="C270" t="str">
            <v>V. M. CONTAINERS PVT.. LTD.</v>
          </cell>
          <cell r="D270" t="str">
            <v>60</v>
          </cell>
        </row>
        <row r="271">
          <cell r="A271" t="str">
            <v>C10289</v>
          </cell>
          <cell r="B271" t="str">
            <v>Organization</v>
          </cell>
          <cell r="C271" t="str">
            <v>VALINEERS ENGINEERS &amp; CONTRACTOR</v>
          </cell>
          <cell r="D271" t="str">
            <v>1</v>
          </cell>
        </row>
        <row r="272">
          <cell r="A272" t="str">
            <v>C10290</v>
          </cell>
          <cell r="B272" t="str">
            <v>Organization</v>
          </cell>
          <cell r="C272" t="str">
            <v>VARDHAMAN STEEL CORPORATION</v>
          </cell>
          <cell r="D272" t="str">
            <v>1</v>
          </cell>
        </row>
        <row r="273">
          <cell r="A273" t="str">
            <v>C10291</v>
          </cell>
          <cell r="B273" t="str">
            <v>Organization</v>
          </cell>
          <cell r="C273" t="str">
            <v>VASUDA CHEM INDUSTRIES</v>
          </cell>
          <cell r="D273" t="str">
            <v>30</v>
          </cell>
        </row>
        <row r="274">
          <cell r="A274" t="str">
            <v>C10292</v>
          </cell>
          <cell r="B274" t="str">
            <v>Organization</v>
          </cell>
          <cell r="C274" t="str">
            <v>VIJAY ENTERPRISES</v>
          </cell>
          <cell r="D274" t="str">
            <v>1</v>
          </cell>
        </row>
        <row r="275">
          <cell r="A275" t="str">
            <v>C10293</v>
          </cell>
          <cell r="B275" t="str">
            <v>Organization</v>
          </cell>
          <cell r="C275" t="str">
            <v>VIMAL BARRELS PVT. LTD.</v>
          </cell>
          <cell r="D275" t="str">
            <v>45</v>
          </cell>
        </row>
        <row r="276">
          <cell r="A276" t="str">
            <v>C10294</v>
          </cell>
          <cell r="B276" t="str">
            <v>Organization</v>
          </cell>
          <cell r="C276" t="str">
            <v>VINAY STEELS</v>
          </cell>
          <cell r="D276" t="str">
            <v>1</v>
          </cell>
        </row>
        <row r="277">
          <cell r="A277" t="str">
            <v>C10295</v>
          </cell>
          <cell r="B277" t="str">
            <v>Organization</v>
          </cell>
          <cell r="C277" t="str">
            <v>VIRAJ ALLOYS LTD.</v>
          </cell>
          <cell r="D277" t="str">
            <v>1</v>
          </cell>
        </row>
        <row r="278">
          <cell r="A278" t="str">
            <v>C10296</v>
          </cell>
          <cell r="B278" t="str">
            <v>Organization</v>
          </cell>
          <cell r="C278" t="str">
            <v>VIRAT ISPAT LTD.</v>
          </cell>
          <cell r="D278" t="str">
            <v>1</v>
          </cell>
        </row>
        <row r="279">
          <cell r="A279" t="str">
            <v>C10297</v>
          </cell>
          <cell r="B279" t="str">
            <v>Organization</v>
          </cell>
          <cell r="C279" t="str">
            <v>WESTERN DRUMS &amp; PACKINGS CO. LTD.</v>
          </cell>
          <cell r="D279" t="str">
            <v>60</v>
          </cell>
        </row>
        <row r="280">
          <cell r="A280" t="str">
            <v>C10298</v>
          </cell>
          <cell r="B280" t="str">
            <v>Organization</v>
          </cell>
          <cell r="C280" t="str">
            <v>WHITE SEAGULL TRDG. CO. LLC</v>
          </cell>
          <cell r="D280" t="str">
            <v>1</v>
          </cell>
        </row>
        <row r="281">
          <cell r="A281" t="str">
            <v>C10299</v>
          </cell>
          <cell r="B281" t="str">
            <v>Organization</v>
          </cell>
          <cell r="C281" t="str">
            <v>YASHRAJ CONTAINEURS LIMITED - HOWRAH</v>
          </cell>
          <cell r="D281" t="str">
            <v>15</v>
          </cell>
        </row>
        <row r="282">
          <cell r="A282" t="str">
            <v>C10300</v>
          </cell>
          <cell r="B282" t="str">
            <v>Organization</v>
          </cell>
          <cell r="C282" t="str">
            <v>A P COATED DRUMS &amp; BARRELS PVT. LTD</v>
          </cell>
          <cell r="D282" t="str">
            <v>60</v>
          </cell>
        </row>
        <row r="283">
          <cell r="A283" t="str">
            <v>C10301</v>
          </cell>
          <cell r="B283" t="str">
            <v>Organization</v>
          </cell>
          <cell r="C283" t="str">
            <v>A. K. ENTERPRISES</v>
          </cell>
          <cell r="D283" t="str">
            <v>1</v>
          </cell>
        </row>
        <row r="284">
          <cell r="A284" t="str">
            <v>C10303</v>
          </cell>
          <cell r="B284" t="str">
            <v>Organization</v>
          </cell>
          <cell r="C284" t="str">
            <v>A.P. SUTAR</v>
          </cell>
          <cell r="D284" t="str">
            <v>30</v>
          </cell>
        </row>
        <row r="285">
          <cell r="A285" t="str">
            <v>C10304</v>
          </cell>
          <cell r="B285" t="str">
            <v>Organization</v>
          </cell>
          <cell r="C285" t="str">
            <v>A.R. SULPHONATES PVT. LTD..</v>
          </cell>
          <cell r="D285" t="str">
            <v>15</v>
          </cell>
        </row>
        <row r="286">
          <cell r="A286" t="str">
            <v>C10305</v>
          </cell>
          <cell r="B286" t="str">
            <v>Organization</v>
          </cell>
          <cell r="C286" t="str">
            <v>A.W. CHEMICALS PVT. LTD..</v>
          </cell>
          <cell r="D286" t="str">
            <v>30</v>
          </cell>
        </row>
        <row r="287">
          <cell r="A287" t="str">
            <v>C10307</v>
          </cell>
          <cell r="B287" t="str">
            <v>Organization</v>
          </cell>
          <cell r="C287" t="str">
            <v>AAHNIK PETROLEUMS</v>
          </cell>
          <cell r="D287" t="str">
            <v>1</v>
          </cell>
        </row>
        <row r="288">
          <cell r="A288" t="str">
            <v>C10309</v>
          </cell>
          <cell r="B288" t="str">
            <v>Organization</v>
          </cell>
          <cell r="C288" t="str">
            <v>AARVI SPECIALITIES</v>
          </cell>
          <cell r="D288" t="str">
            <v>1</v>
          </cell>
        </row>
        <row r="289">
          <cell r="A289" t="str">
            <v>C10310</v>
          </cell>
          <cell r="B289" t="str">
            <v>Organization</v>
          </cell>
          <cell r="C289" t="str">
            <v>AB LUBES</v>
          </cell>
          <cell r="D289" t="str">
            <v>1</v>
          </cell>
        </row>
        <row r="290">
          <cell r="A290" t="str">
            <v>C10311</v>
          </cell>
          <cell r="B290" t="str">
            <v>Organization</v>
          </cell>
          <cell r="C290" t="str">
            <v>ABDULWAHID ABDULREHEMAN</v>
          </cell>
          <cell r="D290" t="str">
            <v>30</v>
          </cell>
        </row>
        <row r="291">
          <cell r="A291" t="str">
            <v>C10315</v>
          </cell>
          <cell r="B291" t="str">
            <v>Organization</v>
          </cell>
          <cell r="C291" t="str">
            <v>ACI (AGRO CHEMICAL INDUSTRIES) LTD</v>
          </cell>
          <cell r="D291" t="str">
            <v>1</v>
          </cell>
        </row>
        <row r="292">
          <cell r="A292" t="str">
            <v>C10316</v>
          </cell>
          <cell r="B292" t="str">
            <v>Organization</v>
          </cell>
          <cell r="C292" t="str">
            <v>ACME SOLVENTS PVT. LTD</v>
          </cell>
          <cell r="D292" t="str">
            <v>1</v>
          </cell>
        </row>
        <row r="293">
          <cell r="A293" t="str">
            <v>C10320</v>
          </cell>
          <cell r="B293" t="str">
            <v>Organization</v>
          </cell>
          <cell r="C293" t="str">
            <v>ADMINISTRATION OF U.T. OF LAKSHADWEEP</v>
          </cell>
          <cell r="D293" t="str">
            <v>30</v>
          </cell>
        </row>
        <row r="294">
          <cell r="A294" t="str">
            <v>C10321</v>
          </cell>
          <cell r="B294" t="str">
            <v>Organization</v>
          </cell>
          <cell r="C294" t="str">
            <v>ADMINISTRATION OF THE UNION TERRITORY OF LAKSHADWEEP (KOC))</v>
          </cell>
          <cell r="D294" t="str">
            <v>30</v>
          </cell>
        </row>
        <row r="295">
          <cell r="A295" t="str">
            <v>C10324</v>
          </cell>
          <cell r="B295" t="str">
            <v>Organization</v>
          </cell>
          <cell r="C295" t="str">
            <v>AGRO EXTRACTS LIMITED (200)</v>
          </cell>
          <cell r="D295" t="str">
            <v>30</v>
          </cell>
        </row>
        <row r="296">
          <cell r="A296" t="str">
            <v>C10326</v>
          </cell>
          <cell r="B296" t="str">
            <v>Organization</v>
          </cell>
          <cell r="C296" t="str">
            <v>AKAY FLAVOURS &amp; AROMATICS PVT LTD</v>
          </cell>
          <cell r="D296" t="str">
            <v>30</v>
          </cell>
        </row>
        <row r="297">
          <cell r="A297" t="str">
            <v>C10329</v>
          </cell>
          <cell r="B297" t="str">
            <v>Organization</v>
          </cell>
          <cell r="C297" t="str">
            <v>AKRUR CHEMICALS PVT. LTD</v>
          </cell>
          <cell r="D297" t="str">
            <v>30</v>
          </cell>
        </row>
        <row r="298">
          <cell r="A298" t="str">
            <v>C10330</v>
          </cell>
          <cell r="B298" t="str">
            <v>Organization</v>
          </cell>
          <cell r="C298" t="str">
            <v>AKRY ORGANICS PVT. LTD..</v>
          </cell>
          <cell r="D298" t="str">
            <v>30</v>
          </cell>
        </row>
        <row r="299">
          <cell r="A299" t="str">
            <v>C10331</v>
          </cell>
          <cell r="B299" t="str">
            <v>Organization</v>
          </cell>
          <cell r="C299" t="str">
            <v>AKSHAR STATIONERY</v>
          </cell>
          <cell r="D299" t="str">
            <v>30</v>
          </cell>
        </row>
        <row r="300">
          <cell r="A300" t="str">
            <v>C10332</v>
          </cell>
          <cell r="B300" t="str">
            <v>Organization</v>
          </cell>
          <cell r="C300" t="str">
            <v>AKSHAY CHEMICALS</v>
          </cell>
          <cell r="D300" t="str">
            <v>0</v>
          </cell>
        </row>
        <row r="301">
          <cell r="A301" t="str">
            <v>C10333</v>
          </cell>
          <cell r="B301" t="str">
            <v>Organization</v>
          </cell>
          <cell r="C301" t="str">
            <v>AKSHAY INDUSTRIES</v>
          </cell>
          <cell r="D301" t="str">
            <v>0</v>
          </cell>
        </row>
        <row r="302">
          <cell r="A302" t="str">
            <v>C10334</v>
          </cell>
          <cell r="B302" t="str">
            <v>Organization</v>
          </cell>
          <cell r="C302" t="str">
            <v>AKZO NOBEL COATINGS (I) P. LTD</v>
          </cell>
          <cell r="D302" t="str">
            <v>30</v>
          </cell>
        </row>
        <row r="303">
          <cell r="A303" t="str">
            <v>C10336</v>
          </cell>
          <cell r="B303" t="str">
            <v>Organization</v>
          </cell>
          <cell r="C303" t="str">
            <v>ALCATRAZ CHEMICALS</v>
          </cell>
          <cell r="D303" t="str">
            <v>30</v>
          </cell>
        </row>
        <row r="304">
          <cell r="A304" t="str">
            <v>C10339</v>
          </cell>
          <cell r="B304" t="str">
            <v>Organization</v>
          </cell>
          <cell r="C304" t="str">
            <v>ALKA CHEMICAL INDUSTRIES</v>
          </cell>
          <cell r="D304" t="str">
            <v>1</v>
          </cell>
        </row>
        <row r="305">
          <cell r="A305" t="str">
            <v>C10340</v>
          </cell>
          <cell r="B305" t="str">
            <v>Organization</v>
          </cell>
          <cell r="C305" t="str">
            <v>ALKALI METALS LIMITED</v>
          </cell>
          <cell r="D305" t="str">
            <v>30</v>
          </cell>
        </row>
        <row r="306">
          <cell r="A306" t="str">
            <v>C10343</v>
          </cell>
          <cell r="B306" t="str">
            <v>Organization</v>
          </cell>
          <cell r="C306" t="str">
            <v>ALPA TRADERS</v>
          </cell>
          <cell r="D306" t="str">
            <v>1</v>
          </cell>
        </row>
        <row r="307">
          <cell r="A307" t="str">
            <v>C10346</v>
          </cell>
          <cell r="B307" t="str">
            <v>Organization</v>
          </cell>
          <cell r="C307" t="str">
            <v>ALVIN CARAMEL COLOURS (INDIA) PVT. LTD.</v>
          </cell>
          <cell r="D307" t="str">
            <v>30</v>
          </cell>
        </row>
        <row r="308">
          <cell r="A308" t="str">
            <v>C10347</v>
          </cell>
          <cell r="B308" t="str">
            <v>Organization</v>
          </cell>
          <cell r="C308" t="str">
            <v>AMANTECH CHEMICAL PVT. LTD</v>
          </cell>
          <cell r="D308" t="str">
            <v>60</v>
          </cell>
        </row>
        <row r="309">
          <cell r="A309" t="str">
            <v>C10348</v>
          </cell>
          <cell r="B309" t="str">
            <v>Organization</v>
          </cell>
          <cell r="C309" t="str">
            <v>AMARAVATHI CHEMICALS LTD (200)</v>
          </cell>
          <cell r="D309" t="str">
            <v>30</v>
          </cell>
        </row>
        <row r="310">
          <cell r="A310" t="str">
            <v>C10351</v>
          </cell>
          <cell r="B310" t="str">
            <v>Organization</v>
          </cell>
          <cell r="C310" t="str">
            <v>AMBERNATH ORGANICS PVT. LTD</v>
          </cell>
          <cell r="D310" t="str">
            <v>30</v>
          </cell>
        </row>
        <row r="311">
          <cell r="A311" t="str">
            <v>C10353</v>
          </cell>
          <cell r="B311" t="str">
            <v>Organization</v>
          </cell>
          <cell r="C311" t="str">
            <v>AMINES &amp; PLASTICIZERS LIMITED</v>
          </cell>
          <cell r="D311" t="str">
            <v>30</v>
          </cell>
        </row>
        <row r="312">
          <cell r="A312" t="str">
            <v>C10355</v>
          </cell>
          <cell r="B312" t="str">
            <v>Organization</v>
          </cell>
          <cell r="C312" t="str">
            <v>AMKLEEN SPECIALITY PRODUCTS</v>
          </cell>
          <cell r="D312" t="str">
            <v>30</v>
          </cell>
        </row>
        <row r="313">
          <cell r="A313" t="str">
            <v>C10356</v>
          </cell>
          <cell r="B313" t="str">
            <v>Organization</v>
          </cell>
          <cell r="C313" t="str">
            <v>MAX SIGNAGE INDUSTRIES PVT. LTD</v>
          </cell>
          <cell r="D313" t="str">
            <v>30</v>
          </cell>
        </row>
        <row r="314">
          <cell r="A314" t="str">
            <v>C10358</v>
          </cell>
          <cell r="B314" t="str">
            <v>Organization</v>
          </cell>
          <cell r="C314" t="str">
            <v>ANAN DRUG &amp; CHEMICALS LTD</v>
          </cell>
          <cell r="D314" t="str">
            <v>30</v>
          </cell>
        </row>
        <row r="315">
          <cell r="A315" t="str">
            <v>C10359</v>
          </cell>
          <cell r="B315" t="str">
            <v>Organization</v>
          </cell>
          <cell r="C315" t="str">
            <v>ANAND RAO</v>
          </cell>
          <cell r="D315" t="str">
            <v>1</v>
          </cell>
        </row>
        <row r="316">
          <cell r="A316" t="str">
            <v>C10362</v>
          </cell>
          <cell r="B316" t="str">
            <v>Organization</v>
          </cell>
          <cell r="C316" t="str">
            <v>ANIL CHEMICALS LTD.</v>
          </cell>
          <cell r="D316" t="str">
            <v>1</v>
          </cell>
        </row>
        <row r="317">
          <cell r="A317" t="str">
            <v>C10368</v>
          </cell>
          <cell r="B317" t="str">
            <v>Organization</v>
          </cell>
          <cell r="C317" t="str">
            <v>ANTHEM BIOSCIENCES PRIVATE LIMITED</v>
          </cell>
          <cell r="D317" t="str">
            <v>1</v>
          </cell>
        </row>
        <row r="318">
          <cell r="A318" t="str">
            <v>C10370</v>
          </cell>
          <cell r="B318" t="str">
            <v>Organization</v>
          </cell>
          <cell r="C318" t="str">
            <v>ANUSHREE POLYMERS</v>
          </cell>
          <cell r="D318" t="str">
            <v>1</v>
          </cell>
        </row>
        <row r="319">
          <cell r="A319" t="str">
            <v>C10371</v>
          </cell>
          <cell r="B319" t="str">
            <v>Organization</v>
          </cell>
          <cell r="C319" t="str">
            <v>ANUVI CHEMICALS LIMITED</v>
          </cell>
          <cell r="D319" t="str">
            <v>30</v>
          </cell>
        </row>
        <row r="320">
          <cell r="A320" t="str">
            <v>C10372</v>
          </cell>
          <cell r="B320" t="str">
            <v>Organization</v>
          </cell>
          <cell r="C320" t="str">
            <v>APAR INDUSTRIES LTD. - CHEMBUR</v>
          </cell>
          <cell r="D320" t="str">
            <v>45</v>
          </cell>
        </row>
        <row r="321">
          <cell r="A321" t="str">
            <v>C10373</v>
          </cell>
          <cell r="B321" t="str">
            <v>Organization</v>
          </cell>
          <cell r="C321" t="str">
            <v>APBC PRINTING INKS PVT. LTD</v>
          </cell>
          <cell r="D321" t="str">
            <v>1</v>
          </cell>
        </row>
        <row r="322">
          <cell r="A322" t="str">
            <v>C10374</v>
          </cell>
          <cell r="B322" t="str">
            <v>Organization</v>
          </cell>
          <cell r="C322" t="str">
            <v>APEX ENCON PROJECTS PRIVATE LIMITED</v>
          </cell>
          <cell r="D322" t="str">
            <v>30</v>
          </cell>
        </row>
        <row r="323">
          <cell r="A323" t="str">
            <v>C10376</v>
          </cell>
          <cell r="B323" t="str">
            <v>Organization</v>
          </cell>
          <cell r="C323" t="str">
            <v>APOLLO AGENCIES</v>
          </cell>
          <cell r="D323" t="str">
            <v>0</v>
          </cell>
        </row>
        <row r="324">
          <cell r="A324" t="str">
            <v>C10377</v>
          </cell>
          <cell r="B324" t="str">
            <v>Organization</v>
          </cell>
          <cell r="C324" t="str">
            <v>AQUA FARM CHEMICALS CO. P. LTD.</v>
          </cell>
          <cell r="D324" t="str">
            <v>60</v>
          </cell>
        </row>
        <row r="325">
          <cell r="A325" t="str">
            <v>C10378</v>
          </cell>
          <cell r="B325" t="str">
            <v>Organization</v>
          </cell>
          <cell r="C325" t="str">
            <v>ARABIAN PETROLEUM</v>
          </cell>
          <cell r="D325" t="str">
            <v>30</v>
          </cell>
        </row>
        <row r="326">
          <cell r="A326" t="str">
            <v>C10379</v>
          </cell>
          <cell r="B326" t="str">
            <v>Organization</v>
          </cell>
          <cell r="C326" t="str">
            <v>ARC CHEMICALS PVT. LTD</v>
          </cell>
          <cell r="D326" t="str">
            <v>1</v>
          </cell>
        </row>
        <row r="327">
          <cell r="A327" t="str">
            <v>C10380</v>
          </cell>
          <cell r="B327" t="str">
            <v>Organization</v>
          </cell>
          <cell r="C327" t="str">
            <v>ARCH PHARMALABS LIMITED</v>
          </cell>
          <cell r="D327" t="str">
            <v>0</v>
          </cell>
        </row>
        <row r="328">
          <cell r="A328" t="str">
            <v>C10381</v>
          </cell>
          <cell r="B328" t="str">
            <v>Organization</v>
          </cell>
          <cell r="C328" t="str">
            <v>ARCHANA AGRO PRODUCTS P. LTD.,</v>
          </cell>
          <cell r="D328" t="str">
            <v>30</v>
          </cell>
        </row>
        <row r="329">
          <cell r="A329" t="str">
            <v>C10382</v>
          </cell>
          <cell r="B329" t="str">
            <v>Organization</v>
          </cell>
          <cell r="C329" t="str">
            <v>ARI CHEMICALS INDIA PVT. LTD.</v>
          </cell>
          <cell r="D329" t="str">
            <v>30</v>
          </cell>
        </row>
        <row r="330">
          <cell r="A330" t="str">
            <v>C10383</v>
          </cell>
          <cell r="B330" t="str">
            <v>Organization</v>
          </cell>
          <cell r="C330" t="str">
            <v>ARIHANT CORPORATION</v>
          </cell>
          <cell r="D330" t="str">
            <v>0</v>
          </cell>
        </row>
        <row r="331">
          <cell r="A331" t="str">
            <v>C10384</v>
          </cell>
          <cell r="B331" t="str">
            <v>Organization</v>
          </cell>
          <cell r="C331" t="str">
            <v>ARIHANT EVERGREEN AGRO PLAST &amp; TEXTILES PVT. LTD.</v>
          </cell>
          <cell r="D331" t="str">
            <v>1</v>
          </cell>
        </row>
        <row r="332">
          <cell r="A332" t="str">
            <v>C10385</v>
          </cell>
          <cell r="B332" t="str">
            <v>Organization</v>
          </cell>
          <cell r="C332" t="str">
            <v>ARIHANT LUBRICANTS PVT. LTD. - PUNE</v>
          </cell>
          <cell r="D332" t="str">
            <v>30</v>
          </cell>
        </row>
        <row r="333">
          <cell r="A333" t="str">
            <v>C10386</v>
          </cell>
          <cell r="B333" t="str">
            <v>Organization</v>
          </cell>
          <cell r="C333" t="str">
            <v>ARIHANT OIL COMPANY</v>
          </cell>
          <cell r="D333" t="str">
            <v>1</v>
          </cell>
        </row>
        <row r="334">
          <cell r="A334" t="str">
            <v>C10388</v>
          </cell>
          <cell r="B334" t="str">
            <v>Organization</v>
          </cell>
          <cell r="C334" t="str">
            <v>ARJUN CHEMICALS LIMITED - CHENNAI</v>
          </cell>
          <cell r="D334" t="str">
            <v>60</v>
          </cell>
        </row>
        <row r="335">
          <cell r="A335" t="str">
            <v>C10389</v>
          </cell>
          <cell r="B335" t="str">
            <v>Organization</v>
          </cell>
          <cell r="C335" t="str">
            <v>ARJUNA NATURAL EXTRACTS LIMITED</v>
          </cell>
          <cell r="D335" t="str">
            <v>30</v>
          </cell>
        </row>
        <row r="336">
          <cell r="A336" t="str">
            <v>C10394</v>
          </cell>
          <cell r="B336" t="str">
            <v>Organization</v>
          </cell>
          <cell r="C336" t="str">
            <v>AROFINE POLYMERS PVT. LTD</v>
          </cell>
          <cell r="D336" t="str">
            <v>30</v>
          </cell>
        </row>
        <row r="337">
          <cell r="A337" t="str">
            <v>C10397</v>
          </cell>
          <cell r="B337" t="str">
            <v>Organization</v>
          </cell>
          <cell r="C337" t="str">
            <v>AROMATIC &amp; INDUSTRIAL CHEMICALS PVT. LTD</v>
          </cell>
          <cell r="D337" t="str">
            <v>60</v>
          </cell>
        </row>
        <row r="338">
          <cell r="A338" t="str">
            <v>C10398</v>
          </cell>
          <cell r="B338" t="str">
            <v>Organization</v>
          </cell>
          <cell r="C338" t="str">
            <v>AROMATIC INGREDIENTS PRIVATE LIMITED</v>
          </cell>
          <cell r="D338" t="str">
            <v>30</v>
          </cell>
        </row>
        <row r="339">
          <cell r="A339" t="str">
            <v>C10399</v>
          </cell>
          <cell r="B339" t="str">
            <v>Organization</v>
          </cell>
          <cell r="C339" t="str">
            <v>AROMCO FLAVOURS (INDIA) PRIVATE LIMITED</v>
          </cell>
          <cell r="D339" t="str">
            <v>0</v>
          </cell>
        </row>
        <row r="340">
          <cell r="A340" t="str">
            <v>C10400</v>
          </cell>
          <cell r="B340" t="str">
            <v>Organization</v>
          </cell>
          <cell r="C340" t="str">
            <v>ARON UNIVERSAL LIMITED</v>
          </cell>
          <cell r="D340" t="str">
            <v>30</v>
          </cell>
        </row>
        <row r="341">
          <cell r="A341" t="str">
            <v>C10401</v>
          </cell>
          <cell r="B341" t="str">
            <v>Organization</v>
          </cell>
          <cell r="C341" t="str">
            <v>ARROW SPECIALITY CO.</v>
          </cell>
          <cell r="D341" t="str">
            <v>1</v>
          </cell>
        </row>
        <row r="342">
          <cell r="A342" t="str">
            <v>C10404</v>
          </cell>
          <cell r="B342" t="str">
            <v>Organization</v>
          </cell>
          <cell r="C342" t="str">
            <v>ARYAVART CHEMICALS PRIVATE LIMITED</v>
          </cell>
          <cell r="D342" t="str">
            <v>0</v>
          </cell>
        </row>
        <row r="343">
          <cell r="A343" t="str">
            <v>C10405</v>
          </cell>
          <cell r="B343" t="str">
            <v>Organization</v>
          </cell>
          <cell r="C343" t="str">
            <v>ARZO PLASTICS PVT. LTD.</v>
          </cell>
          <cell r="D343" t="str">
            <v>60</v>
          </cell>
        </row>
        <row r="344">
          <cell r="A344" t="str">
            <v>C10407</v>
          </cell>
          <cell r="B344" t="str">
            <v>Organization</v>
          </cell>
          <cell r="C344" t="str">
            <v>ASHISH ENTERPRISES - THANE</v>
          </cell>
          <cell r="D344" t="str">
            <v>0</v>
          </cell>
        </row>
        <row r="345">
          <cell r="A345" t="str">
            <v>C10409</v>
          </cell>
          <cell r="B345" t="str">
            <v>Organization</v>
          </cell>
          <cell r="C345" t="str">
            <v>ASHONUJ CHEM PVT. LTD..</v>
          </cell>
          <cell r="D345" t="str">
            <v>0</v>
          </cell>
        </row>
        <row r="346">
          <cell r="A346" t="str">
            <v>C10411</v>
          </cell>
          <cell r="B346" t="str">
            <v>Organization</v>
          </cell>
          <cell r="C346" t="str">
            <v>ASIAN HERBEX LIMITED</v>
          </cell>
          <cell r="D346" t="str">
            <v>30</v>
          </cell>
        </row>
        <row r="347">
          <cell r="A347" t="str">
            <v>C10414</v>
          </cell>
          <cell r="B347" t="str">
            <v>Organization</v>
          </cell>
          <cell r="C347" t="str">
            <v>ASTRA CHEMTECH PVT. LTD</v>
          </cell>
          <cell r="D347" t="str">
            <v>30</v>
          </cell>
        </row>
        <row r="348">
          <cell r="A348" t="str">
            <v>C10415</v>
          </cell>
          <cell r="B348" t="str">
            <v>Organization</v>
          </cell>
          <cell r="C348" t="str">
            <v>ASTRA IDL LTD</v>
          </cell>
          <cell r="D348" t="str">
            <v>45</v>
          </cell>
        </row>
        <row r="349">
          <cell r="A349" t="str">
            <v>C10418</v>
          </cell>
          <cell r="B349" t="str">
            <v>Organization</v>
          </cell>
          <cell r="C349" t="str">
            <v>ATUL OIL AND CHEMICAL COMPANY</v>
          </cell>
          <cell r="D349" t="str">
            <v>0</v>
          </cell>
        </row>
        <row r="350">
          <cell r="A350" t="str">
            <v>C10419</v>
          </cell>
          <cell r="B350" t="str">
            <v>Organization</v>
          </cell>
          <cell r="C350" t="str">
            <v>AUCHTEL PRODUCTS  LTD. - DOMBIVALI</v>
          </cell>
          <cell r="D350" t="str">
            <v>60</v>
          </cell>
        </row>
        <row r="351">
          <cell r="A351" t="str">
            <v>C10420</v>
          </cell>
          <cell r="B351" t="str">
            <v>Organization</v>
          </cell>
          <cell r="C351" t="str">
            <v>AUXICHEM</v>
          </cell>
          <cell r="D351" t="str">
            <v>7</v>
          </cell>
        </row>
        <row r="352">
          <cell r="A352" t="str">
            <v>C10423</v>
          </cell>
          <cell r="B352" t="str">
            <v>Organization</v>
          </cell>
          <cell r="C352" t="str">
            <v>AVON ORGANICS LIMITED</v>
          </cell>
          <cell r="D352" t="str">
            <v>60</v>
          </cell>
        </row>
        <row r="353">
          <cell r="A353" t="str">
            <v>C10425</v>
          </cell>
          <cell r="B353" t="str">
            <v>Organization</v>
          </cell>
          <cell r="C353" t="str">
            <v>AVT NATURAL PRODUCTS LIMITED</v>
          </cell>
          <cell r="D353" t="str">
            <v>30</v>
          </cell>
        </row>
        <row r="354">
          <cell r="A354" t="str">
            <v>C10426</v>
          </cell>
          <cell r="B354" t="str">
            <v>Organization</v>
          </cell>
          <cell r="C354" t="str">
            <v>B.K. POLYPLAST</v>
          </cell>
          <cell r="D354" t="str">
            <v>30</v>
          </cell>
        </row>
        <row r="355">
          <cell r="A355" t="str">
            <v>C10427</v>
          </cell>
          <cell r="B355" t="str">
            <v>Organization</v>
          </cell>
          <cell r="C355" t="str">
            <v>BAJAJ ORGANICS PVT. LTD.</v>
          </cell>
          <cell r="D355" t="str">
            <v>1</v>
          </cell>
        </row>
        <row r="356">
          <cell r="A356" t="str">
            <v>C10428</v>
          </cell>
          <cell r="B356" t="str">
            <v>Organization</v>
          </cell>
          <cell r="C356" t="str">
            <v>BAKELITE HYLAM LTD</v>
          </cell>
          <cell r="D356" t="str">
            <v>30</v>
          </cell>
        </row>
        <row r="357">
          <cell r="A357" t="str">
            <v>C10429</v>
          </cell>
          <cell r="B357" t="str">
            <v>Organization</v>
          </cell>
          <cell r="C357" t="str">
            <v>BAKER OIL TREATING (INDIA) LTD.</v>
          </cell>
          <cell r="D357" t="str">
            <v>30</v>
          </cell>
        </row>
        <row r="358">
          <cell r="A358" t="str">
            <v>C10430</v>
          </cell>
          <cell r="B358" t="str">
            <v>Organization</v>
          </cell>
          <cell r="C358" t="str">
            <v>BALAJI GLOBAL TECH INC.</v>
          </cell>
          <cell r="D358" t="str">
            <v>1</v>
          </cell>
        </row>
        <row r="359">
          <cell r="A359" t="str">
            <v>C10431</v>
          </cell>
          <cell r="B359" t="str">
            <v>Organization</v>
          </cell>
          <cell r="C359" t="str">
            <v>BALMER LAWRIE - VAN LEER LIMITED - COCHIN</v>
          </cell>
          <cell r="D359" t="str">
            <v>0</v>
          </cell>
        </row>
        <row r="360">
          <cell r="A360" t="str">
            <v>C10432</v>
          </cell>
          <cell r="B360" t="str">
            <v>Organization</v>
          </cell>
          <cell r="C360" t="str">
            <v>BALMER LAWRIE - VAN LEER LIMITED - DEHARADUN</v>
          </cell>
          <cell r="D360" t="str">
            <v>0</v>
          </cell>
        </row>
        <row r="361">
          <cell r="A361" t="str">
            <v>C10433</v>
          </cell>
          <cell r="B361" t="str">
            <v>Organization</v>
          </cell>
          <cell r="C361" t="str">
            <v>BALMER LAWRIE - VAN LEER LIMITED - TURBHE</v>
          </cell>
          <cell r="D361" t="str">
            <v>0</v>
          </cell>
        </row>
        <row r="362">
          <cell r="A362" t="str">
            <v>C10434</v>
          </cell>
          <cell r="B362" t="str">
            <v>Organization</v>
          </cell>
          <cell r="C362" t="str">
            <v>BALMER LAWRIE &amp; CO. LTD. - CHENNAI - CONTAINER DIVN.</v>
          </cell>
          <cell r="D362" t="str">
            <v>45</v>
          </cell>
        </row>
        <row r="363">
          <cell r="A363" t="str">
            <v>C10436</v>
          </cell>
          <cell r="B363" t="str">
            <v>Organization</v>
          </cell>
          <cell r="C363" t="str">
            <v>BALMER LAWRIE &amp; CO. LTD. - 200 - CHENNAI</v>
          </cell>
          <cell r="D363" t="str">
            <v>45</v>
          </cell>
        </row>
        <row r="364">
          <cell r="A364" t="str">
            <v>C10437</v>
          </cell>
          <cell r="B364" t="str">
            <v>Organization</v>
          </cell>
          <cell r="C364" t="str">
            <v>BALMER LAWRIE &amp; CO. LTD. - PANIPAT - A/C IOC</v>
          </cell>
          <cell r="D364" t="str">
            <v>45</v>
          </cell>
        </row>
        <row r="365">
          <cell r="A365" t="str">
            <v>C10439</v>
          </cell>
          <cell r="B365" t="str">
            <v>Organization</v>
          </cell>
          <cell r="C365" t="str">
            <v>BALMER LAWRIE &amp; CO. LTD. - SILVASSA GREASE DIVN.</v>
          </cell>
          <cell r="D365" t="str">
            <v>45</v>
          </cell>
        </row>
        <row r="366">
          <cell r="A366" t="str">
            <v>C10443</v>
          </cell>
          <cell r="B366" t="str">
            <v>Organization</v>
          </cell>
          <cell r="C366" t="str">
            <v>BASF INDIA LIMITED (TURBHE)</v>
          </cell>
          <cell r="D366" t="str">
            <v>60</v>
          </cell>
        </row>
        <row r="367">
          <cell r="A367" t="str">
            <v>C10444</v>
          </cell>
          <cell r="B367" t="str">
            <v>Organization</v>
          </cell>
          <cell r="C367" t="str">
            <v>BAYER (INDIA) LIMITED</v>
          </cell>
          <cell r="D367" t="str">
            <v>45</v>
          </cell>
        </row>
        <row r="368">
          <cell r="A368" t="str">
            <v>C10445</v>
          </cell>
          <cell r="B368" t="str">
            <v>Organization</v>
          </cell>
          <cell r="C368" t="str">
            <v>BEETA CHEMICALS</v>
          </cell>
          <cell r="D368" t="str">
            <v>30</v>
          </cell>
        </row>
        <row r="369">
          <cell r="A369" t="str">
            <v>C10450</v>
          </cell>
          <cell r="B369" t="str">
            <v>Organization</v>
          </cell>
          <cell r="C369" t="str">
            <v>BENZOCHEM INDUSTRIES PVT. LTD. (200)</v>
          </cell>
          <cell r="D369" t="str">
            <v>0</v>
          </cell>
        </row>
        <row r="370">
          <cell r="A370" t="str">
            <v>C10452</v>
          </cell>
          <cell r="B370" t="str">
            <v>Organization</v>
          </cell>
          <cell r="C370" t="str">
            <v>BHADRA PRODUCTS</v>
          </cell>
          <cell r="D370" t="str">
            <v>30</v>
          </cell>
        </row>
        <row r="371">
          <cell r="A371" t="str">
            <v>C10453</v>
          </cell>
          <cell r="B371" t="str">
            <v>Organization</v>
          </cell>
          <cell r="C371" t="str">
            <v>BHAGIRADHA CHEMICALS &amp; INDUSTRIES LTD</v>
          </cell>
          <cell r="D371" t="str">
            <v>1</v>
          </cell>
        </row>
        <row r="372">
          <cell r="A372" t="str">
            <v>C10454</v>
          </cell>
          <cell r="B372" t="str">
            <v>Organization</v>
          </cell>
          <cell r="C372" t="str">
            <v>BHAGWATI INDUSTRIES</v>
          </cell>
          <cell r="D372" t="str">
            <v>0</v>
          </cell>
        </row>
        <row r="373">
          <cell r="A373" t="str">
            <v>C10455</v>
          </cell>
          <cell r="B373" t="str">
            <v>Organization</v>
          </cell>
          <cell r="C373" t="str">
            <v>BHANDYA NARASHIMA VAMAN PAI</v>
          </cell>
          <cell r="D373" t="str">
            <v>1</v>
          </cell>
        </row>
        <row r="374">
          <cell r="A374" t="str">
            <v>C10459</v>
          </cell>
          <cell r="B374" t="str">
            <v>Organization</v>
          </cell>
          <cell r="C374" t="str">
            <v>BHARAT JYOTI</v>
          </cell>
          <cell r="D374" t="str">
            <v>1</v>
          </cell>
        </row>
        <row r="375">
          <cell r="A375" t="str">
            <v>C10460</v>
          </cell>
          <cell r="B375" t="str">
            <v>Organization</v>
          </cell>
          <cell r="C375" t="str">
            <v>BHARAT PETROLEUM CORP LTD.</v>
          </cell>
          <cell r="D375" t="str">
            <v>30</v>
          </cell>
        </row>
        <row r="376">
          <cell r="A376" t="str">
            <v>C10461</v>
          </cell>
          <cell r="B376" t="str">
            <v>Organization</v>
          </cell>
          <cell r="C376" t="str">
            <v>BHARAT PETROLEUM CORPORATION LTD. - KOLKATA</v>
          </cell>
          <cell r="D376" t="str">
            <v>30</v>
          </cell>
        </row>
        <row r="377">
          <cell r="A377" t="str">
            <v>C10463</v>
          </cell>
          <cell r="B377" t="str">
            <v>Organization</v>
          </cell>
          <cell r="C377" t="str">
            <v>BHARAT PETROLEUM CORPORATION LIMITED - SHAKURBASTI</v>
          </cell>
          <cell r="D377" t="str">
            <v>30</v>
          </cell>
        </row>
        <row r="378">
          <cell r="A378" t="str">
            <v>C10465</v>
          </cell>
          <cell r="B378" t="str">
            <v>Organization</v>
          </cell>
          <cell r="C378" t="str">
            <v>BHASKAR AGROCHEMCIALS LIMITED (200)</v>
          </cell>
          <cell r="D378" t="str">
            <v>30</v>
          </cell>
        </row>
        <row r="379">
          <cell r="A379" t="str">
            <v>C10466</v>
          </cell>
          <cell r="B379" t="str">
            <v>Organization</v>
          </cell>
          <cell r="C379" t="str">
            <v>BHASKAR AGROCHEMICALS LTD.</v>
          </cell>
          <cell r="D379" t="str">
            <v>30</v>
          </cell>
        </row>
        <row r="380">
          <cell r="A380" t="str">
            <v>C10467</v>
          </cell>
          <cell r="B380" t="str">
            <v>Organization</v>
          </cell>
          <cell r="C380" t="str">
            <v>BHAVANA CHEMICAL INDUSTRIES</v>
          </cell>
          <cell r="D380" t="str">
            <v>1</v>
          </cell>
        </row>
        <row r="381">
          <cell r="A381" t="str">
            <v>C10468</v>
          </cell>
          <cell r="B381" t="str">
            <v>Organization</v>
          </cell>
          <cell r="C381" t="str">
            <v>BHAVIKA CHEMICALS CORPORATION</v>
          </cell>
          <cell r="D381" t="str">
            <v>60</v>
          </cell>
        </row>
        <row r="382">
          <cell r="A382" t="str">
            <v>C10469</v>
          </cell>
          <cell r="B382" t="str">
            <v>Organization</v>
          </cell>
          <cell r="C382" t="str">
            <v>BHAVYA  AGENCIES</v>
          </cell>
          <cell r="D382" t="str">
            <v>1</v>
          </cell>
        </row>
        <row r="383">
          <cell r="A383" t="str">
            <v>C10470</v>
          </cell>
          <cell r="B383" t="str">
            <v>Organization</v>
          </cell>
          <cell r="C383" t="str">
            <v>** NOT TO USE**BHOOMI ENTERPRISES</v>
          </cell>
          <cell r="D383" t="str">
            <v>1</v>
          </cell>
        </row>
        <row r="384">
          <cell r="A384" t="str">
            <v>C10471</v>
          </cell>
          <cell r="B384" t="str">
            <v>Organization</v>
          </cell>
          <cell r="C384" t="str">
            <v>BINWA AUTOMOBILES AND ENGINEERING PVT. LTD..</v>
          </cell>
          <cell r="D384" t="str">
            <v>0</v>
          </cell>
        </row>
        <row r="385">
          <cell r="A385" t="str">
            <v>C10472</v>
          </cell>
          <cell r="B385" t="str">
            <v>Organization</v>
          </cell>
          <cell r="C385" t="str">
            <v>BIO CON- QUEST INDIA LTD. (UNICUBE)</v>
          </cell>
          <cell r="D385" t="str">
            <v>1</v>
          </cell>
        </row>
        <row r="386">
          <cell r="A386" t="str">
            <v>C10473</v>
          </cell>
          <cell r="B386" t="str">
            <v>Organization</v>
          </cell>
          <cell r="C386" t="str">
            <v>BIO LIPIDS PVT. LTD</v>
          </cell>
          <cell r="D386" t="str">
            <v>30</v>
          </cell>
        </row>
        <row r="387">
          <cell r="A387" t="str">
            <v>C10474</v>
          </cell>
          <cell r="B387" t="str">
            <v>Organization</v>
          </cell>
          <cell r="C387" t="str">
            <v>BIO SHORE ENZYMES P. LTD</v>
          </cell>
          <cell r="D387" t="str">
            <v>0</v>
          </cell>
        </row>
        <row r="388">
          <cell r="A388" t="str">
            <v>C10475</v>
          </cell>
          <cell r="B388" t="str">
            <v>Organization</v>
          </cell>
          <cell r="C388" t="str">
            <v>BIOCHEMIZYME INDIA LTD</v>
          </cell>
          <cell r="D388" t="str">
            <v>1</v>
          </cell>
        </row>
        <row r="389">
          <cell r="A389" t="str">
            <v>C10476</v>
          </cell>
          <cell r="B389" t="str">
            <v>Organization</v>
          </cell>
          <cell r="C389" t="str">
            <v>BIOCON LIMITED</v>
          </cell>
          <cell r="D389" t="str">
            <v>45</v>
          </cell>
        </row>
        <row r="390">
          <cell r="A390" t="str">
            <v>C10478</v>
          </cell>
          <cell r="B390" t="str">
            <v>Organization</v>
          </cell>
          <cell r="C390" t="str">
            <v>APPLE CHIME INDIA PVT LTD. (BLACK CAT ENTERPRISES P. LTD.)</v>
          </cell>
          <cell r="D390" t="str">
            <v>30</v>
          </cell>
        </row>
        <row r="391">
          <cell r="A391" t="str">
            <v>C10480</v>
          </cell>
          <cell r="B391" t="str">
            <v>Organization</v>
          </cell>
          <cell r="C391" t="str">
            <v>BLUE CIRCLE ORGANICS PVT. LTD..</v>
          </cell>
          <cell r="D391" t="str">
            <v>1</v>
          </cell>
        </row>
        <row r="392">
          <cell r="A392" t="str">
            <v>C10481</v>
          </cell>
          <cell r="B392" t="str">
            <v>Organization</v>
          </cell>
          <cell r="C392" t="str">
            <v>BOMBAY AMMONIA &amp; CHEMICAL COMPANY</v>
          </cell>
          <cell r="D392" t="str">
            <v>30</v>
          </cell>
        </row>
        <row r="393">
          <cell r="A393" t="str">
            <v>C10482</v>
          </cell>
          <cell r="B393" t="str">
            <v>Organization</v>
          </cell>
          <cell r="C393" t="str">
            <v>BOMBAY DRUGS &amp; PHARMA LTD</v>
          </cell>
          <cell r="D393" t="str">
            <v>1</v>
          </cell>
        </row>
        <row r="394">
          <cell r="A394" t="str">
            <v>C10483</v>
          </cell>
          <cell r="B394" t="str">
            <v>Organization</v>
          </cell>
          <cell r="C394" t="str">
            <v>BOMBAY INDUSTRIAL OILS</v>
          </cell>
          <cell r="D394" t="str">
            <v>0</v>
          </cell>
        </row>
        <row r="395">
          <cell r="A395" t="str">
            <v>C10484</v>
          </cell>
          <cell r="B395" t="str">
            <v>Organization</v>
          </cell>
          <cell r="C395" t="str">
            <v>BONDIT CONSTRUCTION CHEMICALS PVT. LTD</v>
          </cell>
          <cell r="D395" t="str">
            <v>0</v>
          </cell>
        </row>
        <row r="396">
          <cell r="A396" t="str">
            <v>C10485</v>
          </cell>
          <cell r="B396" t="str">
            <v>Organization</v>
          </cell>
          <cell r="C396" t="str">
            <v>BOSTIK INDIA PRIVATE LIMITED</v>
          </cell>
          <cell r="D396" t="str">
            <v>30</v>
          </cell>
        </row>
        <row r="397">
          <cell r="A397" t="str">
            <v>C10486</v>
          </cell>
          <cell r="B397" t="str">
            <v>Organization</v>
          </cell>
          <cell r="C397" t="str">
            <v>BRAHMA INDUSTRIES</v>
          </cell>
          <cell r="D397" t="str">
            <v>60</v>
          </cell>
        </row>
        <row r="398">
          <cell r="A398" t="str">
            <v>C10488</v>
          </cell>
          <cell r="B398" t="str">
            <v>Organization</v>
          </cell>
          <cell r="C398" t="str">
            <v>BRITALCEL SILICONES P. LTD</v>
          </cell>
          <cell r="D398" t="str">
            <v>60</v>
          </cell>
        </row>
        <row r="399">
          <cell r="A399" t="str">
            <v>C10489</v>
          </cell>
          <cell r="B399" t="str">
            <v>Organization</v>
          </cell>
          <cell r="C399" t="str">
            <v>BTP (INDIA) LIMITED  (200)</v>
          </cell>
          <cell r="D399" t="str">
            <v>30</v>
          </cell>
        </row>
        <row r="400">
          <cell r="A400" t="str">
            <v>C10490</v>
          </cell>
          <cell r="B400" t="str">
            <v>Organization</v>
          </cell>
          <cell r="C400" t="str">
            <v>BUCHMAN LABORATORIES (INDIA) PVT. LTD..</v>
          </cell>
          <cell r="D400" t="str">
            <v>1</v>
          </cell>
        </row>
        <row r="401">
          <cell r="A401" t="str">
            <v>C10495</v>
          </cell>
          <cell r="B401" t="str">
            <v>Organization</v>
          </cell>
          <cell r="C401" t="str">
            <v>CADILA PHARMACEUTICALS LTD (Ahmedabad)</v>
          </cell>
          <cell r="D401" t="str">
            <v>60</v>
          </cell>
        </row>
        <row r="402">
          <cell r="A402" t="str">
            <v>C10496</v>
          </cell>
          <cell r="B402" t="str">
            <v>Organization</v>
          </cell>
          <cell r="C402" t="str">
            <v>CALTEX LUBRICANTS INDIA LIMITED</v>
          </cell>
          <cell r="D402" t="str">
            <v>60</v>
          </cell>
        </row>
        <row r="403">
          <cell r="A403" t="str">
            <v>C10497</v>
          </cell>
          <cell r="B403" t="str">
            <v>Organization</v>
          </cell>
          <cell r="C403" t="str">
            <v>CALTEX LUBRICANTS INDIA</v>
          </cell>
          <cell r="D403" t="str">
            <v>30</v>
          </cell>
        </row>
        <row r="404">
          <cell r="A404" t="str">
            <v>C10500</v>
          </cell>
          <cell r="B404" t="str">
            <v>Organization</v>
          </cell>
          <cell r="C404" t="str">
            <v>CARBORUNDAM UNIVERSAL LTD.</v>
          </cell>
          <cell r="D404" t="str">
            <v>30</v>
          </cell>
        </row>
        <row r="405">
          <cell r="A405" t="str">
            <v>C10501</v>
          </cell>
          <cell r="B405" t="str">
            <v>Organization</v>
          </cell>
          <cell r="C405" t="str">
            <v>CARDINAL PRODUCT P. LTD</v>
          </cell>
          <cell r="D405" t="str">
            <v>1</v>
          </cell>
        </row>
        <row r="406">
          <cell r="A406" t="str">
            <v>C10502</v>
          </cell>
          <cell r="B406" t="str">
            <v>Organization</v>
          </cell>
          <cell r="C406" t="str">
            <v>CARGILL FOODS INDIA LTD.</v>
          </cell>
          <cell r="D406" t="str">
            <v>30</v>
          </cell>
        </row>
        <row r="407">
          <cell r="A407" t="str">
            <v>C10503</v>
          </cell>
          <cell r="B407" t="str">
            <v>Organization</v>
          </cell>
          <cell r="C407" t="str">
            <v>CARL BECHEM LUBRICANTS (INDIA) PVT. LTD</v>
          </cell>
          <cell r="D407" t="str">
            <v>45</v>
          </cell>
        </row>
        <row r="408">
          <cell r="A408" t="str">
            <v>C10504</v>
          </cell>
          <cell r="B408" t="str">
            <v>Organization</v>
          </cell>
          <cell r="C408" t="str">
            <v>CAROL PETROLEUM PRIVATE LIMITED</v>
          </cell>
          <cell r="D408" t="str">
            <v>30</v>
          </cell>
        </row>
        <row r="409">
          <cell r="A409" t="str">
            <v>C10505</v>
          </cell>
          <cell r="B409" t="str">
            <v>Organization</v>
          </cell>
          <cell r="C409" t="str">
            <v>CASTROL INDIA LIMITED - ANDHERI</v>
          </cell>
          <cell r="D409" t="str">
            <v>30</v>
          </cell>
        </row>
        <row r="410">
          <cell r="A410" t="str">
            <v>C10508</v>
          </cell>
          <cell r="B410" t="str">
            <v>Organization</v>
          </cell>
          <cell r="C410" t="str">
            <v>CASTROL INDIA LIMITED - TONDIARPETH</v>
          </cell>
          <cell r="D410" t="str">
            <v>30</v>
          </cell>
        </row>
        <row r="411">
          <cell r="A411" t="str">
            <v>C10509</v>
          </cell>
          <cell r="B411" t="str">
            <v>Organization</v>
          </cell>
          <cell r="C411" t="str">
            <v>CASTROL INDIA LIMITED - COMMON</v>
          </cell>
          <cell r="D411" t="str">
            <v>30</v>
          </cell>
        </row>
        <row r="412">
          <cell r="A412" t="str">
            <v>C10510</v>
          </cell>
          <cell r="B412" t="str">
            <v>Organization</v>
          </cell>
          <cell r="C412" t="str">
            <v>CATAPHARMA CHEMICALS PVT. LTD.. (200)</v>
          </cell>
          <cell r="D412" t="str">
            <v>30</v>
          </cell>
        </row>
        <row r="413">
          <cell r="A413" t="str">
            <v>C10511</v>
          </cell>
          <cell r="B413" t="str">
            <v>Organization</v>
          </cell>
          <cell r="C413" t="str">
            <v>CAUVERY PETROCHEMICALS P. LTD.</v>
          </cell>
          <cell r="D413" t="str">
            <v>45</v>
          </cell>
        </row>
        <row r="414">
          <cell r="A414" t="str">
            <v>C10512</v>
          </cell>
          <cell r="B414" t="str">
            <v>Organization</v>
          </cell>
          <cell r="C414" t="str">
            <v>TEKSOL OILS &amp; SPECIALITIE</v>
          </cell>
          <cell r="D414" t="str">
            <v>1</v>
          </cell>
        </row>
        <row r="415">
          <cell r="A415" t="str">
            <v>C10513</v>
          </cell>
          <cell r="B415" t="str">
            <v>Organization</v>
          </cell>
          <cell r="C415" t="str">
            <v>CENTRAL DRUG HOUSE (P) LTD</v>
          </cell>
          <cell r="D415" t="str">
            <v>15</v>
          </cell>
        </row>
        <row r="416">
          <cell r="A416" t="str">
            <v>C10514</v>
          </cell>
          <cell r="B416" t="str">
            <v>Organization</v>
          </cell>
          <cell r="C416" t="str">
            <v>CENTRUM METALLICS PVT. LTD.</v>
          </cell>
          <cell r="D416" t="str">
            <v>30</v>
          </cell>
        </row>
        <row r="417">
          <cell r="A417" t="str">
            <v>C10515</v>
          </cell>
          <cell r="B417" t="str">
            <v>Organization</v>
          </cell>
          <cell r="C417" t="str">
            <v>CHACKOSONS CHEMICALS P. LTD</v>
          </cell>
          <cell r="D417" t="str">
            <v>1</v>
          </cell>
        </row>
        <row r="418">
          <cell r="A418" t="str">
            <v>C10516</v>
          </cell>
          <cell r="B418" t="str">
            <v>Organization</v>
          </cell>
          <cell r="C418" t="str">
            <v>CHAITANYA CHEMICALS PVT. LTD</v>
          </cell>
          <cell r="D418" t="str">
            <v>60</v>
          </cell>
        </row>
        <row r="419">
          <cell r="A419" t="str">
            <v>C10517</v>
          </cell>
          <cell r="B419" t="str">
            <v>Organization</v>
          </cell>
          <cell r="C419" t="str">
            <v>CHARANIA COMPANY</v>
          </cell>
          <cell r="D419" t="str">
            <v>30</v>
          </cell>
        </row>
        <row r="420">
          <cell r="A420" t="str">
            <v>C10518</v>
          </cell>
          <cell r="B420" t="str">
            <v>Organization</v>
          </cell>
          <cell r="C420" t="str">
            <v>CHARKOSONS CHEMICALS P. LTD</v>
          </cell>
          <cell r="D420" t="str">
            <v>1</v>
          </cell>
        </row>
        <row r="421">
          <cell r="A421" t="str">
            <v>C10519</v>
          </cell>
          <cell r="B421" t="str">
            <v>Organization</v>
          </cell>
          <cell r="C421" t="str">
            <v>CHEM - VERSE CONSULTANTS (INDIA) PVT. LTD.,</v>
          </cell>
          <cell r="D421" t="str">
            <v>30</v>
          </cell>
        </row>
        <row r="422">
          <cell r="A422" t="str">
            <v>C10520</v>
          </cell>
          <cell r="B422" t="str">
            <v>Organization</v>
          </cell>
          <cell r="C422" t="str">
            <v>CHEMAX MULTIKOTES (INDIA) PVT. LTD</v>
          </cell>
          <cell r="D422" t="str">
            <v>30</v>
          </cell>
        </row>
        <row r="423">
          <cell r="A423" t="str">
            <v>C10521</v>
          </cell>
          <cell r="B423" t="str">
            <v>Organization</v>
          </cell>
          <cell r="C423" t="str">
            <v>CHEMBOND CHEMICALS LTD.</v>
          </cell>
          <cell r="D423" t="str">
            <v>30</v>
          </cell>
        </row>
        <row r="424">
          <cell r="A424" t="str">
            <v>C10523</v>
          </cell>
          <cell r="B424" t="str">
            <v>Organization</v>
          </cell>
          <cell r="C424" t="str">
            <v>CHEMICAL SOLVENT CENTRE</v>
          </cell>
          <cell r="D424" t="str">
            <v>0</v>
          </cell>
        </row>
        <row r="425">
          <cell r="A425" t="str">
            <v>C10524</v>
          </cell>
          <cell r="B425" t="str">
            <v>Organization</v>
          </cell>
          <cell r="C425" t="str">
            <v>CHEMIDYE MFG. CO. PVT. LTD.</v>
          </cell>
          <cell r="D425" t="str">
            <v>30</v>
          </cell>
        </row>
        <row r="426">
          <cell r="A426" t="str">
            <v>C10526</v>
          </cell>
          <cell r="B426" t="str">
            <v>Organization</v>
          </cell>
          <cell r="C426" t="str">
            <v>CHEMINPEX INTERNATIONAL</v>
          </cell>
          <cell r="D426" t="str">
            <v>60</v>
          </cell>
        </row>
        <row r="427">
          <cell r="A427" t="str">
            <v>C10529</v>
          </cell>
          <cell r="B427" t="str">
            <v>Organization</v>
          </cell>
          <cell r="C427" t="str">
            <v>CHEMITALL-RAI INDIA LTD</v>
          </cell>
          <cell r="D427" t="str">
            <v>0</v>
          </cell>
        </row>
        <row r="428">
          <cell r="A428" t="str">
            <v>C10530</v>
          </cell>
          <cell r="B428" t="str">
            <v>Organization</v>
          </cell>
          <cell r="C428" t="str">
            <v>CHEMITEX</v>
          </cell>
          <cell r="D428" t="str">
            <v>0</v>
          </cell>
        </row>
        <row r="429">
          <cell r="A429" t="str">
            <v>C10531</v>
          </cell>
          <cell r="B429" t="str">
            <v>Organization</v>
          </cell>
          <cell r="C429" t="str">
            <v>CHEMPLAST SANMAR LTD. - PLANT III</v>
          </cell>
          <cell r="D429" t="str">
            <v>90</v>
          </cell>
        </row>
        <row r="430">
          <cell r="A430" t="str">
            <v>C10532</v>
          </cell>
          <cell r="B430" t="str">
            <v>Organization</v>
          </cell>
          <cell r="C430" t="str">
            <v>CHEMPORT (INDIA) PVT. LTD</v>
          </cell>
          <cell r="D430" t="str">
            <v>0</v>
          </cell>
        </row>
        <row r="431">
          <cell r="A431" t="str">
            <v>C10533</v>
          </cell>
          <cell r="B431" t="str">
            <v>Organization</v>
          </cell>
          <cell r="C431" t="str">
            <v>CHEMSPURE</v>
          </cell>
          <cell r="D431" t="str">
            <v>0</v>
          </cell>
        </row>
        <row r="432">
          <cell r="A432" t="str">
            <v>C10536</v>
          </cell>
          <cell r="B432" t="str">
            <v>Organization</v>
          </cell>
          <cell r="C432" t="str">
            <v>CHEMTREAT INDIA LTD</v>
          </cell>
          <cell r="D432" t="str">
            <v>0</v>
          </cell>
        </row>
        <row r="433">
          <cell r="A433" t="str">
            <v>C10538</v>
          </cell>
          <cell r="B433" t="str">
            <v>Organization</v>
          </cell>
          <cell r="C433" t="str">
            <v>CHEVRON LUBRICANTS INDIA PRIVATE LIMITED - TALOJA</v>
          </cell>
          <cell r="D433" t="str">
            <v>60</v>
          </cell>
        </row>
        <row r="434">
          <cell r="A434" t="str">
            <v>C10541</v>
          </cell>
          <cell r="B434" t="str">
            <v>Organization</v>
          </cell>
          <cell r="C434" t="str">
            <v>CHIPLUN FINE CHEMICALS LTD.(200)</v>
          </cell>
          <cell r="D434" t="str">
            <v>1</v>
          </cell>
        </row>
        <row r="435">
          <cell r="A435" t="str">
            <v>C10542</v>
          </cell>
          <cell r="B435" t="str">
            <v>Organization</v>
          </cell>
          <cell r="C435" t="str">
            <v>CHLORITECH INDUSTRIES</v>
          </cell>
          <cell r="D435" t="str">
            <v>60</v>
          </cell>
        </row>
        <row r="436">
          <cell r="A436" t="str">
            <v>C10543</v>
          </cell>
          <cell r="B436" t="str">
            <v>Organization</v>
          </cell>
          <cell r="C436" t="str">
            <v>CHOKSEY CHEMICALS PVT. LTD.</v>
          </cell>
          <cell r="D436" t="str">
            <v>60</v>
          </cell>
        </row>
        <row r="437">
          <cell r="A437" t="str">
            <v>C10544</v>
          </cell>
          <cell r="B437" t="str">
            <v>Organization</v>
          </cell>
          <cell r="C437" t="str">
            <v>CLARITY PLANTS AROMATICS</v>
          </cell>
          <cell r="D437" t="str">
            <v>1</v>
          </cell>
        </row>
        <row r="438">
          <cell r="A438" t="str">
            <v>C10545</v>
          </cell>
          <cell r="B438" t="str">
            <v>Organization</v>
          </cell>
          <cell r="C438" t="str">
            <v>CLEAN COATES PVT. LIMITED</v>
          </cell>
          <cell r="D438" t="str">
            <v>60</v>
          </cell>
        </row>
        <row r="439">
          <cell r="A439" t="str">
            <v>C10548</v>
          </cell>
          <cell r="B439" t="str">
            <v>Organization</v>
          </cell>
          <cell r="C439" t="str">
            <v>COATWELL PAINTS</v>
          </cell>
          <cell r="D439" t="str">
            <v>1</v>
          </cell>
        </row>
        <row r="440">
          <cell r="A440" t="str">
            <v>C10549</v>
          </cell>
          <cell r="B440" t="str">
            <v>Organization</v>
          </cell>
          <cell r="C440" t="str">
            <v>COCHIN MINERALS &amp; RUTILE LTD (200)</v>
          </cell>
          <cell r="D440" t="str">
            <v>30</v>
          </cell>
        </row>
        <row r="441">
          <cell r="A441" t="str">
            <v>C10550</v>
          </cell>
          <cell r="B441" t="str">
            <v>Organization</v>
          </cell>
          <cell r="C441" t="str">
            <v>COGNIS AHURA PVT. LTD..</v>
          </cell>
          <cell r="D441" t="str">
            <v>90</v>
          </cell>
        </row>
        <row r="442">
          <cell r="A442" t="str">
            <v>C10551</v>
          </cell>
          <cell r="B442" t="str">
            <v>Organization</v>
          </cell>
          <cell r="C442" t="str">
            <v>COLORS LUBS</v>
          </cell>
          <cell r="D442" t="str">
            <v>1</v>
          </cell>
        </row>
        <row r="443">
          <cell r="A443" t="str">
            <v>C10553</v>
          </cell>
          <cell r="B443" t="str">
            <v>Organization</v>
          </cell>
          <cell r="C443" t="str">
            <v>COLUMBIA PETROCHEM PVT LTD - SILVASSA</v>
          </cell>
          <cell r="D443" t="str">
            <v>60</v>
          </cell>
        </row>
        <row r="444">
          <cell r="A444" t="str">
            <v>C10555</v>
          </cell>
          <cell r="B444" t="str">
            <v>Organization</v>
          </cell>
          <cell r="C444" t="str">
            <v>COMPACT HOMES</v>
          </cell>
          <cell r="D444" t="str">
            <v>1</v>
          </cell>
        </row>
        <row r="445">
          <cell r="A445" t="str">
            <v>C10558</v>
          </cell>
          <cell r="B445" t="str">
            <v>Organization</v>
          </cell>
          <cell r="C445" t="str">
            <v>CONCRETE ADDITIVES &amp; CHEMICALS PVT. LTD</v>
          </cell>
          <cell r="D445" t="str">
            <v>0</v>
          </cell>
        </row>
        <row r="446">
          <cell r="A446" t="str">
            <v>C10559</v>
          </cell>
          <cell r="B446" t="str">
            <v>Organization</v>
          </cell>
          <cell r="C446" t="str">
            <v>CONSOLIDATED METAL FINISHING P LTD.(200)</v>
          </cell>
          <cell r="D446" t="str">
            <v>30</v>
          </cell>
        </row>
        <row r="447">
          <cell r="A447" t="str">
            <v>C10562</v>
          </cell>
          <cell r="B447" t="str">
            <v>Organization</v>
          </cell>
          <cell r="C447" t="str">
            <v>CORE ORGANICS LTD.</v>
          </cell>
          <cell r="D447" t="str">
            <v>45</v>
          </cell>
        </row>
        <row r="448">
          <cell r="A448" t="str">
            <v>C10563</v>
          </cell>
          <cell r="B448" t="str">
            <v>Organization</v>
          </cell>
          <cell r="C448" t="str">
            <v>COREY ORGANICS LIMITED</v>
          </cell>
          <cell r="D448" t="str">
            <v>15</v>
          </cell>
        </row>
        <row r="449">
          <cell r="A449" t="str">
            <v>C10564</v>
          </cell>
          <cell r="B449" t="str">
            <v>Organization</v>
          </cell>
          <cell r="C449" t="str">
            <v>CORROGARD CHEMICALS</v>
          </cell>
          <cell r="D449" t="str">
            <v>30</v>
          </cell>
        </row>
        <row r="450">
          <cell r="A450" t="str">
            <v>C10565</v>
          </cell>
          <cell r="B450" t="str">
            <v>Organization</v>
          </cell>
          <cell r="C450" t="str">
            <v>CORTEC CORROSION SOLUTIONS INDIA PVT. LTD.</v>
          </cell>
          <cell r="D450" t="str">
            <v>0</v>
          </cell>
        </row>
        <row r="451">
          <cell r="A451" t="str">
            <v>C10568</v>
          </cell>
          <cell r="B451" t="str">
            <v>Organization</v>
          </cell>
          <cell r="C451" t="str">
            <v>CRESCENT POLYMERS (PRIVATE) LIMITED</v>
          </cell>
          <cell r="D451" t="str">
            <v>1</v>
          </cell>
        </row>
        <row r="452">
          <cell r="A452" t="str">
            <v>C10569</v>
          </cell>
          <cell r="B452" t="str">
            <v>Organization</v>
          </cell>
          <cell r="C452" t="str">
            <v>CREST  CHEMICALS</v>
          </cell>
          <cell r="D452" t="str">
            <v>1</v>
          </cell>
        </row>
        <row r="453">
          <cell r="A453" t="str">
            <v>C10570</v>
          </cell>
          <cell r="B453" t="str">
            <v>Organization</v>
          </cell>
          <cell r="C453" t="str">
            <v>CROSS NET PRODUCTS PRIVATE LIMITED</v>
          </cell>
          <cell r="D453" t="str">
            <v>1</v>
          </cell>
        </row>
        <row r="454">
          <cell r="A454" t="str">
            <v>C10572</v>
          </cell>
          <cell r="B454" t="str">
            <v>Organization</v>
          </cell>
          <cell r="C454" t="str">
            <v>CRYSTAL INDIA</v>
          </cell>
          <cell r="D454" t="str">
            <v>30</v>
          </cell>
        </row>
        <row r="455">
          <cell r="A455" t="str">
            <v>C10573</v>
          </cell>
          <cell r="B455" t="str">
            <v>Organization</v>
          </cell>
          <cell r="C455" t="str">
            <v>CSC CORPORATION</v>
          </cell>
          <cell r="D455" t="str">
            <v>30</v>
          </cell>
        </row>
        <row r="456">
          <cell r="A456" t="str">
            <v>C10574</v>
          </cell>
          <cell r="B456" t="str">
            <v>Organization</v>
          </cell>
          <cell r="C456" t="str">
            <v>D. HARISHKUMAR &amp; CO.</v>
          </cell>
          <cell r="D456" t="str">
            <v>30</v>
          </cell>
        </row>
        <row r="457">
          <cell r="A457" t="str">
            <v>C10575</v>
          </cell>
          <cell r="B457" t="str">
            <v>Organization</v>
          </cell>
          <cell r="C457" t="str">
            <v>D.B. MULE</v>
          </cell>
          <cell r="D457" t="str">
            <v>1</v>
          </cell>
        </row>
        <row r="458">
          <cell r="A458" t="str">
            <v>C10577</v>
          </cell>
          <cell r="B458" t="str">
            <v>Organization</v>
          </cell>
          <cell r="C458" t="str">
            <v>D.K. PHARMA CHEM PVT. LTD</v>
          </cell>
          <cell r="D458" t="str">
            <v>60</v>
          </cell>
        </row>
        <row r="459">
          <cell r="A459" t="str">
            <v>C10578</v>
          </cell>
          <cell r="B459" t="str">
            <v>Organization</v>
          </cell>
          <cell r="C459" t="str">
            <v>D.S.V. CHEMICALS PVT. LTD</v>
          </cell>
          <cell r="D459" t="str">
            <v>30</v>
          </cell>
        </row>
        <row r="460">
          <cell r="A460" t="str">
            <v>C10579</v>
          </cell>
          <cell r="B460" t="str">
            <v>Organization</v>
          </cell>
          <cell r="C460" t="str">
            <v>D.V. DEO</v>
          </cell>
          <cell r="D460" t="str">
            <v>1</v>
          </cell>
        </row>
        <row r="461">
          <cell r="A461" t="str">
            <v>C10580</v>
          </cell>
          <cell r="B461" t="str">
            <v>Organization</v>
          </cell>
          <cell r="C461" t="str">
            <v>D.V. DEV INDUSTRIES</v>
          </cell>
          <cell r="D461" t="str">
            <v>1</v>
          </cell>
        </row>
        <row r="462">
          <cell r="A462" t="str">
            <v>C10581</v>
          </cell>
          <cell r="B462" t="str">
            <v>Organization</v>
          </cell>
          <cell r="C462" t="str">
            <v>DABAR INDIA LTD.</v>
          </cell>
          <cell r="D462" t="str">
            <v>30</v>
          </cell>
        </row>
        <row r="463">
          <cell r="A463" t="str">
            <v>C10582</v>
          </cell>
          <cell r="B463" t="str">
            <v>Organization</v>
          </cell>
          <cell r="C463" t="str">
            <v>DAI-ICHI KARKARIA LIMITED</v>
          </cell>
          <cell r="D463" t="str">
            <v>30</v>
          </cell>
        </row>
        <row r="464">
          <cell r="A464" t="str">
            <v>C10583</v>
          </cell>
          <cell r="B464" t="str">
            <v>Organization</v>
          </cell>
          <cell r="C464" t="str">
            <v>DAI-ICHI KARKARIA LIMITED</v>
          </cell>
          <cell r="D464" t="str">
            <v>30</v>
          </cell>
        </row>
        <row r="465">
          <cell r="A465" t="str">
            <v>C10584</v>
          </cell>
          <cell r="B465" t="str">
            <v>Organization</v>
          </cell>
          <cell r="C465" t="str">
            <v>DAMAN ORGANOMERS</v>
          </cell>
          <cell r="D465" t="str">
            <v>30</v>
          </cell>
        </row>
        <row r="466">
          <cell r="A466" t="str">
            <v>C10585</v>
          </cell>
          <cell r="B466" t="str">
            <v>Organization</v>
          </cell>
          <cell r="C466" t="str">
            <v>DAVIS ENGINEERING INDUSTRIES P. LTD.</v>
          </cell>
          <cell r="D466" t="str">
            <v>30</v>
          </cell>
        </row>
        <row r="467">
          <cell r="A467" t="str">
            <v>C10588</v>
          </cell>
          <cell r="B467" t="str">
            <v>Organization</v>
          </cell>
          <cell r="C467" t="str">
            <v>DCM TOYOTA LIMITED</v>
          </cell>
          <cell r="D467" t="str">
            <v>30</v>
          </cell>
        </row>
        <row r="468">
          <cell r="A468" t="str">
            <v>C10589</v>
          </cell>
          <cell r="B468" t="str">
            <v>Organization</v>
          </cell>
          <cell r="C468" t="str">
            <v>DCW LIMITED</v>
          </cell>
          <cell r="D468" t="str">
            <v>45</v>
          </cell>
        </row>
        <row r="469">
          <cell r="A469" t="str">
            <v>C10591</v>
          </cell>
          <cell r="B469" t="str">
            <v>Organization</v>
          </cell>
          <cell r="C469" t="str">
            <v>DEE &amp; EM NATURALS &amp; FRAGRANCES</v>
          </cell>
          <cell r="D469" t="str">
            <v>1</v>
          </cell>
        </row>
        <row r="470">
          <cell r="A470" t="str">
            <v>C10592</v>
          </cell>
          <cell r="B470" t="str">
            <v>Organization</v>
          </cell>
          <cell r="C470" t="str">
            <v>DEEAAR LABORATORIES</v>
          </cell>
          <cell r="D470" t="str">
            <v>0</v>
          </cell>
        </row>
        <row r="471">
          <cell r="A471" t="str">
            <v>C10595</v>
          </cell>
          <cell r="B471" t="str">
            <v>Organization</v>
          </cell>
          <cell r="C471" t="str">
            <v>DEEPA CHEMICALS</v>
          </cell>
          <cell r="D471" t="str">
            <v>1</v>
          </cell>
        </row>
        <row r="472">
          <cell r="A472" t="str">
            <v>C10596</v>
          </cell>
          <cell r="B472" t="str">
            <v>Organization</v>
          </cell>
          <cell r="C472" t="str">
            <v>DEEPAK NITRATE LIMITED (200)</v>
          </cell>
          <cell r="D472" t="str">
            <v>60</v>
          </cell>
        </row>
        <row r="473">
          <cell r="A473" t="str">
            <v>C10597</v>
          </cell>
          <cell r="B473" t="str">
            <v>Organization</v>
          </cell>
          <cell r="C473" t="str">
            <v>DEEPAK NITRITE LIMITED (BARODA)</v>
          </cell>
          <cell r="D473" t="str">
            <v>60</v>
          </cell>
        </row>
        <row r="474">
          <cell r="A474" t="str">
            <v>C10599</v>
          </cell>
          <cell r="B474" t="str">
            <v>Organization</v>
          </cell>
          <cell r="C474" t="str">
            <v>DELTA FINOCHEM PVT. LTD</v>
          </cell>
          <cell r="D474" t="str">
            <v>0</v>
          </cell>
        </row>
        <row r="475">
          <cell r="A475" t="str">
            <v>C10603</v>
          </cell>
          <cell r="B475" t="str">
            <v>Organization</v>
          </cell>
          <cell r="C475" t="str">
            <v>DEPARTMENT OF ATOMIC ENERGY GOVT. OF INDIA</v>
          </cell>
          <cell r="D475" t="str">
            <v>30</v>
          </cell>
        </row>
        <row r="476">
          <cell r="A476" t="str">
            <v>C10604</v>
          </cell>
          <cell r="B476" t="str">
            <v>Organization</v>
          </cell>
          <cell r="C476" t="str">
            <v>DESAI BROTHERS LIMITED (FOOD DIVISION)</v>
          </cell>
          <cell r="D476" t="str">
            <v>30</v>
          </cell>
        </row>
        <row r="477">
          <cell r="A477" t="str">
            <v>C10605</v>
          </cell>
          <cell r="B477" t="str">
            <v>Organization</v>
          </cell>
          <cell r="C477" t="str">
            <v>DESAI SPECIALITY CHEMICALS PVT. LTD</v>
          </cell>
          <cell r="D477" t="str">
            <v>0</v>
          </cell>
        </row>
        <row r="478">
          <cell r="A478" t="str">
            <v>C10606</v>
          </cell>
          <cell r="B478" t="str">
            <v>Organization</v>
          </cell>
          <cell r="C478" t="str">
            <v>DEVI INDUSTRIES</v>
          </cell>
          <cell r="D478" t="str">
            <v>1</v>
          </cell>
        </row>
        <row r="479">
          <cell r="A479" t="str">
            <v>C10607</v>
          </cell>
          <cell r="B479" t="str">
            <v>Organization</v>
          </cell>
          <cell r="C479" t="str">
            <v>DEVIDAYAL SALES LTD.</v>
          </cell>
          <cell r="D479" t="str">
            <v>30</v>
          </cell>
        </row>
        <row r="480">
          <cell r="A480" t="str">
            <v>C10609</v>
          </cell>
          <cell r="B480" t="str">
            <v>Organization</v>
          </cell>
          <cell r="C480" t="str">
            <v>DEX-VIN POLYMERS PVT.LTD.(200)</v>
          </cell>
          <cell r="D480" t="str">
            <v>90</v>
          </cell>
        </row>
        <row r="481">
          <cell r="A481" t="str">
            <v>C10610</v>
          </cell>
          <cell r="B481" t="str">
            <v>Organization</v>
          </cell>
          <cell r="C481" t="str">
            <v>DHANASHREE POLYMERS PVT. LTD.</v>
          </cell>
          <cell r="D481" t="str">
            <v>1</v>
          </cell>
        </row>
        <row r="482">
          <cell r="A482" t="str">
            <v>C10611</v>
          </cell>
          <cell r="B482" t="str">
            <v>Organization</v>
          </cell>
          <cell r="C482" t="str">
            <v>DHARNIDHAR CHEMICALS PVT. LTD</v>
          </cell>
          <cell r="D482" t="str">
            <v>60</v>
          </cell>
        </row>
        <row r="483">
          <cell r="A483" t="str">
            <v>C10615</v>
          </cell>
          <cell r="B483" t="str">
            <v>Organization</v>
          </cell>
          <cell r="C483" t="str">
            <v>DIC COATINGS INDIA LTD - BANGALORE</v>
          </cell>
          <cell r="D483" t="str">
            <v>30</v>
          </cell>
        </row>
        <row r="484">
          <cell r="A484" t="str">
            <v>C10616</v>
          </cell>
          <cell r="B484" t="str">
            <v>Organization</v>
          </cell>
          <cell r="C484" t="str">
            <v>DIC INDIA LIMITED - MUMBAI</v>
          </cell>
          <cell r="D484" t="str">
            <v>30</v>
          </cell>
        </row>
        <row r="485">
          <cell r="A485" t="str">
            <v>C10617</v>
          </cell>
          <cell r="B485" t="str">
            <v>Organization</v>
          </cell>
          <cell r="C485" t="str">
            <v>DIC INDIA LIMITED - KOLKATA</v>
          </cell>
          <cell r="D485" t="str">
            <v>30</v>
          </cell>
        </row>
        <row r="486">
          <cell r="A486" t="str">
            <v>C10618</v>
          </cell>
          <cell r="B486" t="str">
            <v>Organization</v>
          </cell>
          <cell r="C486" t="str">
            <v>DICOL PRODUCTS (200)</v>
          </cell>
          <cell r="D486" t="str">
            <v>60</v>
          </cell>
        </row>
        <row r="487">
          <cell r="A487" t="str">
            <v>C10621</v>
          </cell>
          <cell r="B487" t="str">
            <v>Organization</v>
          </cell>
          <cell r="C487" t="str">
            <v>DIMPLE DRUMS &amp; BARRELS PVT. LTD. - MUMBAI</v>
          </cell>
          <cell r="D487" t="str">
            <v>30</v>
          </cell>
        </row>
        <row r="488">
          <cell r="A488" t="str">
            <v>C10624</v>
          </cell>
          <cell r="B488" t="str">
            <v>Organization</v>
          </cell>
          <cell r="C488" t="str">
            <v>DIVERSEY INDIA PVT. LTD. - NALAGARH</v>
          </cell>
          <cell r="D488" t="str">
            <v>60</v>
          </cell>
        </row>
        <row r="489">
          <cell r="A489" t="str">
            <v>C10625</v>
          </cell>
          <cell r="B489" t="str">
            <v>Organization</v>
          </cell>
          <cell r="C489" t="str">
            <v>DIVERSEY INDIA PVT. LTD. - DAMAN</v>
          </cell>
          <cell r="D489" t="str">
            <v>30</v>
          </cell>
        </row>
        <row r="490">
          <cell r="A490" t="str">
            <v>C10626</v>
          </cell>
          <cell r="B490" t="str">
            <v>Organization</v>
          </cell>
          <cell r="C490" t="str">
            <v>DIVYA CHEMICALS</v>
          </cell>
          <cell r="D490" t="str">
            <v>0</v>
          </cell>
        </row>
        <row r="491">
          <cell r="A491" t="str">
            <v>C10627</v>
          </cell>
          <cell r="B491" t="str">
            <v>Organization</v>
          </cell>
          <cell r="C491" t="str">
            <v>DOCTORS ORGANIC CHEMICALS LIMITED</v>
          </cell>
          <cell r="D491" t="str">
            <v>1</v>
          </cell>
        </row>
        <row r="492">
          <cell r="A492" t="str">
            <v>C10628</v>
          </cell>
          <cell r="B492" t="str">
            <v>Organization</v>
          </cell>
          <cell r="C492" t="str">
            <v>DOLPHIN INKS PVT. LTD.</v>
          </cell>
          <cell r="D492" t="str">
            <v>75</v>
          </cell>
        </row>
        <row r="493">
          <cell r="A493" t="str">
            <v>C10629</v>
          </cell>
          <cell r="B493" t="str">
            <v>Organization</v>
          </cell>
          <cell r="C493" t="str">
            <v>DOLPHIN LUBRICANTS &amp; SPECIALITIES PVT. LTD</v>
          </cell>
          <cell r="D493" t="str">
            <v>30</v>
          </cell>
        </row>
        <row r="494">
          <cell r="A494" t="str">
            <v>C10630</v>
          </cell>
          <cell r="B494" t="str">
            <v>Organization</v>
          </cell>
          <cell r="C494" t="str">
            <v>DOSHION  VEOLIA WATER SOLUTION PVT. LTD.</v>
          </cell>
          <cell r="D494" t="str">
            <v>0</v>
          </cell>
        </row>
        <row r="495">
          <cell r="A495" t="str">
            <v>C10632</v>
          </cell>
          <cell r="B495" t="str">
            <v>Organization</v>
          </cell>
          <cell r="C495" t="str">
            <v>DOW CHEMICALS INTERNATIONAL PVT. LTD</v>
          </cell>
          <cell r="D495" t="str">
            <v>15</v>
          </cell>
        </row>
        <row r="496">
          <cell r="A496" t="str">
            <v>C10634</v>
          </cell>
          <cell r="B496" t="str">
            <v>Organization</v>
          </cell>
          <cell r="C496" t="str">
            <v>DR. REDDYS LABORATORIES LTD</v>
          </cell>
          <cell r="D496" t="str">
            <v>30</v>
          </cell>
        </row>
        <row r="497">
          <cell r="A497" t="str">
            <v>C10635</v>
          </cell>
          <cell r="B497" t="str">
            <v>Organization</v>
          </cell>
          <cell r="C497" t="str">
            <v>DR. SMITA HERBAL LABORATORIES</v>
          </cell>
          <cell r="D497" t="str">
            <v>0</v>
          </cell>
        </row>
        <row r="498">
          <cell r="A498" t="str">
            <v>C10637</v>
          </cell>
          <cell r="B498" t="str">
            <v>Organization</v>
          </cell>
          <cell r="C498" t="str">
            <v>DUBEY PERFUMERS</v>
          </cell>
          <cell r="D498" t="str">
            <v>0</v>
          </cell>
        </row>
        <row r="499">
          <cell r="A499" t="str">
            <v>C10638</v>
          </cell>
          <cell r="B499" t="str">
            <v>Organization</v>
          </cell>
          <cell r="C499" t="str">
            <v>DWELL INTERNATIONAL</v>
          </cell>
          <cell r="D499" t="str">
            <v>1</v>
          </cell>
        </row>
        <row r="500">
          <cell r="A500" t="str">
            <v>C10642</v>
          </cell>
          <cell r="B500" t="str">
            <v>Organization</v>
          </cell>
          <cell r="C500" t="str">
            <v>DYNAMIC ENGINEERING COMPANY</v>
          </cell>
          <cell r="D500" t="str">
            <v>0</v>
          </cell>
        </row>
        <row r="501">
          <cell r="A501" t="str">
            <v>C10643</v>
          </cell>
          <cell r="B501" t="str">
            <v>Organization</v>
          </cell>
          <cell r="C501" t="str">
            <v>DYNAMIC SPECIALITIES PVT. LTD</v>
          </cell>
          <cell r="D501" t="str">
            <v>60</v>
          </cell>
        </row>
        <row r="502">
          <cell r="A502" t="str">
            <v>C10644</v>
          </cell>
          <cell r="B502" t="str">
            <v>Organization</v>
          </cell>
          <cell r="C502" t="str">
            <v>DYNAMIX DAIRY INDUSTRIES LTD</v>
          </cell>
          <cell r="D502" t="str">
            <v>30</v>
          </cell>
        </row>
        <row r="503">
          <cell r="A503" t="str">
            <v>C10647</v>
          </cell>
          <cell r="B503" t="str">
            <v>Organization</v>
          </cell>
          <cell r="C503" t="str">
            <v>E.O.C. TAILORMADE POLYMER</v>
          </cell>
          <cell r="D503" t="str">
            <v>60</v>
          </cell>
        </row>
        <row r="504">
          <cell r="A504" t="str">
            <v>C10648</v>
          </cell>
          <cell r="B504" t="str">
            <v>Organization</v>
          </cell>
          <cell r="C504" t="str">
            <v>EASTERN PETROLEUM PRIVATE LIMITED</v>
          </cell>
          <cell r="D504" t="str">
            <v>15</v>
          </cell>
        </row>
        <row r="505">
          <cell r="A505" t="str">
            <v>C10651</v>
          </cell>
          <cell r="B505" t="str">
            <v>Organization</v>
          </cell>
          <cell r="C505" t="str">
            <v>ECOLAB FOOD SAFETY &amp; HYGIENE SOLUTIONS PVT. LTD.</v>
          </cell>
          <cell r="D505" t="str">
            <v>1</v>
          </cell>
        </row>
        <row r="506">
          <cell r="A506" t="str">
            <v>C10652</v>
          </cell>
          <cell r="B506" t="str">
            <v>Organization</v>
          </cell>
          <cell r="C506" t="str">
            <v>EICHER TRACTORS</v>
          </cell>
          <cell r="D506" t="str">
            <v>30</v>
          </cell>
        </row>
        <row r="507">
          <cell r="A507" t="str">
            <v>C10654</v>
          </cell>
          <cell r="B507" t="str">
            <v>Organization</v>
          </cell>
          <cell r="C507" t="str">
            <v>EID PARRY (INDIA) LIMITED</v>
          </cell>
          <cell r="D507" t="str">
            <v>0</v>
          </cell>
        </row>
        <row r="508">
          <cell r="A508" t="str">
            <v>C10655</v>
          </cell>
          <cell r="B508" t="str">
            <v>Organization</v>
          </cell>
          <cell r="C508" t="str">
            <v>ELANTAS BECK INDIA LIMITED - PUNE</v>
          </cell>
          <cell r="D508" t="str">
            <v>30</v>
          </cell>
        </row>
        <row r="509">
          <cell r="A509" t="str">
            <v>C10657</v>
          </cell>
          <cell r="B509" t="str">
            <v>Organization</v>
          </cell>
          <cell r="C509" t="str">
            <v>ELFOTECH ELECTRO CHEMICALS LIMITED (200)</v>
          </cell>
          <cell r="D509" t="str">
            <v>30</v>
          </cell>
        </row>
        <row r="510">
          <cell r="A510" t="str">
            <v>C10658</v>
          </cell>
          <cell r="B510" t="str">
            <v>Organization</v>
          </cell>
          <cell r="C510" t="str">
            <v>ELIXIR EXTRACTS PRIVATE LIMITED</v>
          </cell>
          <cell r="D510" t="str">
            <v>0</v>
          </cell>
        </row>
        <row r="511">
          <cell r="A511" t="str">
            <v>C10659</v>
          </cell>
          <cell r="B511" t="str">
            <v>Organization</v>
          </cell>
          <cell r="C511" t="str">
            <v>ELKAY CHEMICALS PVT. LTD.</v>
          </cell>
          <cell r="D511" t="str">
            <v>30</v>
          </cell>
        </row>
        <row r="512">
          <cell r="A512" t="str">
            <v>C10661</v>
          </cell>
          <cell r="B512" t="str">
            <v>Organization</v>
          </cell>
          <cell r="C512" t="str">
            <v>EMIRATES REFINING CO. LTD.,</v>
          </cell>
          <cell r="D512" t="str">
            <v>30</v>
          </cell>
        </row>
        <row r="513">
          <cell r="A513" t="str">
            <v>C10662</v>
          </cell>
          <cell r="B513" t="str">
            <v>Organization</v>
          </cell>
          <cell r="C513" t="str">
            <v>ENJAYS SPICES &amp; CHEMICAL OILS P.LTD(200)</v>
          </cell>
          <cell r="D513" t="str">
            <v>0</v>
          </cell>
        </row>
        <row r="514">
          <cell r="A514" t="str">
            <v>C10663</v>
          </cell>
          <cell r="B514" t="str">
            <v>Organization</v>
          </cell>
          <cell r="C514" t="str">
            <v>ENNGEES PHARMA</v>
          </cell>
          <cell r="D514" t="str">
            <v>0</v>
          </cell>
        </row>
        <row r="515">
          <cell r="A515" t="str">
            <v>C10669</v>
          </cell>
          <cell r="B515" t="str">
            <v>Organization</v>
          </cell>
          <cell r="C515" t="str">
            <v>EPPCON LUBRICANTS INDIA LIMITED</v>
          </cell>
          <cell r="D515" t="str">
            <v>0</v>
          </cell>
        </row>
        <row r="516">
          <cell r="A516" t="str">
            <v>C10670</v>
          </cell>
          <cell r="B516" t="str">
            <v>Organization</v>
          </cell>
          <cell r="C516" t="str">
            <v>EQUATE PACKERS</v>
          </cell>
          <cell r="D516" t="str">
            <v>1</v>
          </cell>
        </row>
        <row r="517">
          <cell r="A517" t="str">
            <v>C10671</v>
          </cell>
          <cell r="B517" t="str">
            <v>Organization</v>
          </cell>
          <cell r="C517" t="str">
            <v>ESKAY DYESTUFFS &amp; ORGANIC CHEMICALS PVT. LTD.</v>
          </cell>
          <cell r="D517" t="str">
            <v>30</v>
          </cell>
        </row>
        <row r="518">
          <cell r="A518" t="str">
            <v>C10674</v>
          </cell>
          <cell r="B518" t="str">
            <v>Organization</v>
          </cell>
          <cell r="C518" t="str">
            <v>ESTHAPANOSE SONS</v>
          </cell>
          <cell r="D518" t="str">
            <v>1</v>
          </cell>
        </row>
        <row r="519">
          <cell r="A519" t="str">
            <v>C10676</v>
          </cell>
          <cell r="B519" t="str">
            <v>Organization</v>
          </cell>
          <cell r="C519" t="str">
            <v>EUREKA CHEMICALS</v>
          </cell>
          <cell r="D519" t="str">
            <v>1</v>
          </cell>
        </row>
        <row r="520">
          <cell r="A520" t="str">
            <v>C10677</v>
          </cell>
          <cell r="B520" t="str">
            <v>Organization</v>
          </cell>
          <cell r="C520" t="str">
            <v>EXCEL CENTRE</v>
          </cell>
          <cell r="D520" t="str">
            <v>30</v>
          </cell>
        </row>
        <row r="521">
          <cell r="A521" t="str">
            <v>C10678</v>
          </cell>
          <cell r="B521" t="str">
            <v>Organization</v>
          </cell>
          <cell r="C521" t="str">
            <v>EXCEL CROP CARE LIMITED</v>
          </cell>
          <cell r="D521" t="str">
            <v>90</v>
          </cell>
        </row>
        <row r="522">
          <cell r="A522" t="str">
            <v>C10683</v>
          </cell>
          <cell r="B522" t="str">
            <v>Organization</v>
          </cell>
          <cell r="C522" t="str">
            <v>FAMOUS CARBOYS SUPPLY CO. (SCRAP)</v>
          </cell>
          <cell r="D522" t="str">
            <v>30</v>
          </cell>
        </row>
        <row r="523">
          <cell r="A523" t="str">
            <v>C10684</v>
          </cell>
          <cell r="B523" t="str">
            <v>Organization</v>
          </cell>
          <cell r="C523" t="str">
            <v>FENASIA LIMITED</v>
          </cell>
          <cell r="D523" t="str">
            <v>45</v>
          </cell>
        </row>
        <row r="524">
          <cell r="A524" t="str">
            <v>C10686</v>
          </cell>
          <cell r="B524" t="str">
            <v>Organization</v>
          </cell>
          <cell r="C524" t="str">
            <v>FERROMATIC MILACRON INDIA LIMITED</v>
          </cell>
          <cell r="D524" t="str">
            <v>1</v>
          </cell>
        </row>
        <row r="525">
          <cell r="A525" t="str">
            <v>C10690</v>
          </cell>
          <cell r="B525" t="str">
            <v>Organization</v>
          </cell>
          <cell r="C525" t="str">
            <v>FILTEK SPECIALITY CHEMICALS PVT. LTD</v>
          </cell>
          <cell r="D525" t="str">
            <v>30</v>
          </cell>
        </row>
        <row r="526">
          <cell r="A526" t="str">
            <v>C10691</v>
          </cell>
          <cell r="B526" t="str">
            <v>Organization</v>
          </cell>
          <cell r="C526" t="str">
            <v>FINAR  LTD.</v>
          </cell>
          <cell r="D526" t="str">
            <v>60</v>
          </cell>
        </row>
        <row r="527">
          <cell r="A527" t="str">
            <v>C10693</v>
          </cell>
          <cell r="B527" t="str">
            <v>Organization</v>
          </cell>
          <cell r="C527" t="str">
            <v>FINE ORGANICS INDUSTRIES (MUMBAI) PVT. LTD..</v>
          </cell>
          <cell r="D527" t="str">
            <v>60</v>
          </cell>
        </row>
        <row r="528">
          <cell r="A528" t="str">
            <v>C10696</v>
          </cell>
          <cell r="B528" t="str">
            <v>Organization</v>
          </cell>
          <cell r="C528" t="str">
            <v>FIRE SPEED LUBRICANTS (P) LTD</v>
          </cell>
          <cell r="D528" t="str">
            <v>30</v>
          </cell>
        </row>
        <row r="529">
          <cell r="A529" t="str">
            <v>C10700</v>
          </cell>
          <cell r="B529" t="str">
            <v>Organization</v>
          </cell>
          <cell r="C529" t="str">
            <v>FLINT GROUP INDIA PVT. LTD</v>
          </cell>
          <cell r="D529" t="str">
            <v>30</v>
          </cell>
        </row>
        <row r="530">
          <cell r="A530" t="str">
            <v>C10701</v>
          </cell>
          <cell r="B530" t="str">
            <v>Organization</v>
          </cell>
          <cell r="C530" t="str">
            <v>FOOD ENGINEERING SERVICES</v>
          </cell>
          <cell r="D530" t="str">
            <v>1</v>
          </cell>
        </row>
        <row r="531">
          <cell r="A531" t="str">
            <v>C10702</v>
          </cell>
          <cell r="B531" t="str">
            <v>Organization</v>
          </cell>
          <cell r="C531" t="str">
            <v>FOODS FATS &amp; FERTILIZERS LIMITED</v>
          </cell>
          <cell r="D531" t="str">
            <v>45</v>
          </cell>
        </row>
        <row r="532">
          <cell r="A532" t="str">
            <v>C10703</v>
          </cell>
          <cell r="B532" t="str">
            <v>Organization</v>
          </cell>
          <cell r="C532" t="str">
            <v>FOSECO INDIA LIMITED</v>
          </cell>
          <cell r="D532" t="str">
            <v>90</v>
          </cell>
        </row>
        <row r="533">
          <cell r="A533" t="str">
            <v>C10704</v>
          </cell>
          <cell r="B533" t="str">
            <v>Organization</v>
          </cell>
          <cell r="C533" t="str">
            <v>FOSROC CHEMICALS (INDIA) PVT. LIMITED - ANKLESWAR</v>
          </cell>
          <cell r="D533" t="str">
            <v>60</v>
          </cell>
        </row>
        <row r="534">
          <cell r="A534" t="str">
            <v>C10705</v>
          </cell>
          <cell r="B534" t="str">
            <v>Organization</v>
          </cell>
          <cell r="C534" t="str">
            <v>FOSROC CHEMICALS (INDIA) PVT. LIMITED - BANGALORE</v>
          </cell>
          <cell r="D534" t="str">
            <v>60</v>
          </cell>
        </row>
        <row r="535">
          <cell r="A535" t="str">
            <v>C10707</v>
          </cell>
          <cell r="B535" t="str">
            <v>Organization</v>
          </cell>
          <cell r="C535" t="str">
            <v>FUJIFILM  SERICOL INDIA PVT. LTD.</v>
          </cell>
          <cell r="D535" t="str">
            <v>30</v>
          </cell>
        </row>
        <row r="536">
          <cell r="A536" t="str">
            <v>C10708</v>
          </cell>
          <cell r="B536" t="str">
            <v>Organization</v>
          </cell>
          <cell r="C536" t="str">
            <v>FUSION CHEMICALS &amp; PRODUCTS P. LTD (200)</v>
          </cell>
          <cell r="D536" t="str">
            <v>45</v>
          </cell>
        </row>
        <row r="537">
          <cell r="A537" t="str">
            <v>C10710</v>
          </cell>
          <cell r="B537" t="str">
            <v>Organization</v>
          </cell>
          <cell r="C537" t="str">
            <v>G R ASSOCIATES</v>
          </cell>
          <cell r="D537" t="str">
            <v>0</v>
          </cell>
        </row>
        <row r="538">
          <cell r="A538" t="str">
            <v>C10711</v>
          </cell>
          <cell r="B538" t="str">
            <v>Organization</v>
          </cell>
          <cell r="C538" t="str">
            <v>GALAXY FOODS</v>
          </cell>
          <cell r="D538" t="str">
            <v>0</v>
          </cell>
        </row>
        <row r="539">
          <cell r="A539" t="str">
            <v>C10714</v>
          </cell>
          <cell r="B539" t="str">
            <v>Organization</v>
          </cell>
          <cell r="C539" t="str">
            <v>GALAXY SURFACTANTS LIMITED (200)</v>
          </cell>
          <cell r="D539" t="str">
            <v>30</v>
          </cell>
        </row>
        <row r="540">
          <cell r="A540" t="str">
            <v>C10715</v>
          </cell>
          <cell r="B540" t="str">
            <v>Organization</v>
          </cell>
          <cell r="C540" t="str">
            <v>GANDHAR OIL REFINERY INDIA LTD. - GOREGAON</v>
          </cell>
          <cell r="D540" t="str">
            <v>45</v>
          </cell>
        </row>
        <row r="541">
          <cell r="A541" t="str">
            <v>C10716</v>
          </cell>
          <cell r="B541" t="str">
            <v>Organization</v>
          </cell>
          <cell r="C541" t="str">
            <v>GANDHAR PETROCHEMICALS LTD.</v>
          </cell>
          <cell r="D541" t="str">
            <v>30</v>
          </cell>
        </row>
        <row r="542">
          <cell r="A542" t="str">
            <v>C10720</v>
          </cell>
          <cell r="B542" t="str">
            <v>Organization</v>
          </cell>
          <cell r="C542" t="str">
            <v>GARDEN COURT DISTILLERIES PVT. LTD.</v>
          </cell>
          <cell r="D542" t="str">
            <v>30</v>
          </cell>
        </row>
        <row r="543">
          <cell r="A543" t="str">
            <v>C10722</v>
          </cell>
          <cell r="B543" t="str">
            <v>Organization</v>
          </cell>
          <cell r="C543" t="str">
            <v>GAS AUTHORITY OF INDIA LTD</v>
          </cell>
          <cell r="D543" t="str">
            <v>30</v>
          </cell>
        </row>
        <row r="544">
          <cell r="A544" t="str">
            <v>C10723</v>
          </cell>
          <cell r="B544" t="str">
            <v>Organization</v>
          </cell>
          <cell r="C544" t="str">
            <v>GAYATRI CHEMICALS LIMITED</v>
          </cell>
          <cell r="D544" t="str">
            <v>30</v>
          </cell>
        </row>
        <row r="545">
          <cell r="A545" t="str">
            <v>C10726</v>
          </cell>
          <cell r="B545" t="str">
            <v>Organization</v>
          </cell>
          <cell r="C545" t="str">
            <v>GAYATRI STARCHKEM LIMITED (200)</v>
          </cell>
          <cell r="D545" t="str">
            <v>0</v>
          </cell>
        </row>
        <row r="546">
          <cell r="A546" t="str">
            <v>C10727</v>
          </cell>
          <cell r="B546" t="str">
            <v>Organization</v>
          </cell>
          <cell r="C546" t="str">
            <v>GE BAYER SILICONES I P. LTD</v>
          </cell>
          <cell r="D546" t="str">
            <v>45</v>
          </cell>
        </row>
        <row r="547">
          <cell r="A547" t="str">
            <v>C10728</v>
          </cell>
          <cell r="B547" t="str">
            <v>Organization</v>
          </cell>
          <cell r="C547" t="str">
            <v>GE BETZ INDIA PRIVATE LIMITED</v>
          </cell>
          <cell r="D547" t="str">
            <v>30</v>
          </cell>
        </row>
        <row r="548">
          <cell r="A548" t="str">
            <v>C10731</v>
          </cell>
          <cell r="B548" t="str">
            <v>Organization</v>
          </cell>
          <cell r="C548" t="str">
            <v>GENERAL MANAGER HIGH EXPLOSIVE FACTORY</v>
          </cell>
          <cell r="D548" t="str">
            <v>0</v>
          </cell>
        </row>
        <row r="549">
          <cell r="A549" t="str">
            <v>C10732</v>
          </cell>
          <cell r="B549" t="str">
            <v>Organization</v>
          </cell>
          <cell r="C549" t="str">
            <v>GENERAL PHARMACEUTICALS PVT. LTD</v>
          </cell>
          <cell r="D549" t="str">
            <v>60</v>
          </cell>
        </row>
        <row r="550">
          <cell r="A550" t="str">
            <v>C10733</v>
          </cell>
          <cell r="B550" t="str">
            <v>Organization</v>
          </cell>
          <cell r="C550" t="str">
            <v>GENERAL SERVICES</v>
          </cell>
          <cell r="D550" t="str">
            <v>30</v>
          </cell>
        </row>
        <row r="551">
          <cell r="A551" t="str">
            <v>C10734</v>
          </cell>
          <cell r="B551" t="str">
            <v>Organization</v>
          </cell>
          <cell r="C551" t="str">
            <v>GHARDA CHEMICALS LTD.</v>
          </cell>
          <cell r="D551" t="str">
            <v>30</v>
          </cell>
        </row>
        <row r="552">
          <cell r="A552" t="str">
            <v>C10738</v>
          </cell>
          <cell r="B552" t="str">
            <v>Organization</v>
          </cell>
          <cell r="C552" t="str">
            <v>GLOBE INDUSTRIES</v>
          </cell>
          <cell r="D552" t="str">
            <v>30</v>
          </cell>
        </row>
        <row r="553">
          <cell r="A553" t="str">
            <v>C10739</v>
          </cell>
          <cell r="B553" t="str">
            <v>Organization</v>
          </cell>
          <cell r="C553" t="str">
            <v>GLOCHEM INDUSTRIES LIMITED</v>
          </cell>
          <cell r="D553" t="str">
            <v>1</v>
          </cell>
        </row>
        <row r="554">
          <cell r="A554" t="str">
            <v>C10742</v>
          </cell>
          <cell r="B554" t="str">
            <v>Organization</v>
          </cell>
          <cell r="C554" t="str">
            <v>GOKULAM AROMATICS P. LTD</v>
          </cell>
          <cell r="D554" t="str">
            <v>1</v>
          </cell>
        </row>
        <row r="555">
          <cell r="A555" t="str">
            <v>C10743</v>
          </cell>
          <cell r="B555" t="str">
            <v>Organization</v>
          </cell>
          <cell r="C555" t="str">
            <v>GOLD OIL CORPORATION (SILVASSA)</v>
          </cell>
          <cell r="D555" t="str">
            <v>30</v>
          </cell>
        </row>
        <row r="556">
          <cell r="A556" t="str">
            <v>C10744</v>
          </cell>
          <cell r="B556" t="str">
            <v>Organization</v>
          </cell>
          <cell r="C556" t="str">
            <v>GOLDEN AGRO-TECH INDUSTRIES LTD.</v>
          </cell>
          <cell r="D556" t="str">
            <v>60</v>
          </cell>
        </row>
        <row r="557">
          <cell r="A557" t="str">
            <v>C10745</v>
          </cell>
          <cell r="B557" t="str">
            <v>Organization</v>
          </cell>
          <cell r="C557" t="str">
            <v>GOLDEN CRUISER PRIVATE LIMITED</v>
          </cell>
          <cell r="D557" t="str">
            <v>15</v>
          </cell>
        </row>
        <row r="558">
          <cell r="A558" t="str">
            <v>C10747</v>
          </cell>
          <cell r="B558" t="str">
            <v>Organization</v>
          </cell>
          <cell r="C558" t="str">
            <v>GOODWAY CHEMICALS PVT. LTD.</v>
          </cell>
          <cell r="D558" t="str">
            <v>0</v>
          </cell>
        </row>
        <row r="559">
          <cell r="A559" t="str">
            <v>C10749</v>
          </cell>
          <cell r="B559" t="str">
            <v>Organization</v>
          </cell>
          <cell r="C559" t="str">
            <v>GREIF BRISBANE</v>
          </cell>
          <cell r="D559" t="str">
            <v>0</v>
          </cell>
        </row>
        <row r="560">
          <cell r="A560" t="str">
            <v>C10750</v>
          </cell>
          <cell r="B560" t="str">
            <v>Organization</v>
          </cell>
          <cell r="C560" t="str">
            <v>GREIF GERMANY GMBH</v>
          </cell>
          <cell r="D560" t="str">
            <v>0</v>
          </cell>
        </row>
        <row r="561">
          <cell r="A561" t="str">
            <v>C10751</v>
          </cell>
          <cell r="B561" t="str">
            <v>Organization</v>
          </cell>
          <cell r="C561" t="str">
            <v>GREIF PHILIPPINES INC.</v>
          </cell>
          <cell r="D561" t="str">
            <v>0</v>
          </cell>
        </row>
        <row r="562">
          <cell r="A562" t="str">
            <v>C10752</v>
          </cell>
          <cell r="B562" t="str">
            <v>Organization</v>
          </cell>
          <cell r="C562" t="str">
            <v>GREIF SINGAPORE PTE. LTD. - JURONG TOWN</v>
          </cell>
          <cell r="D562" t="str">
            <v>45</v>
          </cell>
        </row>
        <row r="563">
          <cell r="A563" t="str">
            <v>C10756</v>
          </cell>
          <cell r="B563" t="str">
            <v>Organization</v>
          </cell>
          <cell r="C563" t="str">
            <v>GUJARAT CONTAINERS LTD.</v>
          </cell>
          <cell r="D563" t="str">
            <v>60</v>
          </cell>
        </row>
        <row r="564">
          <cell r="A564" t="str">
            <v>C10757</v>
          </cell>
          <cell r="B564" t="str">
            <v>Organization</v>
          </cell>
          <cell r="C564" t="str">
            <v>GUJARAT MITUL PETRO-PHARMA (P) LIMITED</v>
          </cell>
          <cell r="D564" t="str">
            <v>30</v>
          </cell>
        </row>
        <row r="565">
          <cell r="A565" t="str">
            <v>C10767</v>
          </cell>
          <cell r="B565" t="str">
            <v>Organization</v>
          </cell>
          <cell r="C565" t="str">
            <v>GULF OIL CORPORATION LIMITED - DADRA</v>
          </cell>
          <cell r="D565" t="str">
            <v>30</v>
          </cell>
        </row>
        <row r="566">
          <cell r="A566" t="str">
            <v>C10769</v>
          </cell>
          <cell r="B566" t="str">
            <v>Organization</v>
          </cell>
          <cell r="C566" t="str">
            <v>GULF OIL INDIA LTD.- KOLKATA</v>
          </cell>
          <cell r="D566" t="str">
            <v>30</v>
          </cell>
        </row>
        <row r="567">
          <cell r="A567" t="str">
            <v>C10772</v>
          </cell>
          <cell r="B567" t="str">
            <v>Organization</v>
          </cell>
          <cell r="C567" t="str">
            <v>GULSHAN SUGAR &amp; CHEMICALS LIMITED</v>
          </cell>
          <cell r="D567" t="str">
            <v>30</v>
          </cell>
        </row>
        <row r="568">
          <cell r="A568" t="str">
            <v>C10773</v>
          </cell>
          <cell r="B568" t="str">
            <v>Organization</v>
          </cell>
          <cell r="C568" t="str">
            <v>GUMPRO CHEM BOMBAY</v>
          </cell>
          <cell r="D568" t="str">
            <v>1</v>
          </cell>
        </row>
        <row r="569">
          <cell r="A569" t="str">
            <v>C10774</v>
          </cell>
          <cell r="B569" t="str">
            <v>Organization</v>
          </cell>
          <cell r="C569" t="str">
            <v>H &amp; R JOHNSONS LIMITED</v>
          </cell>
          <cell r="D569" t="str">
            <v>1</v>
          </cell>
        </row>
        <row r="570">
          <cell r="A570" t="str">
            <v>C10778</v>
          </cell>
          <cell r="B570" t="str">
            <v>Organization</v>
          </cell>
          <cell r="C570" t="str">
            <v>HANAKA ORGANICS PVT. LTD.</v>
          </cell>
          <cell r="D570" t="str">
            <v>30</v>
          </cell>
        </row>
        <row r="571">
          <cell r="A571" t="str">
            <v>C10779</v>
          </cell>
          <cell r="B571" t="str">
            <v>Organization</v>
          </cell>
          <cell r="C571" t="str">
            <v>HARI ORGOCHEM PVT. LTD</v>
          </cell>
          <cell r="D571" t="str">
            <v>60</v>
          </cell>
        </row>
        <row r="572">
          <cell r="A572" t="str">
            <v>C10780</v>
          </cell>
          <cell r="B572" t="str">
            <v>Organization</v>
          </cell>
          <cell r="C572" t="str">
            <v>HARIND PHARMACAL PVT. LTD.</v>
          </cell>
          <cell r="D572" t="str">
            <v>1</v>
          </cell>
        </row>
        <row r="573">
          <cell r="A573" t="str">
            <v>C10783</v>
          </cell>
          <cell r="B573" t="str">
            <v>Organization</v>
          </cell>
          <cell r="C573" t="str">
            <v>HARLEM POLYCONTAINERS PVT. LTD</v>
          </cell>
          <cell r="D573" t="str">
            <v>7</v>
          </cell>
        </row>
        <row r="574">
          <cell r="A574" t="str">
            <v>C10784</v>
          </cell>
          <cell r="B574" t="str">
            <v>Organization</v>
          </cell>
          <cell r="C574" t="str">
            <v>HARMAN FINOCHEM LIMITED</v>
          </cell>
          <cell r="D574" t="str">
            <v>30</v>
          </cell>
        </row>
        <row r="575">
          <cell r="A575" t="str">
            <v>C10788</v>
          </cell>
          <cell r="B575" t="str">
            <v>Organization</v>
          </cell>
          <cell r="C575" t="str">
            <v>HEBBAR CHEMICALS PVT. LTD</v>
          </cell>
          <cell r="D575" t="str">
            <v>0</v>
          </cell>
        </row>
        <row r="576">
          <cell r="A576" t="str">
            <v>C10791</v>
          </cell>
          <cell r="B576" t="str">
            <v>Organization</v>
          </cell>
          <cell r="C576" t="str">
            <v>HERBAL ISOLATES (I) PVT. LTD.</v>
          </cell>
          <cell r="D576" t="str">
            <v>0</v>
          </cell>
        </row>
        <row r="577">
          <cell r="A577" t="str">
            <v>C10792</v>
          </cell>
          <cell r="B577" t="str">
            <v>Organization</v>
          </cell>
          <cell r="C577" t="str">
            <v>HEXONE INTERCHEM PVT. LTD</v>
          </cell>
          <cell r="D577" t="str">
            <v>1</v>
          </cell>
        </row>
        <row r="578">
          <cell r="A578" t="str">
            <v>C10793</v>
          </cell>
          <cell r="B578" t="str">
            <v>Organization</v>
          </cell>
          <cell r="C578" t="str">
            <v>HI SHINE INKS PVT. LIMITED</v>
          </cell>
          <cell r="D578" t="str">
            <v>30</v>
          </cell>
        </row>
        <row r="579">
          <cell r="A579" t="str">
            <v>C10794</v>
          </cell>
          <cell r="B579" t="str">
            <v>Organization</v>
          </cell>
          <cell r="C579" t="str">
            <v>HIGH PURITY LABORATORY CHEMICALS</v>
          </cell>
          <cell r="D579" t="str">
            <v>0</v>
          </cell>
        </row>
        <row r="580">
          <cell r="A580" t="str">
            <v>C10795</v>
          </cell>
          <cell r="B580" t="str">
            <v>Organization</v>
          </cell>
          <cell r="C580" t="str">
            <v>HIGHRISE CHEMICAL INDUSTRIES PVT. LTD..</v>
          </cell>
          <cell r="D580" t="str">
            <v>0</v>
          </cell>
        </row>
        <row r="581">
          <cell r="A581" t="str">
            <v>C10798</v>
          </cell>
          <cell r="B581" t="str">
            <v>Organization</v>
          </cell>
          <cell r="C581" t="str">
            <v>HILL TOP EXTRACTS PRIVATE LIMITED</v>
          </cell>
          <cell r="D581" t="str">
            <v>0</v>
          </cell>
        </row>
        <row r="582">
          <cell r="A582" t="str">
            <v>C10799</v>
          </cell>
          <cell r="B582" t="str">
            <v>Organization</v>
          </cell>
          <cell r="C582" t="str">
            <v>HIMALAYAN BIO TRADE PRIVATE LIMITED</v>
          </cell>
          <cell r="D582" t="str">
            <v>1</v>
          </cell>
        </row>
        <row r="583">
          <cell r="A583" t="str">
            <v>C10800</v>
          </cell>
          <cell r="B583" t="str">
            <v>Organization</v>
          </cell>
          <cell r="C583" t="str">
            <v>HIND GENERAL STORES</v>
          </cell>
          <cell r="D583" t="str">
            <v>30</v>
          </cell>
        </row>
        <row r="584">
          <cell r="A584" t="str">
            <v>C10802</v>
          </cell>
          <cell r="B584" t="str">
            <v>Organization</v>
          </cell>
          <cell r="C584" t="str">
            <v>HINDUSTAN COLAS LIMITED - TURBHE</v>
          </cell>
          <cell r="D584" t="str">
            <v>30</v>
          </cell>
        </row>
        <row r="585">
          <cell r="A585" t="str">
            <v>C10804</v>
          </cell>
          <cell r="B585" t="str">
            <v>Organization</v>
          </cell>
          <cell r="C585" t="str">
            <v>HINDUSTAN COLAS LIMITED - BARODA</v>
          </cell>
          <cell r="D585" t="str">
            <v>15</v>
          </cell>
        </row>
        <row r="586">
          <cell r="A586" t="str">
            <v>C10805</v>
          </cell>
          <cell r="B586" t="str">
            <v>Organization</v>
          </cell>
          <cell r="C586" t="str">
            <v>HINDUSTAN FLUOROCARBONS LIMITED</v>
          </cell>
          <cell r="D586" t="str">
            <v>30</v>
          </cell>
        </row>
        <row r="587">
          <cell r="A587" t="str">
            <v>C10806</v>
          </cell>
          <cell r="B587" t="str">
            <v>Organization</v>
          </cell>
          <cell r="C587" t="str">
            <v>HINDUSTAN LEVER LIMITED   - CHENNAI</v>
          </cell>
          <cell r="D587" t="str">
            <v>30</v>
          </cell>
        </row>
        <row r="588">
          <cell r="A588" t="str">
            <v>C10810</v>
          </cell>
          <cell r="B588" t="str">
            <v>Organization</v>
          </cell>
          <cell r="C588" t="str">
            <v>HINDUSTAN LEVER LIMITED   - KOLKATA</v>
          </cell>
          <cell r="D588" t="str">
            <v>30</v>
          </cell>
        </row>
        <row r="589">
          <cell r="A589" t="str">
            <v>C10812</v>
          </cell>
          <cell r="B589" t="str">
            <v>Organization</v>
          </cell>
          <cell r="C589" t="str">
            <v>HINDUSTAN LUBRICANTS CO. PVT. LTD</v>
          </cell>
          <cell r="D589" t="str">
            <v>60</v>
          </cell>
        </row>
        <row r="590">
          <cell r="A590" t="str">
            <v>C10815</v>
          </cell>
          <cell r="B590" t="str">
            <v>Organization</v>
          </cell>
          <cell r="C590" t="str">
            <v>HINDUSTAN PETROLEUM CORPN. - KOLKATA</v>
          </cell>
          <cell r="D590" t="str">
            <v>30</v>
          </cell>
        </row>
        <row r="591">
          <cell r="A591" t="str">
            <v>C10816</v>
          </cell>
          <cell r="B591" t="str">
            <v>Organization</v>
          </cell>
          <cell r="C591" t="str">
            <v>HINDUSTAN PETROLEUM CORPN. - CHENNAI</v>
          </cell>
          <cell r="D591" t="str">
            <v>30</v>
          </cell>
        </row>
        <row r="592">
          <cell r="A592" t="str">
            <v>C10817</v>
          </cell>
          <cell r="B592" t="str">
            <v>Organization</v>
          </cell>
          <cell r="C592" t="str">
            <v>HINDUSTAN PETROLEUM CORPN. - MUMBAI</v>
          </cell>
          <cell r="D592" t="str">
            <v>30</v>
          </cell>
        </row>
        <row r="593">
          <cell r="A593" t="str">
            <v>C10818</v>
          </cell>
          <cell r="B593" t="str">
            <v>Organization</v>
          </cell>
          <cell r="C593" t="str">
            <v>HINDUSTAN PETROLEUM CORPN. - DELHI</v>
          </cell>
          <cell r="D593" t="str">
            <v>30</v>
          </cell>
        </row>
        <row r="594">
          <cell r="A594" t="str">
            <v>C10820</v>
          </cell>
          <cell r="B594" t="str">
            <v>Organization</v>
          </cell>
          <cell r="C594" t="str">
            <v>HINDUSTAN POLYAMIDES &amp; FIBERS LIMITED - LOWER PAREL</v>
          </cell>
          <cell r="D594" t="str">
            <v>30</v>
          </cell>
        </row>
        <row r="595">
          <cell r="A595" t="str">
            <v>C10821</v>
          </cell>
          <cell r="B595" t="str">
            <v>Organization</v>
          </cell>
          <cell r="C595" t="str">
            <v>HINDUSTAN SEALS LIMITED</v>
          </cell>
          <cell r="D595" t="str">
            <v>1</v>
          </cell>
        </row>
        <row r="596">
          <cell r="A596" t="str">
            <v>C10822</v>
          </cell>
          <cell r="B596" t="str">
            <v>Organization</v>
          </cell>
          <cell r="C596" t="str">
            <v>HITECH SEALANTS ADHESIVES PVT. LTD.</v>
          </cell>
          <cell r="D596" t="str">
            <v>60</v>
          </cell>
        </row>
        <row r="597">
          <cell r="A597" t="str">
            <v>C10823</v>
          </cell>
          <cell r="B597" t="str">
            <v>Organization</v>
          </cell>
          <cell r="C597" t="str">
            <v>HITESH CHEMICALS &amp; DRUGS PVT. LTD.</v>
          </cell>
          <cell r="D597" t="str">
            <v>45</v>
          </cell>
        </row>
        <row r="598">
          <cell r="A598" t="str">
            <v>C10827</v>
          </cell>
          <cell r="B598" t="str">
            <v>Organization</v>
          </cell>
          <cell r="C598" t="str">
            <v>HP PACKAGING (STEEL) PTY LTD.</v>
          </cell>
          <cell r="D598" t="str">
            <v>60</v>
          </cell>
        </row>
        <row r="599">
          <cell r="A599" t="str">
            <v>C10828</v>
          </cell>
          <cell r="B599" t="str">
            <v>Organization</v>
          </cell>
          <cell r="C599" t="str">
            <v>HUNTSMAN INTERNATIONAL (I) PVT. LTD,NAVI MUMBAI</v>
          </cell>
          <cell r="D599" t="str">
            <v>60</v>
          </cell>
        </row>
        <row r="600">
          <cell r="A600" t="str">
            <v>C10830</v>
          </cell>
          <cell r="B600" t="str">
            <v>Organization</v>
          </cell>
          <cell r="C600" t="str">
            <v>HYDAC (INDIA) PRIVATE LIMITED</v>
          </cell>
          <cell r="D600" t="str">
            <v>1</v>
          </cell>
        </row>
        <row r="601">
          <cell r="A601" t="str">
            <v>C10831</v>
          </cell>
          <cell r="B601" t="str">
            <v>Organization</v>
          </cell>
          <cell r="C601" t="str">
            <v>HYDERABAD MOTHER WAREHOUSE</v>
          </cell>
          <cell r="D601" t="str">
            <v>30</v>
          </cell>
        </row>
        <row r="602">
          <cell r="A602" t="str">
            <v>C10837</v>
          </cell>
          <cell r="B602" t="str">
            <v>Organization</v>
          </cell>
          <cell r="C602" t="str">
            <v>IBP CO. LIMITED - CHENNAI</v>
          </cell>
          <cell r="D602" t="str">
            <v>30</v>
          </cell>
        </row>
        <row r="603">
          <cell r="A603" t="str">
            <v>C10838</v>
          </cell>
          <cell r="B603" t="str">
            <v>Organization</v>
          </cell>
          <cell r="C603" t="str">
            <v>IBP CO. LIMITED - KOLKATA</v>
          </cell>
          <cell r="D603" t="str">
            <v>30</v>
          </cell>
        </row>
        <row r="604">
          <cell r="A604" t="str">
            <v>C10840</v>
          </cell>
          <cell r="B604" t="str">
            <v>Organization</v>
          </cell>
          <cell r="C604" t="str">
            <v>ICI INDIA LIMITED</v>
          </cell>
          <cell r="D604" t="str">
            <v>60</v>
          </cell>
        </row>
        <row r="605">
          <cell r="A605" t="str">
            <v>C10841</v>
          </cell>
          <cell r="B605" t="str">
            <v>Organization</v>
          </cell>
          <cell r="C605" t="str">
            <v>IFTEX OIL &amp; CHEMICALS PVT. LTD          (200)</v>
          </cell>
          <cell r="D605" t="str">
            <v>30</v>
          </cell>
        </row>
        <row r="606">
          <cell r="A606" t="str">
            <v>C10842</v>
          </cell>
          <cell r="B606" t="str">
            <v>Organization</v>
          </cell>
          <cell r="C606" t="str">
            <v>INDAG RUBBER LIMITED</v>
          </cell>
          <cell r="D606" t="str">
            <v>30</v>
          </cell>
        </row>
        <row r="607">
          <cell r="A607" t="str">
            <v>C10844</v>
          </cell>
          <cell r="B607" t="str">
            <v>Organization</v>
          </cell>
          <cell r="C607" t="str">
            <v>INDIA GLYCOLS LTD. - OKHLA(CLOSED)</v>
          </cell>
          <cell r="D607" t="str">
            <v>60</v>
          </cell>
        </row>
        <row r="608">
          <cell r="A608" t="str">
            <v>C10845</v>
          </cell>
          <cell r="B608" t="str">
            <v>Organization</v>
          </cell>
          <cell r="C608" t="str">
            <v>INDIAN CHEMPHAR LIMITED (200)</v>
          </cell>
          <cell r="D608" t="str">
            <v>45</v>
          </cell>
        </row>
        <row r="609">
          <cell r="A609" t="str">
            <v>C10850</v>
          </cell>
          <cell r="B609" t="str">
            <v>Organization</v>
          </cell>
          <cell r="C609" t="str">
            <v>INDIAN METAL POWDER INDUSTRIES</v>
          </cell>
          <cell r="D609" t="str">
            <v>1</v>
          </cell>
        </row>
        <row r="610">
          <cell r="A610" t="str">
            <v>C10852</v>
          </cell>
          <cell r="B610" t="str">
            <v>Organization</v>
          </cell>
          <cell r="C610" t="str">
            <v>INDIAN OIL CORPN. LTD A/C MOBIL - CHENNAI</v>
          </cell>
          <cell r="D610" t="str">
            <v>30</v>
          </cell>
        </row>
        <row r="611">
          <cell r="A611" t="str">
            <v>C10853</v>
          </cell>
          <cell r="B611" t="str">
            <v>Organization</v>
          </cell>
          <cell r="C611" t="str">
            <v>INDIAN OIL CORPN. LIMITED - ALLAHABAD</v>
          </cell>
          <cell r="D611" t="str">
            <v>30</v>
          </cell>
        </row>
        <row r="612">
          <cell r="A612" t="str">
            <v>C10856</v>
          </cell>
          <cell r="B612" t="str">
            <v>Organization</v>
          </cell>
          <cell r="C612" t="str">
            <v>INDIAN OIL CORPORATION LTD - DELHI</v>
          </cell>
          <cell r="D612" t="str">
            <v>30</v>
          </cell>
        </row>
        <row r="613">
          <cell r="A613" t="str">
            <v>C10857</v>
          </cell>
          <cell r="B613" t="str">
            <v>Organization</v>
          </cell>
          <cell r="C613" t="str">
            <v>INDIAN OIL CORPORATION LTD - TADEPALLI</v>
          </cell>
          <cell r="D613" t="str">
            <v>30</v>
          </cell>
        </row>
        <row r="614">
          <cell r="A614" t="str">
            <v>C10859</v>
          </cell>
          <cell r="B614" t="str">
            <v>Organization</v>
          </cell>
          <cell r="C614" t="str">
            <v>INDIAN OIL CORPORATION LTD - KOLKATA</v>
          </cell>
          <cell r="D614" t="str">
            <v>30</v>
          </cell>
        </row>
        <row r="615">
          <cell r="A615" t="str">
            <v>C10860</v>
          </cell>
          <cell r="B615" t="str">
            <v>Organization</v>
          </cell>
          <cell r="C615" t="str">
            <v>INDIAN OIL CORPORATION LTD - CHEMBUR</v>
          </cell>
          <cell r="D615" t="str">
            <v>30</v>
          </cell>
        </row>
        <row r="616">
          <cell r="A616" t="str">
            <v>C10862</v>
          </cell>
          <cell r="B616" t="str">
            <v>Organization</v>
          </cell>
          <cell r="C616" t="str">
            <v>INDIAN OIL CORPORATION LTD - CHENNAI</v>
          </cell>
          <cell r="D616" t="str">
            <v>30</v>
          </cell>
        </row>
        <row r="617">
          <cell r="A617" t="str">
            <v>C10864</v>
          </cell>
          <cell r="B617" t="str">
            <v>Organization</v>
          </cell>
          <cell r="C617" t="str">
            <v>INDIAN OVERSEAS CORPORATION</v>
          </cell>
          <cell r="D617" t="str">
            <v>30</v>
          </cell>
        </row>
        <row r="618">
          <cell r="A618" t="str">
            <v>C10865</v>
          </cell>
          <cell r="B618" t="str">
            <v>Organization</v>
          </cell>
          <cell r="C618" t="str">
            <v>INDO AMINES LTD.</v>
          </cell>
          <cell r="D618" t="str">
            <v>60</v>
          </cell>
        </row>
        <row r="619">
          <cell r="A619" t="str">
            <v>C10867</v>
          </cell>
          <cell r="B619" t="str">
            <v>Organization</v>
          </cell>
          <cell r="C619" t="str">
            <v>INDO GERMAN ALKALIES</v>
          </cell>
          <cell r="D619" t="str">
            <v>0</v>
          </cell>
        </row>
        <row r="620">
          <cell r="A620" t="str">
            <v>C10870</v>
          </cell>
          <cell r="B620" t="str">
            <v>Organization</v>
          </cell>
          <cell r="C620" t="str">
            <v>INDOCHEM OIL (INDIA) LIMITED</v>
          </cell>
          <cell r="D620" t="str">
            <v>30</v>
          </cell>
        </row>
        <row r="621">
          <cell r="A621" t="str">
            <v>C10871</v>
          </cell>
          <cell r="B621" t="str">
            <v>Organization</v>
          </cell>
          <cell r="C621" t="str">
            <v>INDOFIL CHEMICALS CO. (200)</v>
          </cell>
          <cell r="D621" t="str">
            <v>90</v>
          </cell>
        </row>
        <row r="622">
          <cell r="A622" t="str">
            <v>C10872</v>
          </cell>
          <cell r="B622" t="str">
            <v>Organization</v>
          </cell>
          <cell r="C622" t="str">
            <v>INDUS SPECIALITY  OILS</v>
          </cell>
          <cell r="D622" t="str">
            <v>45</v>
          </cell>
        </row>
        <row r="623">
          <cell r="A623" t="str">
            <v>C10874</v>
          </cell>
          <cell r="B623" t="str">
            <v>Organization</v>
          </cell>
          <cell r="C623" t="str">
            <v>INDUSTRIAL GRAPHITES</v>
          </cell>
          <cell r="D623" t="str">
            <v>1</v>
          </cell>
        </row>
        <row r="624">
          <cell r="A624" t="str">
            <v>C10879</v>
          </cell>
          <cell r="B624" t="str">
            <v>Organization</v>
          </cell>
          <cell r="C624" t="str">
            <v>INNOVASSYNTH  TECHNOLOGIES  INDIA  LTD.</v>
          </cell>
          <cell r="D624" t="str">
            <v>30</v>
          </cell>
        </row>
        <row r="625">
          <cell r="A625" t="str">
            <v>C10882</v>
          </cell>
          <cell r="B625" t="str">
            <v>Organization</v>
          </cell>
          <cell r="C625" t="str">
            <v>INTEGRATED FIRE PROTECTION PVT. LTD</v>
          </cell>
          <cell r="D625" t="str">
            <v>30</v>
          </cell>
        </row>
        <row r="626">
          <cell r="A626" t="str">
            <v>C10883</v>
          </cell>
          <cell r="B626" t="str">
            <v>Organization</v>
          </cell>
          <cell r="C626" t="str">
            <v>INTEGRATED TECHNOLOGY</v>
          </cell>
          <cell r="D626" t="str">
            <v>1</v>
          </cell>
        </row>
        <row r="627">
          <cell r="A627" t="str">
            <v>C10884</v>
          </cell>
          <cell r="B627" t="str">
            <v>Organization</v>
          </cell>
          <cell r="C627" t="str">
            <v>INTEGRATED TRADING CO.</v>
          </cell>
          <cell r="D627" t="str">
            <v>1</v>
          </cell>
        </row>
        <row r="628">
          <cell r="A628" t="str">
            <v>C10885</v>
          </cell>
          <cell r="B628" t="str">
            <v>Organization</v>
          </cell>
          <cell r="C628" t="str">
            <v>INTERNATIONAL FLAVOURS &amp; FRAGRANCES INDIA LTD</v>
          </cell>
          <cell r="D628" t="str">
            <v>30</v>
          </cell>
        </row>
        <row r="629">
          <cell r="A629" t="str">
            <v>C10886</v>
          </cell>
          <cell r="B629" t="str">
            <v>Organization</v>
          </cell>
          <cell r="C629" t="str">
            <v>INTERNATIONAL METRO CIVIL CONTRACTORS</v>
          </cell>
          <cell r="D629" t="str">
            <v>1</v>
          </cell>
        </row>
        <row r="630">
          <cell r="A630" t="str">
            <v>C10887</v>
          </cell>
          <cell r="B630" t="str">
            <v>Organization</v>
          </cell>
          <cell r="C630" t="str">
            <v>IPCA LABORATORIES LIMITED - RATLAM</v>
          </cell>
          <cell r="D630" t="str">
            <v>30</v>
          </cell>
        </row>
        <row r="631">
          <cell r="A631" t="str">
            <v>C10889</v>
          </cell>
          <cell r="B631" t="str">
            <v>Organization</v>
          </cell>
          <cell r="C631" t="str">
            <v>ISRO PRODUCTS</v>
          </cell>
          <cell r="D631" t="str">
            <v>60</v>
          </cell>
        </row>
        <row r="632">
          <cell r="A632" t="str">
            <v>C10890</v>
          </cell>
          <cell r="B632" t="str">
            <v>Organization</v>
          </cell>
          <cell r="C632" t="str">
            <v>ITC LIMITED</v>
          </cell>
          <cell r="D632" t="str">
            <v>30</v>
          </cell>
        </row>
        <row r="633">
          <cell r="A633" t="str">
            <v>C10891</v>
          </cell>
          <cell r="B633" t="str">
            <v>Organization</v>
          </cell>
          <cell r="C633" t="str">
            <v>ITW INDIA LIMITED</v>
          </cell>
          <cell r="D633" t="str">
            <v>30</v>
          </cell>
        </row>
        <row r="634">
          <cell r="A634" t="str">
            <v>C10892</v>
          </cell>
          <cell r="B634" t="str">
            <v>Organization</v>
          </cell>
          <cell r="C634" t="str">
            <v>ITW INDIA LIMITED (MAGNAFLEX)</v>
          </cell>
          <cell r="D634" t="str">
            <v>30</v>
          </cell>
        </row>
        <row r="635">
          <cell r="A635" t="str">
            <v>C10893</v>
          </cell>
          <cell r="B635" t="str">
            <v>Organization</v>
          </cell>
          <cell r="C635" t="str">
            <v>IVAX PAPER CHEMICALS LTD</v>
          </cell>
          <cell r="D635" t="str">
            <v>7</v>
          </cell>
        </row>
        <row r="636">
          <cell r="A636" t="str">
            <v>C10894</v>
          </cell>
          <cell r="B636" t="str">
            <v>Organization</v>
          </cell>
          <cell r="C636" t="str">
            <v>J &amp; J BIO-TECH &amp; SPECIALITY CHEMICALS (P) LTD.</v>
          </cell>
          <cell r="D636" t="str">
            <v>30</v>
          </cell>
        </row>
        <row r="637">
          <cell r="A637" t="str">
            <v>C10895</v>
          </cell>
          <cell r="B637" t="str">
            <v>Organization</v>
          </cell>
          <cell r="C637" t="str">
            <v>J.C.TROIKA</v>
          </cell>
          <cell r="D637" t="str">
            <v>30</v>
          </cell>
        </row>
        <row r="638">
          <cell r="A638" t="str">
            <v>C10896</v>
          </cell>
          <cell r="B638" t="str">
            <v>Organization</v>
          </cell>
          <cell r="C638" t="str">
            <v>J.K. PETROLEUM INDUSTRIES</v>
          </cell>
          <cell r="D638" t="str">
            <v>60</v>
          </cell>
        </row>
        <row r="639">
          <cell r="A639" t="str">
            <v>C10898</v>
          </cell>
          <cell r="B639" t="str">
            <v>Organization</v>
          </cell>
          <cell r="C639" t="str">
            <v>J.R. CORPORATION</v>
          </cell>
          <cell r="D639" t="str">
            <v>60</v>
          </cell>
        </row>
        <row r="640">
          <cell r="A640" t="str">
            <v>C10899</v>
          </cell>
          <cell r="B640" t="str">
            <v>Organization</v>
          </cell>
          <cell r="C640" t="str">
            <v>JAI RESEARCH FOUNDATION</v>
          </cell>
          <cell r="D640" t="str">
            <v>60</v>
          </cell>
        </row>
        <row r="641">
          <cell r="A641" t="str">
            <v>C10900</v>
          </cell>
          <cell r="B641" t="str">
            <v>Organization</v>
          </cell>
          <cell r="C641" t="str">
            <v>JAIN ENTERPRISES</v>
          </cell>
          <cell r="D641" t="str">
            <v>30</v>
          </cell>
        </row>
        <row r="642">
          <cell r="A642" t="str">
            <v>C10901</v>
          </cell>
          <cell r="B642" t="str">
            <v>Organization</v>
          </cell>
          <cell r="C642" t="str">
            <v>JAIN INDUSTRIES     (200)</v>
          </cell>
          <cell r="D642" t="str">
            <v>30</v>
          </cell>
        </row>
        <row r="643">
          <cell r="A643" t="str">
            <v>C10903</v>
          </cell>
          <cell r="B643" t="str">
            <v>Organization</v>
          </cell>
          <cell r="C643" t="str">
            <v>JASS LUBRICANTS</v>
          </cell>
          <cell r="D643" t="str">
            <v>0</v>
          </cell>
        </row>
        <row r="644">
          <cell r="A644" t="str">
            <v>C10911</v>
          </cell>
          <cell r="B644" t="str">
            <v>Organization</v>
          </cell>
          <cell r="C644" t="str">
            <v>JAYSHREE ENTERPRISES</v>
          </cell>
          <cell r="D644" t="str">
            <v>1</v>
          </cell>
        </row>
        <row r="645">
          <cell r="A645" t="str">
            <v>C10915</v>
          </cell>
          <cell r="B645" t="str">
            <v>Organization</v>
          </cell>
          <cell r="C645" t="str">
            <v>JOCIL LIMITED</v>
          </cell>
          <cell r="D645" t="str">
            <v>30</v>
          </cell>
        </row>
        <row r="646">
          <cell r="A646" t="str">
            <v>C10917</v>
          </cell>
          <cell r="B646" t="str">
            <v>Organization</v>
          </cell>
          <cell r="C646" t="str">
            <v>JOHNSON EXPORTS</v>
          </cell>
          <cell r="D646" t="str">
            <v>1</v>
          </cell>
        </row>
        <row r="647">
          <cell r="A647" t="str">
            <v>C10918</v>
          </cell>
          <cell r="B647" t="str">
            <v>Organization</v>
          </cell>
          <cell r="C647" t="str">
            <v>JP DYECHEM PVT. LTD</v>
          </cell>
          <cell r="D647" t="str">
            <v>0</v>
          </cell>
        </row>
        <row r="648">
          <cell r="A648" t="str">
            <v>C10919</v>
          </cell>
          <cell r="B648" t="str">
            <v>Organization</v>
          </cell>
          <cell r="C648" t="str">
            <v>JUBILANT ORGANOSYS LIMITED - VADODRA</v>
          </cell>
          <cell r="D648" t="str">
            <v>60</v>
          </cell>
        </row>
        <row r="649">
          <cell r="A649" t="str">
            <v>C10920</v>
          </cell>
          <cell r="B649" t="str">
            <v>Organization</v>
          </cell>
          <cell r="C649" t="str">
            <v>JUBILANT ORGANOSYS LIMITED - PUNE</v>
          </cell>
          <cell r="D649" t="str">
            <v>60</v>
          </cell>
        </row>
        <row r="650">
          <cell r="A650" t="str">
            <v>C10921</v>
          </cell>
          <cell r="B650" t="str">
            <v>Organization</v>
          </cell>
          <cell r="C650" t="str">
            <v>JUPITER LEYS PVT. LTD.</v>
          </cell>
          <cell r="D650" t="str">
            <v>0</v>
          </cell>
        </row>
        <row r="651">
          <cell r="A651" t="str">
            <v>C10923</v>
          </cell>
          <cell r="B651" t="str">
            <v>Organization</v>
          </cell>
          <cell r="C651" t="str">
            <v>K. K. CHEMICAL INDUSTRIES</v>
          </cell>
          <cell r="D651" t="str">
            <v>0</v>
          </cell>
        </row>
        <row r="652">
          <cell r="A652" t="str">
            <v>C10925</v>
          </cell>
          <cell r="B652" t="str">
            <v>Organization</v>
          </cell>
          <cell r="C652" t="str">
            <v>K. TECH (INDIA) PVT. LTD</v>
          </cell>
          <cell r="D652" t="str">
            <v>30</v>
          </cell>
        </row>
        <row r="653">
          <cell r="A653" t="str">
            <v>C10927</v>
          </cell>
          <cell r="B653" t="str">
            <v>Organization</v>
          </cell>
          <cell r="C653" t="str">
            <v>K.K. SPECIALITY SILICONES</v>
          </cell>
          <cell r="D653" t="str">
            <v>30</v>
          </cell>
        </row>
        <row r="654">
          <cell r="A654" t="str">
            <v>C10928</v>
          </cell>
          <cell r="B654" t="str">
            <v>Organization</v>
          </cell>
          <cell r="C654" t="str">
            <v>K.L.F.  NIRMAL INDUSTRIES PVT. LTD.</v>
          </cell>
          <cell r="D654" t="str">
            <v>30</v>
          </cell>
        </row>
        <row r="655">
          <cell r="A655" t="str">
            <v>C10931</v>
          </cell>
          <cell r="B655" t="str">
            <v>Organization</v>
          </cell>
          <cell r="C655" t="str">
            <v>KAISER INDUSTRIES</v>
          </cell>
          <cell r="D655" t="str">
            <v>45</v>
          </cell>
        </row>
        <row r="656">
          <cell r="A656" t="str">
            <v>C10932</v>
          </cell>
          <cell r="B656" t="str">
            <v>Organization</v>
          </cell>
          <cell r="C656" t="str">
            <v>KALIKA INTERNATIONAL</v>
          </cell>
          <cell r="D656" t="str">
            <v>30</v>
          </cell>
        </row>
        <row r="657">
          <cell r="A657" t="str">
            <v>C10935</v>
          </cell>
          <cell r="B657" t="str">
            <v>Organization</v>
          </cell>
          <cell r="C657" t="str">
            <v>KAMSONS CHEMICALS PVT.  LTD.</v>
          </cell>
          <cell r="D657" t="str">
            <v>60</v>
          </cell>
        </row>
        <row r="658">
          <cell r="A658" t="str">
            <v>C10936</v>
          </cell>
          <cell r="B658" t="str">
            <v>Organization</v>
          </cell>
          <cell r="C658" t="str">
            <v>KANCOR FLAVOURS AND EXTRACTS LTD.</v>
          </cell>
          <cell r="D658" t="str">
            <v>30</v>
          </cell>
        </row>
        <row r="659">
          <cell r="A659" t="str">
            <v>C10937</v>
          </cell>
          <cell r="B659" t="str">
            <v>Organization</v>
          </cell>
          <cell r="C659" t="str">
            <v>KANCOR INGREDIENTS LIMITED -  ANGAMALLY</v>
          </cell>
          <cell r="D659" t="str">
            <v>30</v>
          </cell>
        </row>
        <row r="660">
          <cell r="A660" t="str">
            <v>C10938</v>
          </cell>
          <cell r="B660" t="str">
            <v>Organization</v>
          </cell>
          <cell r="C660" t="str">
            <v>KANJI MORARJI FOOD INGREDIENTS P. LTD</v>
          </cell>
          <cell r="D660" t="str">
            <v>45</v>
          </cell>
        </row>
        <row r="661">
          <cell r="A661" t="str">
            <v>C10939</v>
          </cell>
          <cell r="B661" t="str">
            <v>Organization</v>
          </cell>
          <cell r="C661" t="str">
            <v>KANKOO PAINTS PVT. LTD       (200)</v>
          </cell>
          <cell r="D661" t="str">
            <v>30</v>
          </cell>
        </row>
        <row r="662">
          <cell r="A662" t="str">
            <v>C10943</v>
          </cell>
          <cell r="B662" t="str">
            <v>Organization</v>
          </cell>
          <cell r="C662" t="str">
            <v>KASHMIR KESSAR MART</v>
          </cell>
          <cell r="D662" t="str">
            <v>1</v>
          </cell>
        </row>
        <row r="663">
          <cell r="A663" t="str">
            <v>C10944</v>
          </cell>
          <cell r="B663" t="str">
            <v>Organization</v>
          </cell>
          <cell r="C663" t="str">
            <v>KASYAP SWEETENERS LTD.</v>
          </cell>
          <cell r="D663" t="str">
            <v>30</v>
          </cell>
        </row>
        <row r="664">
          <cell r="A664" t="str">
            <v>C10947</v>
          </cell>
          <cell r="B664" t="str">
            <v>Organization</v>
          </cell>
          <cell r="C664" t="str">
            <v>KAY LUBES PVT. LTD.</v>
          </cell>
          <cell r="D664" t="str">
            <v>0</v>
          </cell>
        </row>
        <row r="665">
          <cell r="A665" t="str">
            <v>C10948</v>
          </cell>
          <cell r="B665" t="str">
            <v>Organization</v>
          </cell>
          <cell r="C665" t="str">
            <v>KCP BIOTECH LIMITED</v>
          </cell>
          <cell r="D665" t="str">
            <v>0</v>
          </cell>
        </row>
        <row r="666">
          <cell r="A666" t="str">
            <v>C10950</v>
          </cell>
          <cell r="B666" t="str">
            <v>Organization</v>
          </cell>
          <cell r="C666" t="str">
            <v>KEDIA ORGANIC CHEMICALS LTD</v>
          </cell>
          <cell r="D666" t="str">
            <v>0</v>
          </cell>
        </row>
        <row r="667">
          <cell r="A667" t="str">
            <v>C10952</v>
          </cell>
          <cell r="B667" t="str">
            <v>Organization</v>
          </cell>
          <cell r="C667" t="str">
            <v>KELTECH ENERGIES LIMITED</v>
          </cell>
          <cell r="D667" t="str">
            <v>1</v>
          </cell>
        </row>
        <row r="668">
          <cell r="A668" t="str">
            <v>C10954</v>
          </cell>
          <cell r="B668" t="str">
            <v>Organization</v>
          </cell>
          <cell r="C668" t="str">
            <v>KEMEX INTERNATIONAL PVT. LTD</v>
          </cell>
          <cell r="D668" t="str">
            <v>30</v>
          </cell>
        </row>
        <row r="669">
          <cell r="A669" t="str">
            <v>C10955</v>
          </cell>
          <cell r="B669" t="str">
            <v>Organization</v>
          </cell>
          <cell r="C669" t="str">
            <v>KEMIN  NUTRITIONAL TECHNOLOGIES (INDIA) PVT. LTD.</v>
          </cell>
          <cell r="D669" t="str">
            <v>60</v>
          </cell>
        </row>
        <row r="670">
          <cell r="A670" t="str">
            <v>C10956</v>
          </cell>
          <cell r="B670" t="str">
            <v>Organization</v>
          </cell>
          <cell r="C670" t="str">
            <v>KEVA FLAVOURS PRIVATE LIMITED</v>
          </cell>
          <cell r="D670" t="str">
            <v>8</v>
          </cell>
        </row>
        <row r="671">
          <cell r="A671" t="str">
            <v>C10959</v>
          </cell>
          <cell r="B671" t="str">
            <v>Organization</v>
          </cell>
          <cell r="C671" t="str">
            <v>KHANDELWAL BIOTECHNOLOGY LABORATORY</v>
          </cell>
          <cell r="D671" t="str">
            <v>0</v>
          </cell>
        </row>
        <row r="672">
          <cell r="A672" t="str">
            <v>C10961</v>
          </cell>
          <cell r="B672" t="str">
            <v>Organization</v>
          </cell>
          <cell r="C672" t="str">
            <v>KHATRI PERFUMERS P. LTD.</v>
          </cell>
          <cell r="D672" t="str">
            <v>30</v>
          </cell>
        </row>
        <row r="673">
          <cell r="A673" t="str">
            <v>C10962</v>
          </cell>
          <cell r="B673" t="str">
            <v>Organization</v>
          </cell>
          <cell r="C673" t="str">
            <v>KHATRI TOBACCO INDUSTRIES</v>
          </cell>
          <cell r="D673" t="str">
            <v>30</v>
          </cell>
        </row>
        <row r="674">
          <cell r="A674" t="str">
            <v>C10963</v>
          </cell>
          <cell r="B674" t="str">
            <v>Organization</v>
          </cell>
          <cell r="C674" t="str">
            <v>KHOPOLI POLYMER PRODUCTS</v>
          </cell>
          <cell r="D674" t="str">
            <v>0</v>
          </cell>
        </row>
        <row r="675">
          <cell r="A675" t="str">
            <v>C10964</v>
          </cell>
          <cell r="B675" t="str">
            <v>Organization</v>
          </cell>
          <cell r="C675" t="str">
            <v>KIM CHEMICALS LIMITED</v>
          </cell>
          <cell r="D675" t="str">
            <v>45</v>
          </cell>
        </row>
        <row r="676">
          <cell r="A676" t="str">
            <v>C10972</v>
          </cell>
          <cell r="B676" t="str">
            <v>Organization</v>
          </cell>
          <cell r="C676" t="str">
            <v>KPL OIL MILLS PRIVATE LIMITED</v>
          </cell>
          <cell r="D676" t="str">
            <v>1</v>
          </cell>
        </row>
        <row r="677">
          <cell r="A677" t="str">
            <v>C10975</v>
          </cell>
          <cell r="B677" t="str">
            <v>Organization</v>
          </cell>
          <cell r="C677" t="str">
            <v>KRISHI OILS LIMITED</v>
          </cell>
          <cell r="D677" t="str">
            <v>1</v>
          </cell>
        </row>
        <row r="678">
          <cell r="A678" t="str">
            <v>C10976</v>
          </cell>
          <cell r="B678" t="str">
            <v>Organization</v>
          </cell>
          <cell r="C678" t="str">
            <v>KRISHNA ANTIOXIDANTS PVT. LTD. - MUMBAI</v>
          </cell>
          <cell r="D678" t="str">
            <v>30</v>
          </cell>
        </row>
        <row r="679">
          <cell r="A679" t="str">
            <v>C10977</v>
          </cell>
          <cell r="B679" t="str">
            <v>Organization</v>
          </cell>
          <cell r="C679" t="str">
            <v>KRISHNA BARRELS PVT. LTD - VADODARA</v>
          </cell>
          <cell r="D679" t="str">
            <v>30</v>
          </cell>
        </row>
        <row r="680">
          <cell r="A680" t="str">
            <v>C10978</v>
          </cell>
          <cell r="B680" t="str">
            <v>Organization</v>
          </cell>
          <cell r="C680" t="str">
            <v>KRISHNA BARRELS PVT. LTD - HALOL</v>
          </cell>
          <cell r="D680" t="str">
            <v>30</v>
          </cell>
        </row>
        <row r="681">
          <cell r="A681" t="str">
            <v>C10983</v>
          </cell>
          <cell r="B681" t="str">
            <v>Organization</v>
          </cell>
          <cell r="C681" t="str">
            <v>KROSLINK POLYMERS PVT. LTD.</v>
          </cell>
          <cell r="D681" t="str">
            <v>30</v>
          </cell>
        </row>
        <row r="682">
          <cell r="A682" t="str">
            <v>C10984</v>
          </cell>
          <cell r="B682" t="str">
            <v>Organization</v>
          </cell>
          <cell r="C682" t="str">
            <v>KRUPA SCIENTIFIC &amp; INDUSTRIAL APPARATUS CO.</v>
          </cell>
          <cell r="D682" t="str">
            <v>45</v>
          </cell>
        </row>
        <row r="683">
          <cell r="A683" t="str">
            <v>C10985</v>
          </cell>
          <cell r="B683" t="str">
            <v>Organization</v>
          </cell>
          <cell r="C683" t="str">
            <v>KUBO COMBUSTION &amp; EFFICIENCY CHEMICALS</v>
          </cell>
          <cell r="D683" t="str">
            <v>30</v>
          </cell>
        </row>
        <row r="684">
          <cell r="A684" t="str">
            <v>C10986</v>
          </cell>
          <cell r="B684" t="str">
            <v>Organization</v>
          </cell>
          <cell r="C684" t="str">
            <v>KUMAR CONTAINERS - (SHAMLI)</v>
          </cell>
          <cell r="D684" t="str">
            <v>30</v>
          </cell>
        </row>
        <row r="685">
          <cell r="A685" t="str">
            <v>C10987</v>
          </cell>
          <cell r="B685" t="str">
            <v>Organization</v>
          </cell>
          <cell r="C685" t="str">
            <v>KUNDAN ENTERPRISES</v>
          </cell>
          <cell r="D685" t="str">
            <v>1</v>
          </cell>
        </row>
        <row r="686">
          <cell r="A686" t="str">
            <v>C10988</v>
          </cell>
          <cell r="B686" t="str">
            <v>Organization</v>
          </cell>
          <cell r="C686" t="str">
            <v>KURIAN ABRAHAM (P) LIMITED</v>
          </cell>
          <cell r="D686" t="str">
            <v>0</v>
          </cell>
        </row>
        <row r="687">
          <cell r="A687" t="str">
            <v>C10989</v>
          </cell>
          <cell r="B687" t="str">
            <v>Organization</v>
          </cell>
          <cell r="C687" t="str">
            <v>KWALITY AGROVET INDUSTRIES PVT. LTD.</v>
          </cell>
          <cell r="D687" t="str">
            <v>0</v>
          </cell>
        </row>
        <row r="688">
          <cell r="A688" t="str">
            <v>C10990</v>
          </cell>
          <cell r="B688" t="str">
            <v>Organization</v>
          </cell>
          <cell r="C688" t="str">
            <v>KWALITY PAINTS</v>
          </cell>
          <cell r="D688" t="str">
            <v>0</v>
          </cell>
        </row>
        <row r="689">
          <cell r="A689" t="str">
            <v>C10991</v>
          </cell>
          <cell r="B689" t="str">
            <v>Organization</v>
          </cell>
          <cell r="C689" t="str">
            <v>L.N. CHEMICAL INDUSTRIES (200)</v>
          </cell>
          <cell r="D689" t="str">
            <v>60</v>
          </cell>
        </row>
        <row r="690">
          <cell r="A690" t="str">
            <v>C10994</v>
          </cell>
          <cell r="B690" t="str">
            <v>Organization</v>
          </cell>
          <cell r="C690" t="str">
            <v>LABORT FINE CHEM PVT. LTD</v>
          </cell>
          <cell r="D690" t="str">
            <v>0</v>
          </cell>
        </row>
        <row r="691">
          <cell r="A691" t="str">
            <v>C10998</v>
          </cell>
          <cell r="B691" t="str">
            <v>Organization</v>
          </cell>
          <cell r="C691" t="str">
            <v>LAWAS LUBE SPECIALITIES</v>
          </cell>
          <cell r="D691" t="str">
            <v>45</v>
          </cell>
        </row>
        <row r="692">
          <cell r="A692" t="str">
            <v>C10999</v>
          </cell>
          <cell r="B692" t="str">
            <v>Organization</v>
          </cell>
          <cell r="C692" t="str">
            <v>LAXMI ORGANIC INDUSTRIES LIMITED.</v>
          </cell>
          <cell r="D692" t="str">
            <v>60</v>
          </cell>
        </row>
        <row r="693">
          <cell r="A693" t="str">
            <v>C11003</v>
          </cell>
          <cell r="B693" t="str">
            <v>Organization</v>
          </cell>
          <cell r="C693" t="str">
            <v>LEO LUBRICANTS PVT. LTD</v>
          </cell>
          <cell r="D693" t="str">
            <v>30</v>
          </cell>
        </row>
        <row r="694">
          <cell r="A694" t="str">
            <v>C11004</v>
          </cell>
          <cell r="B694" t="str">
            <v>Organization</v>
          </cell>
          <cell r="C694" t="str">
            <v>LICENCE INDIA.COM</v>
          </cell>
          <cell r="D694" t="str">
            <v>1</v>
          </cell>
        </row>
        <row r="695">
          <cell r="A695" t="str">
            <v>C11007</v>
          </cell>
          <cell r="B695" t="str">
            <v>Organization</v>
          </cell>
          <cell r="C695" t="str">
            <v>LOBA CHEMIE PVT. LTD</v>
          </cell>
          <cell r="D695" t="str">
            <v>0</v>
          </cell>
        </row>
        <row r="696">
          <cell r="A696" t="str">
            <v>C11008</v>
          </cell>
          <cell r="B696" t="str">
            <v>Organization</v>
          </cell>
          <cell r="C696" t="str">
            <v>LOG-IN SYSTEMS</v>
          </cell>
          <cell r="D696" t="str">
            <v>1</v>
          </cell>
        </row>
        <row r="697">
          <cell r="A697" t="str">
            <v>C11009</v>
          </cell>
          <cell r="B697" t="str">
            <v>Organization</v>
          </cell>
          <cell r="C697" t="str">
            <v>LORDS CHLORO ALKALI LIMITED</v>
          </cell>
          <cell r="D697" t="str">
            <v>0</v>
          </cell>
        </row>
        <row r="698">
          <cell r="A698" t="str">
            <v>C11010</v>
          </cell>
          <cell r="B698" t="str">
            <v>Organization</v>
          </cell>
          <cell r="C698" t="str">
            <v>LRC SPECIALITY CHEMICALS PRIVATE LIMITED - NAVI MUMBAI</v>
          </cell>
          <cell r="D698" t="str">
            <v>30</v>
          </cell>
        </row>
        <row r="699">
          <cell r="A699" t="str">
            <v>C11013</v>
          </cell>
          <cell r="B699" t="str">
            <v>Organization</v>
          </cell>
          <cell r="C699" t="str">
            <v>LUBE OIL DISTRIBUTORS</v>
          </cell>
          <cell r="D699" t="str">
            <v>0</v>
          </cell>
        </row>
        <row r="700">
          <cell r="A700" t="str">
            <v>C11015</v>
          </cell>
          <cell r="B700" t="str">
            <v>Organization</v>
          </cell>
          <cell r="C700" t="str">
            <v>LUBRICHEM</v>
          </cell>
          <cell r="D700" t="str">
            <v>0</v>
          </cell>
        </row>
        <row r="701">
          <cell r="A701" t="str">
            <v>C11016</v>
          </cell>
          <cell r="B701" t="str">
            <v>Organization</v>
          </cell>
          <cell r="C701" t="str">
            <v>LUBROL PETROLEUM INDUSTRIES</v>
          </cell>
          <cell r="D701" t="str">
            <v>30</v>
          </cell>
        </row>
        <row r="702">
          <cell r="A702" t="str">
            <v>C11017</v>
          </cell>
          <cell r="B702" t="str">
            <v>Organization</v>
          </cell>
          <cell r="C702" t="str">
            <v>LUPIN LIMITED</v>
          </cell>
          <cell r="D702" t="str">
            <v>1</v>
          </cell>
        </row>
        <row r="703">
          <cell r="A703" t="str">
            <v>C11019</v>
          </cell>
          <cell r="B703" t="str">
            <v>Organization</v>
          </cell>
          <cell r="C703" t="str">
            <v>M. O. PHILLIPS INDUSTRIES</v>
          </cell>
          <cell r="D703" t="str">
            <v>1</v>
          </cell>
        </row>
        <row r="704">
          <cell r="A704" t="str">
            <v>C11020</v>
          </cell>
          <cell r="B704" t="str">
            <v>Organization</v>
          </cell>
          <cell r="C704" t="str">
            <v>M.N. SCRAP TRADERS</v>
          </cell>
          <cell r="D704" t="str">
            <v>1</v>
          </cell>
        </row>
        <row r="705">
          <cell r="A705" t="str">
            <v>C11022</v>
          </cell>
          <cell r="B705" t="str">
            <v>Organization</v>
          </cell>
          <cell r="C705" t="str">
            <v>MACHINO ENGINEERING</v>
          </cell>
          <cell r="D705" t="str">
            <v>1</v>
          </cell>
        </row>
        <row r="706">
          <cell r="A706" t="str">
            <v>C11025</v>
          </cell>
          <cell r="B706" t="str">
            <v>Organization</v>
          </cell>
          <cell r="C706" t="str">
            <v>MADHUBAN DRUMS &amp; BARRELS - MUMBAI</v>
          </cell>
          <cell r="D706" t="str">
            <v>30</v>
          </cell>
        </row>
        <row r="707">
          <cell r="A707" t="str">
            <v>C11028</v>
          </cell>
          <cell r="B707" t="str">
            <v>Organization</v>
          </cell>
          <cell r="C707" t="str">
            <v>MAGNA COLOURS (I) PVT. LTD - MUMBAI</v>
          </cell>
          <cell r="D707" t="str">
            <v>30</v>
          </cell>
        </row>
        <row r="708">
          <cell r="A708" t="str">
            <v>C11030</v>
          </cell>
          <cell r="B708" t="str">
            <v>Organization</v>
          </cell>
          <cell r="C708" t="str">
            <v>MAGNUM CHEMICALS</v>
          </cell>
          <cell r="D708" t="str">
            <v>60</v>
          </cell>
        </row>
        <row r="709">
          <cell r="A709" t="str">
            <v>C11031</v>
          </cell>
          <cell r="B709" t="str">
            <v>Organization</v>
          </cell>
          <cell r="C709" t="str">
            <v>MAGNUM OVERSEAS (INDIA)</v>
          </cell>
          <cell r="D709" t="str">
            <v>30</v>
          </cell>
        </row>
        <row r="710">
          <cell r="A710" t="str">
            <v>C11032</v>
          </cell>
          <cell r="B710" t="str">
            <v>Organization</v>
          </cell>
          <cell r="C710" t="str">
            <v>MAGNUM PIGMENTS &amp; POLYMERS PVT. LTD</v>
          </cell>
          <cell r="D710" t="str">
            <v>60</v>
          </cell>
        </row>
        <row r="711">
          <cell r="A711" t="str">
            <v>C11035</v>
          </cell>
          <cell r="B711" t="str">
            <v>Organization</v>
          </cell>
          <cell r="C711" t="str">
            <v>MAHAS ENTERPRISES</v>
          </cell>
          <cell r="D711" t="str">
            <v>1</v>
          </cell>
        </row>
        <row r="712">
          <cell r="A712" t="str">
            <v>C11036</v>
          </cell>
          <cell r="B712" t="str">
            <v>Organization</v>
          </cell>
          <cell r="C712" t="str">
            <v>MAHATHA PETROLEUM PRIVATE LIMITED</v>
          </cell>
          <cell r="D712" t="str">
            <v>60</v>
          </cell>
        </row>
        <row r="713">
          <cell r="A713" t="str">
            <v>C11037</v>
          </cell>
          <cell r="B713" t="str">
            <v>Organization</v>
          </cell>
          <cell r="C713" t="str">
            <v>MAHAVIR PLASTIC INDUSTRIES</v>
          </cell>
          <cell r="D713" t="str">
            <v>30</v>
          </cell>
        </row>
        <row r="714">
          <cell r="A714" t="str">
            <v>C11038</v>
          </cell>
          <cell r="B714" t="str">
            <v>Organization</v>
          </cell>
          <cell r="C714" t="str">
            <v>MAHENDRA FOOD PRODUCTS</v>
          </cell>
          <cell r="D714" t="str">
            <v>30</v>
          </cell>
        </row>
        <row r="715">
          <cell r="A715" t="str">
            <v>C11041</v>
          </cell>
          <cell r="B715" t="str">
            <v>Organization</v>
          </cell>
          <cell r="C715" t="str">
            <v>MALDAR BARRELS PVT. LTD.</v>
          </cell>
          <cell r="D715" t="str">
            <v>30</v>
          </cell>
        </row>
        <row r="716">
          <cell r="A716" t="str">
            <v>C11043</v>
          </cell>
          <cell r="B716" t="str">
            <v>Organization</v>
          </cell>
          <cell r="C716" t="str">
            <v>MALE INTERNATIONAL PVT. LTD</v>
          </cell>
          <cell r="D716" t="str">
            <v>0</v>
          </cell>
        </row>
        <row r="717">
          <cell r="A717" t="str">
            <v>C11045</v>
          </cell>
          <cell r="B717" t="str">
            <v>Organization</v>
          </cell>
          <cell r="C717" t="str">
            <v>MANAK PETROCHEM (INDIA)</v>
          </cell>
          <cell r="D717" t="str">
            <v>30</v>
          </cell>
        </row>
        <row r="718">
          <cell r="A718" t="str">
            <v>C11046</v>
          </cell>
          <cell r="B718" t="str">
            <v>Organization</v>
          </cell>
          <cell r="C718" t="str">
            <v>MANALI PETROCHEMICALS LTD</v>
          </cell>
          <cell r="D718" t="str">
            <v>30</v>
          </cell>
        </row>
        <row r="719">
          <cell r="A719" t="str">
            <v>C11048</v>
          </cell>
          <cell r="B719" t="str">
            <v>Organization</v>
          </cell>
          <cell r="C719" t="str">
            <v>MANDAR CHEMICALS</v>
          </cell>
          <cell r="D719" t="str">
            <v>1</v>
          </cell>
        </row>
        <row r="720">
          <cell r="A720" t="str">
            <v>C11052</v>
          </cell>
          <cell r="B720" t="str">
            <v>Organization</v>
          </cell>
          <cell r="C720" t="str">
            <v>MANISH TRADERS</v>
          </cell>
          <cell r="D720" t="str">
            <v>30</v>
          </cell>
        </row>
        <row r="721">
          <cell r="A721" t="str">
            <v>C11053</v>
          </cell>
          <cell r="B721" t="str">
            <v>Organization</v>
          </cell>
          <cell r="C721" t="str">
            <v>MANOJ ENTERPRISES - MURBAD</v>
          </cell>
          <cell r="D721" t="str">
            <v>1</v>
          </cell>
        </row>
        <row r="722">
          <cell r="A722" t="str">
            <v>C11054</v>
          </cell>
          <cell r="B722" t="str">
            <v>Organization</v>
          </cell>
          <cell r="C722" t="str">
            <v>MAPCO CORPORATION</v>
          </cell>
          <cell r="D722" t="str">
            <v>1</v>
          </cell>
        </row>
        <row r="723">
          <cell r="A723" t="str">
            <v>C11055</v>
          </cell>
          <cell r="B723" t="str">
            <v>Organization</v>
          </cell>
          <cell r="C723" t="str">
            <v>MARGO BIOCONTROLS PVT. LIMITED</v>
          </cell>
          <cell r="D723" t="str">
            <v>30</v>
          </cell>
        </row>
        <row r="724">
          <cell r="A724" t="str">
            <v>C11057</v>
          </cell>
          <cell r="B724" t="str">
            <v>Organization</v>
          </cell>
          <cell r="C724" t="str">
            <v>MARK SPECIALITY (INDIA) PVT. LTD</v>
          </cell>
          <cell r="D724" t="str">
            <v>30</v>
          </cell>
        </row>
        <row r="725">
          <cell r="A725" t="str">
            <v>C11060</v>
          </cell>
          <cell r="B725" t="str">
            <v>Organization</v>
          </cell>
          <cell r="C725" t="str">
            <v>MATRIX LABORATORIES LIMITED</v>
          </cell>
          <cell r="D725" t="str">
            <v>45</v>
          </cell>
        </row>
        <row r="726">
          <cell r="A726" t="str">
            <v>C11062</v>
          </cell>
          <cell r="B726" t="str">
            <v>Organization</v>
          </cell>
          <cell r="C726" t="str">
            <v>MAVANI AEROLUBES PVT. LTD</v>
          </cell>
          <cell r="D726" t="str">
            <v>45</v>
          </cell>
        </row>
        <row r="727">
          <cell r="A727" t="str">
            <v>C11064</v>
          </cell>
          <cell r="B727" t="str">
            <v>Organization</v>
          </cell>
          <cell r="C727" t="str">
            <v>MEDIGRAPH PHARMACEUTICALS PVT. LTD.</v>
          </cell>
          <cell r="D727" t="str">
            <v>1</v>
          </cell>
        </row>
        <row r="728">
          <cell r="A728" t="str">
            <v>C11066</v>
          </cell>
          <cell r="B728" t="str">
            <v>Organization</v>
          </cell>
          <cell r="C728" t="str">
            <v>MEGHMANI INDUSTRIES LTD.</v>
          </cell>
          <cell r="D728" t="str">
            <v>60</v>
          </cell>
        </row>
        <row r="729">
          <cell r="A729" t="str">
            <v>C11067</v>
          </cell>
          <cell r="B729" t="str">
            <v>Organization</v>
          </cell>
          <cell r="C729" t="str">
            <v>MEGHMANI ORGANICS LTD</v>
          </cell>
          <cell r="D729" t="str">
            <v>30</v>
          </cell>
        </row>
        <row r="730">
          <cell r="A730" t="str">
            <v>C11070</v>
          </cell>
          <cell r="B730" t="str">
            <v>Organization</v>
          </cell>
          <cell r="C730" t="str">
            <v>MEKAB ACRYLATES</v>
          </cell>
          <cell r="D730" t="str">
            <v>0</v>
          </cell>
        </row>
        <row r="731">
          <cell r="A731" t="str">
            <v>C11072</v>
          </cell>
          <cell r="B731" t="str">
            <v>Organization</v>
          </cell>
          <cell r="C731" t="str">
            <v>MERCK SPECIALITIES PVT LTD</v>
          </cell>
          <cell r="D731" t="str">
            <v>60</v>
          </cell>
        </row>
        <row r="732">
          <cell r="A732" t="str">
            <v>C11074</v>
          </cell>
          <cell r="B732" t="str">
            <v>Organization</v>
          </cell>
          <cell r="C732" t="str">
            <v>METRO FRAGRANCES &amp; CHEMICALS</v>
          </cell>
          <cell r="D732" t="str">
            <v>30</v>
          </cell>
        </row>
        <row r="733">
          <cell r="A733" t="str">
            <v>C11075</v>
          </cell>
          <cell r="B733" t="str">
            <v>Organization</v>
          </cell>
          <cell r="C733" t="str">
            <v>METROARK LIMITED</v>
          </cell>
          <cell r="D733" t="str">
            <v>30</v>
          </cell>
        </row>
        <row r="734">
          <cell r="A734" t="str">
            <v>C11076</v>
          </cell>
          <cell r="B734" t="str">
            <v>Organization</v>
          </cell>
          <cell r="C734" t="str">
            <v>MICRO INKS LTD</v>
          </cell>
          <cell r="D734" t="str">
            <v>60</v>
          </cell>
        </row>
        <row r="735">
          <cell r="A735" t="str">
            <v>C11079</v>
          </cell>
          <cell r="B735" t="str">
            <v>Organization</v>
          </cell>
          <cell r="C735" t="str">
            <v>MIRACHEM INDUSTRIES</v>
          </cell>
          <cell r="D735" t="str">
            <v>60</v>
          </cell>
        </row>
        <row r="736">
          <cell r="A736" t="str">
            <v>C11080</v>
          </cell>
          <cell r="B736" t="str">
            <v>Organization</v>
          </cell>
          <cell r="C736" t="str">
            <v>MITHILA RASAYAN PVT. LTD</v>
          </cell>
          <cell r="D736" t="str">
            <v>30</v>
          </cell>
        </row>
        <row r="737">
          <cell r="A737" t="str">
            <v>C11082</v>
          </cell>
          <cell r="B737" t="str">
            <v>Organization</v>
          </cell>
          <cell r="C737" t="str">
            <v>MIZORAM FOOD &amp; ALLIED INDS. CORPN.. LTD.</v>
          </cell>
          <cell r="D737" t="str">
            <v>30</v>
          </cell>
        </row>
        <row r="738">
          <cell r="A738" t="str">
            <v>C11083</v>
          </cell>
          <cell r="B738" t="str">
            <v>Organization</v>
          </cell>
          <cell r="C738" t="str">
            <v>MODEPRO INDIA PVT. LIMITED</v>
          </cell>
          <cell r="D738" t="str">
            <v>30</v>
          </cell>
        </row>
        <row r="739">
          <cell r="A739" t="str">
            <v>C11085</v>
          </cell>
          <cell r="B739" t="str">
            <v>Organization</v>
          </cell>
          <cell r="C739" t="str">
            <v>MODHERA CHEMICALS PVT. LTD</v>
          </cell>
          <cell r="D739" t="str">
            <v>30</v>
          </cell>
        </row>
        <row r="740">
          <cell r="A740" t="str">
            <v>C11086</v>
          </cell>
          <cell r="B740" t="str">
            <v>Organization</v>
          </cell>
          <cell r="C740" t="str">
            <v>MODI ALKALIES &amp; CHEM LTD (200)</v>
          </cell>
          <cell r="D740" t="str">
            <v>60</v>
          </cell>
        </row>
        <row r="741">
          <cell r="A741" t="str">
            <v>C11087</v>
          </cell>
          <cell r="B741" t="str">
            <v>Organization</v>
          </cell>
          <cell r="C741" t="str">
            <v>MOLYCHEM</v>
          </cell>
          <cell r="D741" t="str">
            <v>0</v>
          </cell>
        </row>
        <row r="742">
          <cell r="A742" t="str">
            <v>C11089</v>
          </cell>
          <cell r="B742" t="str">
            <v>Organization</v>
          </cell>
          <cell r="C742" t="str">
            <v>MONISHA CORP PVT LTD.</v>
          </cell>
          <cell r="D742" t="str">
            <v>60</v>
          </cell>
        </row>
        <row r="743">
          <cell r="A743" t="str">
            <v>C11092</v>
          </cell>
          <cell r="B743" t="str">
            <v>Organization</v>
          </cell>
          <cell r="C743" t="str">
            <v>MONTARI INDUSTRIES LTD.</v>
          </cell>
          <cell r="D743" t="str">
            <v>30</v>
          </cell>
        </row>
        <row r="744">
          <cell r="A744" t="str">
            <v>C11093</v>
          </cell>
          <cell r="B744" t="str">
            <v>Organization</v>
          </cell>
          <cell r="C744" t="str">
            <v>MOONFLOWER OIL SPICES</v>
          </cell>
          <cell r="D744" t="str">
            <v>1</v>
          </cell>
        </row>
        <row r="745">
          <cell r="A745" t="str">
            <v>C11095</v>
          </cell>
          <cell r="B745" t="str">
            <v>Organization</v>
          </cell>
          <cell r="C745" t="str">
            <v>MOREX PETROCHEM LIMITED</v>
          </cell>
          <cell r="D745" t="str">
            <v>60</v>
          </cell>
        </row>
        <row r="746">
          <cell r="A746" t="str">
            <v>C11096</v>
          </cell>
          <cell r="B746" t="str">
            <v>Organization</v>
          </cell>
          <cell r="C746" t="str">
            <v>MORSON CHEMICAL INDUSTRIES</v>
          </cell>
          <cell r="D746" t="str">
            <v>30</v>
          </cell>
        </row>
        <row r="747">
          <cell r="A747" t="str">
            <v>C11097</v>
          </cell>
          <cell r="B747" t="str">
            <v>Organization</v>
          </cell>
          <cell r="C747" t="str">
            <v>MORSON CHEMICALS INDUSTRIES (200)</v>
          </cell>
          <cell r="D747" t="str">
            <v>7</v>
          </cell>
        </row>
        <row r="748">
          <cell r="A748" t="str">
            <v>C11098</v>
          </cell>
          <cell r="B748" t="str">
            <v>Organization</v>
          </cell>
          <cell r="C748" t="str">
            <v>MOSIL LUBRICANTS P. LTD</v>
          </cell>
          <cell r="D748" t="str">
            <v>30</v>
          </cell>
        </row>
        <row r="749">
          <cell r="A749" t="str">
            <v>C11099</v>
          </cell>
          <cell r="B749" t="str">
            <v>Organization</v>
          </cell>
          <cell r="C749" t="str">
            <v>MR. V.R. CHANDORKAR</v>
          </cell>
          <cell r="D749" t="str">
            <v>30</v>
          </cell>
        </row>
        <row r="750">
          <cell r="A750" t="str">
            <v>C11100</v>
          </cell>
          <cell r="B750" t="str">
            <v>Organization</v>
          </cell>
          <cell r="C750" t="str">
            <v>MR. SAHEBRAO G. DHEKALE</v>
          </cell>
          <cell r="D750" t="str">
            <v>1</v>
          </cell>
        </row>
        <row r="751">
          <cell r="A751" t="str">
            <v>C11101</v>
          </cell>
          <cell r="B751" t="str">
            <v>Organization</v>
          </cell>
          <cell r="C751" t="str">
            <v>MRT INDIA PVT. LTD.</v>
          </cell>
          <cell r="D751" t="str">
            <v>30</v>
          </cell>
        </row>
        <row r="752">
          <cell r="A752" t="str">
            <v>C11106</v>
          </cell>
          <cell r="B752" t="str">
            <v>Organization</v>
          </cell>
          <cell r="C752" t="str">
            <v>NAGARJUNA AGRICHEM LTD</v>
          </cell>
          <cell r="D752" t="str">
            <v>30</v>
          </cell>
        </row>
        <row r="753">
          <cell r="A753" t="str">
            <v>C11107</v>
          </cell>
          <cell r="B753" t="str">
            <v>Organization</v>
          </cell>
          <cell r="C753" t="str">
            <v>NAGARJUNA AGRO &amp; STEEL CORPORATION</v>
          </cell>
          <cell r="D753" t="str">
            <v>30</v>
          </cell>
        </row>
        <row r="754">
          <cell r="A754" t="str">
            <v>C11108</v>
          </cell>
          <cell r="B754" t="str">
            <v>Organization</v>
          </cell>
          <cell r="C754" t="str">
            <v>NAKHUA POLY-CONTAINERS PVT. LTD.,</v>
          </cell>
          <cell r="D754" t="str">
            <v>30</v>
          </cell>
        </row>
        <row r="755">
          <cell r="A755" t="str">
            <v>C11111</v>
          </cell>
          <cell r="B755" t="str">
            <v>Organization</v>
          </cell>
          <cell r="C755" t="str">
            <v>NANDAN PETROCHEM LIMITED</v>
          </cell>
          <cell r="D755" t="str">
            <v>45</v>
          </cell>
        </row>
        <row r="756">
          <cell r="A756" t="str">
            <v>C11115</v>
          </cell>
          <cell r="B756" t="str">
            <v>Organization</v>
          </cell>
          <cell r="C756" t="str">
            <v>NARENDRA D. GHADSHI</v>
          </cell>
          <cell r="D756" t="str">
            <v>1</v>
          </cell>
        </row>
        <row r="757">
          <cell r="A757" t="str">
            <v>C11116</v>
          </cell>
          <cell r="B757" t="str">
            <v>Organization</v>
          </cell>
          <cell r="C757" t="str">
            <v>NATIONAL ADHESIVE &amp; POLYMERS</v>
          </cell>
          <cell r="D757" t="str">
            <v>60</v>
          </cell>
        </row>
        <row r="758">
          <cell r="A758" t="str">
            <v>C11119</v>
          </cell>
          <cell r="B758" t="str">
            <v>Organization</v>
          </cell>
          <cell r="C758" t="str">
            <v>NATIONAL PETRO CHEMICALS</v>
          </cell>
          <cell r="D758" t="str">
            <v>1</v>
          </cell>
        </row>
        <row r="759">
          <cell r="A759" t="str">
            <v>C11120</v>
          </cell>
          <cell r="B759" t="str">
            <v>Organization</v>
          </cell>
          <cell r="C759" t="str">
            <v>NATL TECHNOLOGIES LTD</v>
          </cell>
          <cell r="D759" t="str">
            <v>60</v>
          </cell>
        </row>
        <row r="760">
          <cell r="A760" t="str">
            <v>C11121</v>
          </cell>
          <cell r="B760" t="str">
            <v>Organization</v>
          </cell>
          <cell r="C760" t="str">
            <v>NATURAL FLAVORS &amp; FRAGRANCES</v>
          </cell>
          <cell r="D760" t="str">
            <v>30</v>
          </cell>
        </row>
        <row r="761">
          <cell r="A761" t="str">
            <v>C11122</v>
          </cell>
          <cell r="B761" t="str">
            <v>Organization</v>
          </cell>
          <cell r="C761" t="str">
            <v>NAVDEEP CHEMICALS PVT. LTD</v>
          </cell>
          <cell r="D761" t="str">
            <v>30</v>
          </cell>
        </row>
        <row r="762">
          <cell r="A762" t="str">
            <v>C11125</v>
          </cell>
          <cell r="B762" t="str">
            <v>Organization</v>
          </cell>
          <cell r="C762" t="str">
            <v>NAVYUG PHARMACHEM PRIVATE LIMITED</v>
          </cell>
          <cell r="D762" t="str">
            <v>30</v>
          </cell>
        </row>
        <row r="763">
          <cell r="A763" t="str">
            <v>C11126</v>
          </cell>
          <cell r="B763" t="str">
            <v>Organization</v>
          </cell>
          <cell r="C763" t="str">
            <v>NAYAKEM ORGANICS PVT. LTD.</v>
          </cell>
          <cell r="D763" t="str">
            <v>60</v>
          </cell>
        </row>
        <row r="764">
          <cell r="A764" t="str">
            <v>C11127</v>
          </cell>
          <cell r="B764" t="str">
            <v>Organization</v>
          </cell>
          <cell r="C764" t="str">
            <v>NAZARETH METALS</v>
          </cell>
          <cell r="D764" t="str">
            <v>1</v>
          </cell>
        </row>
        <row r="765">
          <cell r="A765" t="str">
            <v>C11128</v>
          </cell>
          <cell r="B765" t="str">
            <v>Organization</v>
          </cell>
          <cell r="C765" t="str">
            <v>NEELAM PLASTIC SCRAP</v>
          </cell>
          <cell r="D765" t="str">
            <v>1</v>
          </cell>
        </row>
        <row r="766">
          <cell r="A766" t="str">
            <v>C11129</v>
          </cell>
          <cell r="B766" t="str">
            <v>Organization</v>
          </cell>
          <cell r="C766" t="str">
            <v>NEEMCCO CHEMICAL DIVISION</v>
          </cell>
          <cell r="D766" t="str">
            <v>1</v>
          </cell>
        </row>
        <row r="767">
          <cell r="A767" t="str">
            <v>C11130</v>
          </cell>
          <cell r="B767" t="str">
            <v>Organization</v>
          </cell>
          <cell r="C767" t="str">
            <v>NEHA ENTERPRISES</v>
          </cell>
          <cell r="D767" t="str">
            <v>1</v>
          </cell>
        </row>
        <row r="768">
          <cell r="A768" t="str">
            <v>C11132</v>
          </cell>
          <cell r="B768" t="str">
            <v>Organization</v>
          </cell>
          <cell r="C768" t="str">
            <v>NEO PETCON (INDIA) PVT. LTD</v>
          </cell>
          <cell r="D768" t="str">
            <v>45</v>
          </cell>
        </row>
        <row r="769">
          <cell r="A769" t="str">
            <v>C11134</v>
          </cell>
          <cell r="B769" t="str">
            <v>Organization</v>
          </cell>
          <cell r="C769" t="str">
            <v>NEUTRON IMPEX P. LTD</v>
          </cell>
          <cell r="D769" t="str">
            <v>30</v>
          </cell>
        </row>
        <row r="770">
          <cell r="A770" t="str">
            <v>C11136</v>
          </cell>
          <cell r="B770" t="str">
            <v>Organization</v>
          </cell>
          <cell r="C770" t="str">
            <v>NEW AMBADI ESTATES PVT. LIMITED</v>
          </cell>
          <cell r="D770" t="str">
            <v>1</v>
          </cell>
        </row>
        <row r="771">
          <cell r="A771" t="str">
            <v>C11139</v>
          </cell>
          <cell r="B771" t="str">
            <v>Organization</v>
          </cell>
          <cell r="C771" t="str">
            <v>NICE CHEMICALS (P) LTD</v>
          </cell>
          <cell r="D771" t="str">
            <v>0</v>
          </cell>
        </row>
        <row r="772">
          <cell r="A772" t="str">
            <v>C11143</v>
          </cell>
          <cell r="B772" t="str">
            <v>Organization</v>
          </cell>
          <cell r="C772" t="str">
            <v>NIRVIK EXPORTS PVT. LTD</v>
          </cell>
          <cell r="D772" t="str">
            <v>60</v>
          </cell>
        </row>
        <row r="773">
          <cell r="A773" t="str">
            <v>C11144</v>
          </cell>
          <cell r="B773" t="str">
            <v>Organization</v>
          </cell>
          <cell r="C773" t="str">
            <v>NISHANT AROMAS</v>
          </cell>
          <cell r="D773" t="str">
            <v>1</v>
          </cell>
        </row>
        <row r="774">
          <cell r="A774" t="str">
            <v>C11147</v>
          </cell>
          <cell r="B774" t="str">
            <v>Organization</v>
          </cell>
          <cell r="C774" t="str">
            <v>NITIN TRADERS         (200)</v>
          </cell>
          <cell r="D774" t="str">
            <v>30</v>
          </cell>
        </row>
        <row r="775">
          <cell r="A775" t="str">
            <v>C11151</v>
          </cell>
          <cell r="B775" t="str">
            <v>Organization</v>
          </cell>
          <cell r="C775" t="str">
            <v>NLC NALCO INDIA LIMITED</v>
          </cell>
          <cell r="D775" t="str">
            <v>30</v>
          </cell>
        </row>
        <row r="776">
          <cell r="A776" t="str">
            <v>C11152</v>
          </cell>
          <cell r="B776" t="str">
            <v>Organization</v>
          </cell>
          <cell r="C776" t="str">
            <v>NOBLE ENGINEERS</v>
          </cell>
          <cell r="D776" t="str">
            <v>1</v>
          </cell>
        </row>
        <row r="777">
          <cell r="A777" t="str">
            <v>C11158</v>
          </cell>
          <cell r="B777" t="str">
            <v>Organization</v>
          </cell>
          <cell r="C777" t="str">
            <v>NOVODIGM LIMITED</v>
          </cell>
          <cell r="D777" t="str">
            <v>1</v>
          </cell>
        </row>
        <row r="778">
          <cell r="A778" t="str">
            <v>C11160</v>
          </cell>
          <cell r="B778" t="str">
            <v>Organization</v>
          </cell>
          <cell r="C778" t="str">
            <v>NUTRA PLUS PRODUCTS (INDIA), TARAPUR</v>
          </cell>
          <cell r="D778" t="str">
            <v>1</v>
          </cell>
        </row>
        <row r="779">
          <cell r="A779" t="str">
            <v>C11162</v>
          </cell>
          <cell r="B779" t="str">
            <v>Organization</v>
          </cell>
          <cell r="C779" t="str">
            <v>OCEAN PETROSPECIALITIES PVT. LTD</v>
          </cell>
          <cell r="D779" t="str">
            <v>1</v>
          </cell>
        </row>
        <row r="780">
          <cell r="A780" t="str">
            <v>C11163</v>
          </cell>
          <cell r="B780" t="str">
            <v>Organization</v>
          </cell>
          <cell r="C780" t="str">
            <v>OIKOS INDIA PVT. LTD.</v>
          </cell>
          <cell r="D780" t="str">
            <v>1</v>
          </cell>
        </row>
        <row r="781">
          <cell r="A781" t="str">
            <v>C11164</v>
          </cell>
          <cell r="B781" t="str">
            <v>Organization</v>
          </cell>
          <cell r="C781" t="str">
            <v>OIL AND NATURAL GAS CORPORATION LTD.</v>
          </cell>
          <cell r="D781" t="str">
            <v>1</v>
          </cell>
        </row>
        <row r="782">
          <cell r="A782" t="str">
            <v>C11165</v>
          </cell>
          <cell r="B782" t="str">
            <v>Organization</v>
          </cell>
          <cell r="C782" t="str">
            <v>OILTECH LUBRICANTS PVT. LTD.</v>
          </cell>
          <cell r="D782" t="str">
            <v>0</v>
          </cell>
        </row>
        <row r="783">
          <cell r="A783" t="str">
            <v>C11169</v>
          </cell>
          <cell r="B783" t="str">
            <v>Organization</v>
          </cell>
          <cell r="C783" t="str">
            <v>OMKAR ENTERPRISES</v>
          </cell>
          <cell r="D783" t="str">
            <v>1</v>
          </cell>
        </row>
        <row r="784">
          <cell r="A784" t="str">
            <v>C11170</v>
          </cell>
          <cell r="B784" t="str">
            <v>Organization</v>
          </cell>
          <cell r="C784" t="str">
            <v>OMKAR FINE ORGANICS PVT. LTD.</v>
          </cell>
          <cell r="D784" t="str">
            <v>45</v>
          </cell>
        </row>
        <row r="785">
          <cell r="A785" t="str">
            <v>C11171</v>
          </cell>
          <cell r="B785" t="str">
            <v>Organization</v>
          </cell>
          <cell r="C785" t="str">
            <v>OMKAR PROCESSORS</v>
          </cell>
          <cell r="D785" t="str">
            <v>1</v>
          </cell>
        </row>
        <row r="786">
          <cell r="A786" t="str">
            <v>C11172</v>
          </cell>
          <cell r="B786" t="str">
            <v>Organization</v>
          </cell>
          <cell r="C786" t="str">
            <v>OMKAR SPECIALITY AND CHEMICALS PVT. LTD</v>
          </cell>
          <cell r="D786" t="str">
            <v>1</v>
          </cell>
        </row>
        <row r="787">
          <cell r="A787" t="str">
            <v>C11173</v>
          </cell>
          <cell r="B787" t="str">
            <v>Organization</v>
          </cell>
          <cell r="C787" t="str">
            <v>OMNI ACTIVE HEALTH TECHNOLOGIES PVT. LTD</v>
          </cell>
          <cell r="D787" t="str">
            <v>0</v>
          </cell>
        </row>
        <row r="788">
          <cell r="A788" t="str">
            <v>C11176</v>
          </cell>
          <cell r="B788" t="str">
            <v>Organization</v>
          </cell>
          <cell r="C788" t="str">
            <v>ONS</v>
          </cell>
          <cell r="D788" t="str">
            <v>1</v>
          </cell>
        </row>
        <row r="789">
          <cell r="A789" t="str">
            <v>C11178</v>
          </cell>
          <cell r="B789" t="str">
            <v>Organization</v>
          </cell>
          <cell r="C789" t="str">
            <v>ORNATE PACKERS</v>
          </cell>
          <cell r="D789" t="str">
            <v>30</v>
          </cell>
        </row>
        <row r="790">
          <cell r="A790" t="str">
            <v>C11180</v>
          </cell>
          <cell r="B790" t="str">
            <v>Organization</v>
          </cell>
          <cell r="C790" t="str">
            <v>OXEECO TECHNOLOGIES PVT. LTD</v>
          </cell>
          <cell r="D790" t="str">
            <v>15</v>
          </cell>
        </row>
        <row r="791">
          <cell r="A791" t="str">
            <v>C11182</v>
          </cell>
          <cell r="B791" t="str">
            <v>Organization</v>
          </cell>
          <cell r="C791" t="str">
            <v>P.J. MARGO PVT. LIMITED</v>
          </cell>
          <cell r="D791" t="str">
            <v>30</v>
          </cell>
        </row>
        <row r="792">
          <cell r="A792" t="str">
            <v>C11183</v>
          </cell>
          <cell r="B792" t="str">
            <v>Organization</v>
          </cell>
          <cell r="C792" t="str">
            <v>PACIFIC CHEMICALS</v>
          </cell>
          <cell r="D792" t="str">
            <v>30</v>
          </cell>
        </row>
        <row r="793">
          <cell r="A793" t="str">
            <v>C11184</v>
          </cell>
          <cell r="B793" t="str">
            <v>Organization</v>
          </cell>
          <cell r="C793" t="str">
            <v>PACIFIC ORGANICS PVT. LTD.</v>
          </cell>
          <cell r="D793" t="str">
            <v>45</v>
          </cell>
        </row>
        <row r="794">
          <cell r="A794" t="str">
            <v>C11186</v>
          </cell>
          <cell r="B794" t="str">
            <v>Organization</v>
          </cell>
          <cell r="C794" t="str">
            <v>PANAMA  PETROCHEM LTD.</v>
          </cell>
          <cell r="D794" t="str">
            <v>7</v>
          </cell>
        </row>
        <row r="795">
          <cell r="A795" t="str">
            <v>C11189</v>
          </cell>
          <cell r="B795" t="str">
            <v>Organization</v>
          </cell>
          <cell r="C795" t="str">
            <v>PAPRICA OLEOS (INDIA) LTD.</v>
          </cell>
          <cell r="D795" t="str">
            <v>0</v>
          </cell>
        </row>
        <row r="796">
          <cell r="A796" t="str">
            <v>C11192</v>
          </cell>
          <cell r="B796" t="str">
            <v>Organization</v>
          </cell>
          <cell r="C796" t="str">
            <v>PARAS LUBRICANTS LIMITED</v>
          </cell>
          <cell r="D796" t="str">
            <v>30</v>
          </cell>
        </row>
        <row r="797">
          <cell r="A797" t="str">
            <v>C11196</v>
          </cell>
          <cell r="B797" t="str">
            <v>Organization</v>
          </cell>
          <cell r="C797" t="str">
            <v>PATHOZYME DIAGNOSTICS</v>
          </cell>
          <cell r="D797" t="str">
            <v>1</v>
          </cell>
        </row>
        <row r="798">
          <cell r="A798" t="str">
            <v>C11197</v>
          </cell>
          <cell r="B798" t="str">
            <v>Organization</v>
          </cell>
          <cell r="C798" t="str">
            <v>PAX ENTERPRISE PVT. LTD.</v>
          </cell>
          <cell r="D798" t="str">
            <v>30</v>
          </cell>
        </row>
        <row r="799">
          <cell r="A799" t="str">
            <v>C11198</v>
          </cell>
          <cell r="B799" t="str">
            <v>Organization</v>
          </cell>
          <cell r="C799" t="str">
            <v>PCP CHEMICALS PVT. LTD.</v>
          </cell>
          <cell r="D799" t="str">
            <v>60</v>
          </cell>
        </row>
        <row r="800">
          <cell r="A800" t="str">
            <v>C11199</v>
          </cell>
          <cell r="B800" t="str">
            <v>Organization</v>
          </cell>
          <cell r="C800" t="str">
            <v>PENNAR CHEMICALS LTD.</v>
          </cell>
          <cell r="D800" t="str">
            <v>1</v>
          </cell>
        </row>
        <row r="801">
          <cell r="A801" t="str">
            <v>C11202</v>
          </cell>
          <cell r="B801" t="str">
            <v>Organization</v>
          </cell>
          <cell r="C801" t="str">
            <v>PENSOL INDUSTRIES LIMITED</v>
          </cell>
          <cell r="D801" t="str">
            <v>15</v>
          </cell>
        </row>
        <row r="802">
          <cell r="A802" t="str">
            <v>C11204</v>
          </cell>
          <cell r="B802" t="str">
            <v>Organization</v>
          </cell>
          <cell r="C802" t="str">
            <v>PENTAGON LUBRICANTS (INDIA) PRIVATE LIMITED</v>
          </cell>
          <cell r="D802" t="str">
            <v>30</v>
          </cell>
        </row>
        <row r="803">
          <cell r="A803" t="str">
            <v>C11205</v>
          </cell>
          <cell r="B803" t="str">
            <v>Organization</v>
          </cell>
          <cell r="C803" t="str">
            <v>PEPSICO INDIA HOLDINGS PVT. LIMITED - CHANNAO</v>
          </cell>
          <cell r="D803" t="str">
            <v>45</v>
          </cell>
        </row>
        <row r="804">
          <cell r="A804" t="str">
            <v>C11206</v>
          </cell>
          <cell r="B804" t="str">
            <v>Organization</v>
          </cell>
          <cell r="C804" t="str">
            <v>PEPSICO INDIA HOLDINGS PVT. LIMITED - TUTICORIN</v>
          </cell>
          <cell r="D804" t="str">
            <v>45</v>
          </cell>
        </row>
        <row r="805">
          <cell r="A805" t="str">
            <v>C11207</v>
          </cell>
          <cell r="B805" t="str">
            <v>Organization</v>
          </cell>
          <cell r="C805" t="str">
            <v>PERFECT COLOURANTS &amp; PLASTICS PVT. LTD</v>
          </cell>
          <cell r="D805" t="str">
            <v>1</v>
          </cell>
        </row>
        <row r="806">
          <cell r="A806" t="str">
            <v>C11210</v>
          </cell>
          <cell r="B806" t="str">
            <v>Organization</v>
          </cell>
          <cell r="C806" t="str">
            <v>PERMA CONSTRUCTION AIDS PRIVATE LIMITED</v>
          </cell>
          <cell r="D806" t="str">
            <v>30</v>
          </cell>
        </row>
        <row r="807">
          <cell r="A807" t="str">
            <v>C11212</v>
          </cell>
          <cell r="B807" t="str">
            <v>Organization</v>
          </cell>
          <cell r="C807" t="str">
            <v>PETROLUBE INDIA  LTD</v>
          </cell>
          <cell r="D807" t="str">
            <v>30</v>
          </cell>
        </row>
        <row r="808">
          <cell r="A808" t="str">
            <v>C11213</v>
          </cell>
          <cell r="B808" t="str">
            <v>Organization</v>
          </cell>
          <cell r="C808" t="str">
            <v>PETRONA LUBRICANTS (I) PVT LTD.</v>
          </cell>
          <cell r="D808" t="str">
            <v>30</v>
          </cell>
        </row>
        <row r="809">
          <cell r="A809" t="str">
            <v>C11218</v>
          </cell>
          <cell r="B809" t="str">
            <v>Organization</v>
          </cell>
          <cell r="C809" t="str">
            <v>PIDILITE INDUSTRIES LIMITED - ANDHERI</v>
          </cell>
          <cell r="D809" t="str">
            <v>60</v>
          </cell>
        </row>
        <row r="810">
          <cell r="A810" t="str">
            <v>C11219</v>
          </cell>
          <cell r="B810" t="str">
            <v>Organization</v>
          </cell>
          <cell r="C810" t="str">
            <v>PITAMBARI PRODUCTS P LTD</v>
          </cell>
          <cell r="D810" t="str">
            <v>0</v>
          </cell>
        </row>
        <row r="811">
          <cell r="A811" t="str">
            <v>C11220</v>
          </cell>
          <cell r="B811" t="str">
            <v>Organization</v>
          </cell>
          <cell r="C811" t="str">
            <v>PITAMBARI PRODUCTS PVT. LTD</v>
          </cell>
          <cell r="D811" t="str">
            <v>0</v>
          </cell>
        </row>
        <row r="812">
          <cell r="A812" t="str">
            <v>C11222</v>
          </cell>
          <cell r="B812" t="str">
            <v>Organization</v>
          </cell>
          <cell r="C812" t="str">
            <v>PLANT LIPIDS PRIVATE LTD.</v>
          </cell>
          <cell r="D812" t="str">
            <v>30</v>
          </cell>
        </row>
        <row r="813">
          <cell r="A813" t="str">
            <v>C11224</v>
          </cell>
          <cell r="B813" t="str">
            <v>Organization</v>
          </cell>
          <cell r="C813" t="str">
            <v>PLANTEX AGRO PRODUCTS (P) LIMITED</v>
          </cell>
          <cell r="D813" t="str">
            <v>0</v>
          </cell>
        </row>
        <row r="814">
          <cell r="A814" t="str">
            <v>C11225</v>
          </cell>
          <cell r="B814" t="str">
            <v>Organization</v>
          </cell>
          <cell r="C814" t="str">
            <v>PLAS BARRELS (INDIA) PVT. LTD</v>
          </cell>
          <cell r="D814" t="str">
            <v>1</v>
          </cell>
        </row>
        <row r="815">
          <cell r="A815" t="str">
            <v>C11228</v>
          </cell>
          <cell r="B815" t="str">
            <v>Organization</v>
          </cell>
          <cell r="C815" t="str">
            <v>POLYGEL  INDUSTRIES PVT.  LTD.</v>
          </cell>
          <cell r="D815" t="str">
            <v>30</v>
          </cell>
        </row>
        <row r="816">
          <cell r="A816" t="str">
            <v>C11232</v>
          </cell>
          <cell r="B816" t="str">
            <v>Organization</v>
          </cell>
          <cell r="C816" t="str">
            <v>POWERZONE</v>
          </cell>
          <cell r="D816" t="str">
            <v>30</v>
          </cell>
        </row>
        <row r="817">
          <cell r="A817" t="str">
            <v>C11239</v>
          </cell>
          <cell r="B817" t="str">
            <v>Organization</v>
          </cell>
          <cell r="C817" t="str">
            <v>PRATHMESH DYE CHEM PVT. LTD.</v>
          </cell>
          <cell r="D817" t="str">
            <v>0</v>
          </cell>
        </row>
        <row r="818">
          <cell r="A818" t="str">
            <v>C11241</v>
          </cell>
          <cell r="B818" t="str">
            <v>Organization</v>
          </cell>
          <cell r="C818" t="str">
            <v>PRATISTA INDUSTRIES LIMITED</v>
          </cell>
          <cell r="D818" t="str">
            <v>1</v>
          </cell>
        </row>
        <row r="819">
          <cell r="A819" t="str">
            <v>C11242</v>
          </cell>
          <cell r="B819" t="str">
            <v>Organization</v>
          </cell>
          <cell r="C819" t="str">
            <v>PREMIER CARGO MOVERS</v>
          </cell>
          <cell r="D819" t="str">
            <v>1</v>
          </cell>
        </row>
        <row r="820">
          <cell r="A820" t="str">
            <v>C11243</v>
          </cell>
          <cell r="B820" t="str">
            <v>Organization</v>
          </cell>
          <cell r="C820" t="str">
            <v>PREMIER GRINDERS &amp; PACKERS LTD.</v>
          </cell>
          <cell r="D820" t="str">
            <v>30</v>
          </cell>
        </row>
        <row r="821">
          <cell r="A821" t="str">
            <v>C11244</v>
          </cell>
          <cell r="B821" t="str">
            <v>Organization</v>
          </cell>
          <cell r="C821" t="str">
            <v>E-CON PACKAGING PVT. LTD - WADALA</v>
          </cell>
          <cell r="D821" t="str">
            <v>90</v>
          </cell>
        </row>
        <row r="822">
          <cell r="A822" t="str">
            <v>C11247</v>
          </cell>
          <cell r="B822" t="str">
            <v>Organization</v>
          </cell>
          <cell r="C822" t="str">
            <v>PRIDE PETROCHEM</v>
          </cell>
          <cell r="D822" t="str">
            <v>1</v>
          </cell>
        </row>
        <row r="823">
          <cell r="A823" t="str">
            <v>C11248</v>
          </cell>
          <cell r="B823" t="str">
            <v>Organization</v>
          </cell>
          <cell r="C823" t="str">
            <v>PRIME SYNTHOMERS</v>
          </cell>
          <cell r="D823" t="str">
            <v>1</v>
          </cell>
        </row>
        <row r="824">
          <cell r="A824" t="str">
            <v>C11250</v>
          </cell>
          <cell r="B824" t="str">
            <v>Organization</v>
          </cell>
          <cell r="C824" t="str">
            <v>PRIVI ORGANICS PVT. LTD.</v>
          </cell>
          <cell r="D824" t="str">
            <v>60</v>
          </cell>
        </row>
        <row r="825">
          <cell r="A825" t="str">
            <v>C11251</v>
          </cell>
          <cell r="B825" t="str">
            <v>Organization</v>
          </cell>
          <cell r="C825" t="str">
            <v>PRIYA ENTERPRISES</v>
          </cell>
          <cell r="D825" t="str">
            <v>1</v>
          </cell>
        </row>
        <row r="826">
          <cell r="A826" t="str">
            <v>C11252</v>
          </cell>
          <cell r="B826" t="str">
            <v>Organization</v>
          </cell>
          <cell r="C826" t="str">
            <v>PROAQUA TECHNOLOGIES</v>
          </cell>
          <cell r="D826" t="str">
            <v>1</v>
          </cell>
        </row>
        <row r="827">
          <cell r="A827" t="str">
            <v>C11253</v>
          </cell>
          <cell r="B827" t="str">
            <v>Organization</v>
          </cell>
          <cell r="C827" t="str">
            <v>PROFESSIONAL POLYMERS</v>
          </cell>
          <cell r="D827" t="str">
            <v>60</v>
          </cell>
        </row>
        <row r="828">
          <cell r="A828" t="str">
            <v>C11254</v>
          </cell>
          <cell r="B828" t="str">
            <v>Organization</v>
          </cell>
          <cell r="C828" t="str">
            <v>PROGRESSIVE CULTIVATOR'S GROUP</v>
          </cell>
          <cell r="D828" t="str">
            <v>1</v>
          </cell>
        </row>
        <row r="829">
          <cell r="A829" t="str">
            <v>C11255</v>
          </cell>
          <cell r="B829" t="str">
            <v>Organization</v>
          </cell>
          <cell r="C829" t="str">
            <v>PROGRESSIVE EARTH MOVERS ENGINEERS</v>
          </cell>
          <cell r="D829" t="str">
            <v>1</v>
          </cell>
        </row>
        <row r="830">
          <cell r="A830" t="str">
            <v>C11256</v>
          </cell>
          <cell r="B830" t="str">
            <v>Organization</v>
          </cell>
          <cell r="C830" t="str">
            <v>PROLIFIC PURE SPECIALITY CHEMICALS PVT. LTD</v>
          </cell>
          <cell r="D830" t="str">
            <v>30</v>
          </cell>
        </row>
        <row r="831">
          <cell r="A831" t="str">
            <v>C11257</v>
          </cell>
          <cell r="B831" t="str">
            <v>Organization</v>
          </cell>
          <cell r="C831" t="str">
            <v>PROTOCHEM INDUSTRIES (INDIA) LTD. - MUMBAI</v>
          </cell>
          <cell r="D831" t="str">
            <v>30</v>
          </cell>
        </row>
        <row r="832">
          <cell r="A832" t="str">
            <v>C11258</v>
          </cell>
          <cell r="B832" t="str">
            <v>Organization</v>
          </cell>
          <cell r="C832" t="str">
            <v>PRUDENT NATURAL PRODUCTS PVT. LTD.</v>
          </cell>
          <cell r="D832" t="str">
            <v>30</v>
          </cell>
        </row>
        <row r="833">
          <cell r="A833" t="str">
            <v>C11259</v>
          </cell>
          <cell r="B833" t="str">
            <v>Organization</v>
          </cell>
          <cell r="C833" t="str">
            <v>PT. TOTAL OIL INDONESIA</v>
          </cell>
          <cell r="D833" t="str">
            <v>30</v>
          </cell>
        </row>
        <row r="834">
          <cell r="A834" t="str">
            <v>C11261</v>
          </cell>
          <cell r="B834" t="str">
            <v>Organization</v>
          </cell>
          <cell r="C834" t="str">
            <v>PURATOS FOOD INGREDIENTS INDIA PRIVATE LIMITED</v>
          </cell>
          <cell r="D834" t="str">
            <v>1</v>
          </cell>
        </row>
        <row r="835">
          <cell r="A835" t="str">
            <v>C11264</v>
          </cell>
          <cell r="B835" t="str">
            <v>Organization</v>
          </cell>
          <cell r="C835" t="str">
            <v>QUALIKEMS FINE CHEM PVT. LTD.</v>
          </cell>
          <cell r="D835" t="str">
            <v>30</v>
          </cell>
        </row>
        <row r="836">
          <cell r="A836" t="str">
            <v>C11265</v>
          </cell>
          <cell r="B836" t="str">
            <v>Organization</v>
          </cell>
          <cell r="C836" t="str">
            <v>QUALITY CHEMICAL INDUSTRIES</v>
          </cell>
          <cell r="D836" t="str">
            <v>1</v>
          </cell>
        </row>
        <row r="837">
          <cell r="A837" t="str">
            <v>C11266</v>
          </cell>
          <cell r="B837" t="str">
            <v>Organization</v>
          </cell>
          <cell r="C837" t="str">
            <v>QUALITY PRODUCTS (INDIA)</v>
          </cell>
          <cell r="D837" t="str">
            <v>1</v>
          </cell>
        </row>
        <row r="838">
          <cell r="A838" t="str">
            <v>C11268</v>
          </cell>
          <cell r="B838" t="str">
            <v>Organization</v>
          </cell>
          <cell r="C838" t="str">
            <v>QUINN INTERNATIONAL LTD.</v>
          </cell>
          <cell r="D838" t="str">
            <v>45</v>
          </cell>
        </row>
        <row r="839">
          <cell r="A839" t="str">
            <v>C11269</v>
          </cell>
          <cell r="B839" t="str">
            <v>Organization</v>
          </cell>
          <cell r="C839" t="str">
            <v>R. L. CHEMICAL INDUSTRIES PVT. LTD.</v>
          </cell>
          <cell r="D839" t="str">
            <v>0</v>
          </cell>
        </row>
        <row r="840">
          <cell r="A840" t="str">
            <v>C11271</v>
          </cell>
          <cell r="B840" t="str">
            <v>Organization</v>
          </cell>
          <cell r="C840" t="str">
            <v>R.G. INDUSTRIES</v>
          </cell>
          <cell r="D840" t="str">
            <v>30</v>
          </cell>
        </row>
        <row r="841">
          <cell r="A841" t="str">
            <v>C11274</v>
          </cell>
          <cell r="B841" t="str">
            <v>Organization</v>
          </cell>
          <cell r="C841" t="str">
            <v>R.N. LABORATORIES PVT. LTD.</v>
          </cell>
          <cell r="D841" t="str">
            <v>30</v>
          </cell>
        </row>
        <row r="842">
          <cell r="A842" t="str">
            <v>C11275</v>
          </cell>
          <cell r="B842" t="str">
            <v>Organization</v>
          </cell>
          <cell r="C842" t="str">
            <v>R.S. ENTERPRISES</v>
          </cell>
          <cell r="D842" t="str">
            <v>30</v>
          </cell>
        </row>
        <row r="843">
          <cell r="A843" t="str">
            <v>C11277</v>
          </cell>
          <cell r="B843" t="str">
            <v>Organization</v>
          </cell>
          <cell r="C843" t="str">
            <v>RACHNA CHEMICALS</v>
          </cell>
          <cell r="D843" t="str">
            <v>60</v>
          </cell>
        </row>
        <row r="844">
          <cell r="A844" t="str">
            <v>C11278</v>
          </cell>
          <cell r="B844" t="str">
            <v>Organization</v>
          </cell>
          <cell r="C844" t="str">
            <v>RADIANT CHEMICAL</v>
          </cell>
          <cell r="D844" t="str">
            <v>1</v>
          </cell>
        </row>
        <row r="845">
          <cell r="A845" t="str">
            <v>C11280</v>
          </cell>
          <cell r="B845" t="str">
            <v>Organization</v>
          </cell>
          <cell r="C845" t="str">
            <v>RAHUL DYES &amp; CHEMICAL INDUSTRIES</v>
          </cell>
          <cell r="D845" t="str">
            <v>1</v>
          </cell>
        </row>
        <row r="846">
          <cell r="A846" t="str">
            <v>C11282</v>
          </cell>
          <cell r="B846" t="str">
            <v>Organization</v>
          </cell>
          <cell r="C846" t="str">
            <v>RAINBOW  INKS  &amp;  CHEMICALS</v>
          </cell>
          <cell r="D846" t="str">
            <v>0</v>
          </cell>
        </row>
        <row r="847">
          <cell r="A847" t="str">
            <v>C11283</v>
          </cell>
          <cell r="B847" t="str">
            <v>Organization</v>
          </cell>
          <cell r="C847" t="str">
            <v>RAJ ENTERPRISES</v>
          </cell>
          <cell r="D847" t="str">
            <v>1</v>
          </cell>
        </row>
        <row r="848">
          <cell r="A848" t="str">
            <v>C11284</v>
          </cell>
          <cell r="B848" t="str">
            <v>Organization</v>
          </cell>
          <cell r="C848" t="str">
            <v>RAJ LUBRICANTS (CHENNAI) LTD</v>
          </cell>
          <cell r="D848" t="str">
            <v>30</v>
          </cell>
        </row>
        <row r="849">
          <cell r="A849" t="str">
            <v>C11285</v>
          </cell>
          <cell r="B849" t="str">
            <v>Organization</v>
          </cell>
          <cell r="C849" t="str">
            <v>RAJ PETRO SPECIALITIES PVT. LTD. - MUMBAI</v>
          </cell>
          <cell r="D849" t="str">
            <v>45</v>
          </cell>
        </row>
        <row r="850">
          <cell r="A850" t="str">
            <v>C11287</v>
          </cell>
          <cell r="B850" t="str">
            <v>Organization</v>
          </cell>
          <cell r="C850" t="str">
            <v>RAJ TRADING CO.</v>
          </cell>
          <cell r="D850" t="str">
            <v>1</v>
          </cell>
        </row>
        <row r="851">
          <cell r="A851" t="str">
            <v>C11288</v>
          </cell>
          <cell r="B851" t="str">
            <v>Organization</v>
          </cell>
          <cell r="C851" t="str">
            <v>RAJAPALAIYAM SPINTEXT</v>
          </cell>
          <cell r="D851" t="str">
            <v>30</v>
          </cell>
        </row>
        <row r="852">
          <cell r="A852" t="str">
            <v>C11289</v>
          </cell>
          <cell r="B852" t="str">
            <v>Organization</v>
          </cell>
          <cell r="C852" t="str">
            <v>RAJAPALAIYAM TEXTILES</v>
          </cell>
          <cell r="D852" t="str">
            <v>1</v>
          </cell>
        </row>
        <row r="853">
          <cell r="A853" t="str">
            <v>C11291</v>
          </cell>
          <cell r="B853" t="str">
            <v>Organization</v>
          </cell>
          <cell r="C853" t="str">
            <v>RAJENDRA DINKAR SURVEY</v>
          </cell>
          <cell r="D853" t="str">
            <v>0</v>
          </cell>
        </row>
        <row r="854">
          <cell r="A854" t="str">
            <v>C11292</v>
          </cell>
          <cell r="B854" t="str">
            <v>Organization</v>
          </cell>
          <cell r="C854" t="str">
            <v>RAJENDRA ELECTRICAL HARDWARE &amp; GEN. STORE</v>
          </cell>
          <cell r="D854" t="str">
            <v>30</v>
          </cell>
        </row>
        <row r="855">
          <cell r="A855" t="str">
            <v>C11295</v>
          </cell>
          <cell r="B855" t="str">
            <v>Organization</v>
          </cell>
          <cell r="C855" t="str">
            <v>RAK  AGENCIES</v>
          </cell>
          <cell r="D855" t="str">
            <v>60</v>
          </cell>
        </row>
        <row r="856">
          <cell r="A856" t="str">
            <v>C11296</v>
          </cell>
          <cell r="B856" t="str">
            <v>Organization</v>
          </cell>
          <cell r="C856" t="str">
            <v>RALCHEM LIMITED.(200)</v>
          </cell>
          <cell r="D856" t="str">
            <v>30</v>
          </cell>
        </row>
        <row r="857">
          <cell r="A857" t="str">
            <v>C11297</v>
          </cell>
          <cell r="B857" t="str">
            <v>Organization</v>
          </cell>
          <cell r="C857" t="str">
            <v>RALLIS INDIA LTD. (AGRO CHEMICAL DIV.)</v>
          </cell>
          <cell r="D857" t="str">
            <v>30</v>
          </cell>
        </row>
        <row r="858">
          <cell r="A858" t="str">
            <v>C11299</v>
          </cell>
          <cell r="B858" t="str">
            <v>Organization</v>
          </cell>
          <cell r="C858" t="str">
            <v>RASHTRIYA CHEMICALS &amp; FERTILIZERS LIMITED</v>
          </cell>
          <cell r="D858" t="str">
            <v>30</v>
          </cell>
        </row>
        <row r="859">
          <cell r="A859" t="str">
            <v>C11301</v>
          </cell>
          <cell r="B859" t="str">
            <v>Organization</v>
          </cell>
          <cell r="C859" t="str">
            <v>RBP TECHNOLOGY (INDIA) PVT. LTD</v>
          </cell>
          <cell r="D859" t="str">
            <v>60</v>
          </cell>
        </row>
        <row r="860">
          <cell r="A860" t="str">
            <v>C11304</v>
          </cell>
          <cell r="B860" t="str">
            <v>Organization</v>
          </cell>
          <cell r="C860" t="str">
            <v>REDX AUTOLUBE PVT. LTD.</v>
          </cell>
          <cell r="D860" t="str">
            <v>1</v>
          </cell>
        </row>
        <row r="861">
          <cell r="A861" t="str">
            <v>C11306</v>
          </cell>
          <cell r="B861" t="str">
            <v>Organization</v>
          </cell>
          <cell r="C861" t="str">
            <v>REFNOL RESINS &amp; CHEMICALS LIMITED</v>
          </cell>
          <cell r="D861" t="str">
            <v>45</v>
          </cell>
        </row>
        <row r="862">
          <cell r="A862" t="str">
            <v>C11307</v>
          </cell>
          <cell r="B862" t="str">
            <v>Organization</v>
          </cell>
          <cell r="C862" t="str">
            <v>RELIANCE INDUSTRIES LIMITED - WORLI</v>
          </cell>
          <cell r="D862" t="str">
            <v>0</v>
          </cell>
        </row>
        <row r="863">
          <cell r="A863" t="str">
            <v>C11308</v>
          </cell>
          <cell r="B863" t="str">
            <v>Organization</v>
          </cell>
          <cell r="C863" t="str">
            <v>RELIANCE INDUSTRIES LIMITED - RAY ROAD</v>
          </cell>
          <cell r="D863" t="str">
            <v>30</v>
          </cell>
        </row>
        <row r="864">
          <cell r="A864" t="str">
            <v>C11309</v>
          </cell>
          <cell r="B864" t="str">
            <v>Organization</v>
          </cell>
          <cell r="C864" t="str">
            <v>RELIANCE PETRO MARKETING PVT. LTD</v>
          </cell>
          <cell r="D864" t="str">
            <v>30</v>
          </cell>
        </row>
        <row r="865">
          <cell r="A865" t="str">
            <v>C11311</v>
          </cell>
          <cell r="B865" t="str">
            <v>Organization</v>
          </cell>
          <cell r="C865" t="str">
            <v>RENCAL CHEMICALS (I) LTD.</v>
          </cell>
          <cell r="D865" t="str">
            <v>60</v>
          </cell>
        </row>
        <row r="866">
          <cell r="A866" t="str">
            <v>C11314</v>
          </cell>
          <cell r="B866" t="str">
            <v>Organization</v>
          </cell>
          <cell r="C866" t="str">
            <v>RESIL CHEMICALS PVT. LTD..</v>
          </cell>
          <cell r="D866" t="str">
            <v>30</v>
          </cell>
        </row>
        <row r="867">
          <cell r="A867" t="str">
            <v>C11316</v>
          </cell>
          <cell r="B867" t="str">
            <v>Organization</v>
          </cell>
          <cell r="C867" t="str">
            <v>RFCL-BHARAT DYCHEM INDUSTRIES</v>
          </cell>
          <cell r="D867" t="str">
            <v>0</v>
          </cell>
        </row>
        <row r="868">
          <cell r="A868" t="str">
            <v>C11320</v>
          </cell>
          <cell r="B868" t="str">
            <v>Organization</v>
          </cell>
          <cell r="C868" t="str">
            <v>RIDDHI SIDDHI GLUCO BIOLS LTD - AHMEDABAD</v>
          </cell>
          <cell r="D868" t="str">
            <v>30</v>
          </cell>
        </row>
        <row r="869">
          <cell r="A869" t="str">
            <v>C11321</v>
          </cell>
          <cell r="B869" t="str">
            <v>Organization</v>
          </cell>
          <cell r="C869" t="str">
            <v>RIDDHI SIDDHI GLUCO BIOLS LTD - GOKAK</v>
          </cell>
          <cell r="D869" t="str">
            <v>45</v>
          </cell>
        </row>
        <row r="870">
          <cell r="A870" t="str">
            <v>C11322</v>
          </cell>
          <cell r="B870" t="str">
            <v>Organization</v>
          </cell>
          <cell r="C870" t="str">
            <v>RIKO CHEMICALS PVT. LTD.</v>
          </cell>
          <cell r="D870" t="str">
            <v>30</v>
          </cell>
        </row>
        <row r="871">
          <cell r="A871" t="str">
            <v>C11324</v>
          </cell>
          <cell r="B871" t="str">
            <v>Organization</v>
          </cell>
          <cell r="C871" t="str">
            <v>RISHABH METALS &amp; CHEMICALS PVT. LTD</v>
          </cell>
          <cell r="D871" t="str">
            <v>60</v>
          </cell>
        </row>
        <row r="872">
          <cell r="A872" t="str">
            <v>C11325</v>
          </cell>
          <cell r="B872" t="str">
            <v>Organization</v>
          </cell>
          <cell r="C872" t="str">
            <v>ROCHAN TRADERS</v>
          </cell>
          <cell r="D872" t="str">
            <v>1</v>
          </cell>
        </row>
        <row r="873">
          <cell r="A873" t="str">
            <v>C11326</v>
          </cell>
          <cell r="B873" t="str">
            <v>Organization</v>
          </cell>
          <cell r="C873" t="str">
            <v>ROCHEM (INDIA) PVT. LTD - VASAI</v>
          </cell>
          <cell r="D873" t="str">
            <v>1</v>
          </cell>
        </row>
        <row r="874">
          <cell r="A874" t="str">
            <v>C11327</v>
          </cell>
          <cell r="B874" t="str">
            <v>Organization</v>
          </cell>
          <cell r="C874" t="str">
            <v>ROCHEM (INDIA) PVT. LTD. - BANDRA</v>
          </cell>
          <cell r="D874" t="str">
            <v>1</v>
          </cell>
        </row>
        <row r="875">
          <cell r="A875" t="str">
            <v>C11328</v>
          </cell>
          <cell r="B875" t="str">
            <v>Organization</v>
          </cell>
          <cell r="C875" t="str">
            <v>ROGHAN SANATI JONUB CO.</v>
          </cell>
          <cell r="D875" t="str">
            <v>1</v>
          </cell>
        </row>
        <row r="876">
          <cell r="A876" t="str">
            <v>C11330</v>
          </cell>
          <cell r="B876" t="str">
            <v>Organization</v>
          </cell>
          <cell r="C876" t="str">
            <v>ROHM AND HAAS (INDIA) PVT. LTD</v>
          </cell>
          <cell r="D876" t="str">
            <v>1</v>
          </cell>
        </row>
        <row r="877">
          <cell r="A877" t="str">
            <v>C11331</v>
          </cell>
          <cell r="B877" t="str">
            <v>Organization</v>
          </cell>
          <cell r="C877" t="str">
            <v>ROL-EX PRODUCTS</v>
          </cell>
          <cell r="D877" t="str">
            <v>1</v>
          </cell>
        </row>
        <row r="878">
          <cell r="A878" t="str">
            <v>C11333</v>
          </cell>
          <cell r="B878" t="str">
            <v>Organization</v>
          </cell>
          <cell r="C878" t="str">
            <v>ROSE IMPEX</v>
          </cell>
          <cell r="D878" t="str">
            <v>1</v>
          </cell>
        </row>
        <row r="879">
          <cell r="A879" t="str">
            <v>C11337</v>
          </cell>
          <cell r="B879" t="str">
            <v>Organization</v>
          </cell>
          <cell r="C879" t="str">
            <v>RSM SALES</v>
          </cell>
          <cell r="D879" t="str">
            <v>1</v>
          </cell>
        </row>
        <row r="880">
          <cell r="A880" t="str">
            <v>C11338</v>
          </cell>
          <cell r="B880" t="str">
            <v>Organization</v>
          </cell>
          <cell r="C880" t="str">
            <v>RUNA CHEMICALS PVT. LTD</v>
          </cell>
          <cell r="D880" t="str">
            <v>0</v>
          </cell>
        </row>
        <row r="881">
          <cell r="A881" t="str">
            <v>C11339</v>
          </cell>
          <cell r="B881" t="str">
            <v>Organization</v>
          </cell>
          <cell r="C881" t="str">
            <v>RX CLEANSERS</v>
          </cell>
          <cell r="D881" t="str">
            <v>30</v>
          </cell>
        </row>
        <row r="882">
          <cell r="A882" t="str">
            <v>C11340</v>
          </cell>
          <cell r="B882" t="str">
            <v>Organization</v>
          </cell>
          <cell r="C882" t="str">
            <v>RX MARINE INTERNATIONAL</v>
          </cell>
          <cell r="D882" t="str">
            <v>30</v>
          </cell>
        </row>
        <row r="883">
          <cell r="A883" t="str">
            <v>C11341</v>
          </cell>
          <cell r="B883" t="str">
            <v>Organization</v>
          </cell>
          <cell r="C883" t="str">
            <v>S &amp; D AROMA INDIA PVT. LTD.</v>
          </cell>
          <cell r="D883" t="str">
            <v>1</v>
          </cell>
        </row>
        <row r="884">
          <cell r="A884" t="str">
            <v>C11342</v>
          </cell>
          <cell r="B884" t="str">
            <v>Organization</v>
          </cell>
          <cell r="C884" t="str">
            <v>S &amp; S INDUSTRIES AND ENTERPRISES LTD.</v>
          </cell>
          <cell r="D884" t="str">
            <v>30</v>
          </cell>
        </row>
        <row r="885">
          <cell r="A885" t="str">
            <v>C11345</v>
          </cell>
          <cell r="B885" t="str">
            <v>Organization</v>
          </cell>
          <cell r="C885" t="str">
            <v>S.C.J. COLOURANTS</v>
          </cell>
          <cell r="D885" t="str">
            <v>1</v>
          </cell>
        </row>
        <row r="886">
          <cell r="A886" t="str">
            <v>C11346</v>
          </cell>
          <cell r="B886" t="str">
            <v>Organization</v>
          </cell>
          <cell r="C886" t="str">
            <v>S.D. FINE CHEM LIMITED</v>
          </cell>
          <cell r="D886" t="str">
            <v>90</v>
          </cell>
        </row>
        <row r="887">
          <cell r="A887" t="str">
            <v>C11348</v>
          </cell>
          <cell r="B887" t="str">
            <v>Organization</v>
          </cell>
          <cell r="C887" t="str">
            <v>S.H. KELKAR &amp; COMPANY PVT. LTD..</v>
          </cell>
          <cell r="D887" t="str">
            <v>30</v>
          </cell>
        </row>
        <row r="888">
          <cell r="A888" t="str">
            <v>C11349</v>
          </cell>
          <cell r="B888" t="str">
            <v>Organization</v>
          </cell>
          <cell r="C888" t="str">
            <v>S.K. FORMULATION</v>
          </cell>
          <cell r="D888" t="str">
            <v>0</v>
          </cell>
        </row>
        <row r="889">
          <cell r="A889" t="str">
            <v>C11351</v>
          </cell>
          <cell r="B889" t="str">
            <v>Organization</v>
          </cell>
          <cell r="C889" t="str">
            <v>S.M. MACHINES PVT. LTD..</v>
          </cell>
          <cell r="D889" t="str">
            <v>1</v>
          </cell>
        </row>
        <row r="890">
          <cell r="A890" t="str">
            <v>C11353</v>
          </cell>
          <cell r="B890" t="str">
            <v>Organization</v>
          </cell>
          <cell r="C890" t="str">
            <v>S.P. CHEMICAL INDUSTRIES</v>
          </cell>
          <cell r="D890" t="str">
            <v>1</v>
          </cell>
        </row>
        <row r="891">
          <cell r="A891" t="str">
            <v>C11354</v>
          </cell>
          <cell r="B891" t="str">
            <v>Organization</v>
          </cell>
          <cell r="C891" t="str">
            <v>S.R. DRUGS &amp; INTERMEDIATES PVT. LTD</v>
          </cell>
          <cell r="D891" t="str">
            <v>60</v>
          </cell>
        </row>
        <row r="892">
          <cell r="A892" t="str">
            <v>C11356</v>
          </cell>
          <cell r="B892" t="str">
            <v>Organization</v>
          </cell>
          <cell r="C892" t="str">
            <v>S.S. ENGINEERING</v>
          </cell>
          <cell r="D892" t="str">
            <v>1</v>
          </cell>
        </row>
        <row r="893">
          <cell r="A893" t="str">
            <v>C11357</v>
          </cell>
          <cell r="B893" t="str">
            <v>Organization</v>
          </cell>
          <cell r="C893" t="str">
            <v>S.S. ENGINEERS</v>
          </cell>
          <cell r="D893" t="str">
            <v>45</v>
          </cell>
        </row>
        <row r="894">
          <cell r="A894" t="str">
            <v>C11358</v>
          </cell>
          <cell r="B894" t="str">
            <v>Organization</v>
          </cell>
          <cell r="C894" t="str">
            <v>S.V.P. CHEMICALS P. LTD</v>
          </cell>
          <cell r="D894" t="str">
            <v>45</v>
          </cell>
        </row>
        <row r="895">
          <cell r="A895" t="str">
            <v>C11361</v>
          </cell>
          <cell r="B895" t="str">
            <v>Organization</v>
          </cell>
          <cell r="C895" t="str">
            <v>SABERO ORGANICS GUJARAT LTD. - MUMBAI</v>
          </cell>
          <cell r="D895" t="str">
            <v>90</v>
          </cell>
        </row>
        <row r="896">
          <cell r="A896" t="str">
            <v>C11362</v>
          </cell>
          <cell r="B896" t="str">
            <v>Organization</v>
          </cell>
          <cell r="C896" t="str">
            <v>SADANA NITRO CHEM LTD</v>
          </cell>
          <cell r="D896" t="str">
            <v>30</v>
          </cell>
        </row>
        <row r="897">
          <cell r="A897" t="str">
            <v>C11363</v>
          </cell>
          <cell r="B897" t="str">
            <v>Organization</v>
          </cell>
          <cell r="C897" t="str">
            <v>SADDLE IMPEX PRIVATE LIMITED</v>
          </cell>
          <cell r="D897" t="str">
            <v>1</v>
          </cell>
        </row>
        <row r="898">
          <cell r="A898" t="str">
            <v>C11367</v>
          </cell>
          <cell r="B898" t="str">
            <v>Organization</v>
          </cell>
          <cell r="C898" t="str">
            <v>SAIBA TRADING COMPANY</v>
          </cell>
          <cell r="D898" t="str">
            <v>30</v>
          </cell>
        </row>
        <row r="899">
          <cell r="A899" t="str">
            <v>C11368</v>
          </cell>
          <cell r="B899" t="str">
            <v>Organization</v>
          </cell>
          <cell r="C899" t="str">
            <v>SAIPER CHEMICALS PVT. LTD</v>
          </cell>
          <cell r="D899" t="str">
            <v>0</v>
          </cell>
        </row>
        <row r="900">
          <cell r="A900" t="str">
            <v>C11369</v>
          </cell>
          <cell r="B900" t="str">
            <v>Organization</v>
          </cell>
          <cell r="C900" t="str">
            <v>SAKATA INX (INDIA) LIMITED</v>
          </cell>
          <cell r="D900" t="str">
            <v>30</v>
          </cell>
        </row>
        <row r="901">
          <cell r="A901" t="str">
            <v>C11370</v>
          </cell>
          <cell r="B901" t="str">
            <v>Organization</v>
          </cell>
          <cell r="C901" t="str">
            <v>SAKTHI SUGARS LTD</v>
          </cell>
          <cell r="D901" t="str">
            <v>90</v>
          </cell>
        </row>
        <row r="902">
          <cell r="A902" t="str">
            <v>C11371</v>
          </cell>
          <cell r="B902" t="str">
            <v>Organization</v>
          </cell>
          <cell r="C902" t="str">
            <v>SALICYLATES &amp; CHEMICALS PVT. LTD. - MUMBAI</v>
          </cell>
          <cell r="D902" t="str">
            <v>0</v>
          </cell>
        </row>
        <row r="903">
          <cell r="A903" t="str">
            <v>C11372</v>
          </cell>
          <cell r="B903" t="str">
            <v>Organization</v>
          </cell>
          <cell r="C903" t="str">
            <v>SALICYLATES &amp; CHEMICALS PVT. LTD. - HYDERABAD</v>
          </cell>
          <cell r="D903" t="str">
            <v>0</v>
          </cell>
        </row>
        <row r="904">
          <cell r="A904" t="str">
            <v>C11373</v>
          </cell>
          <cell r="B904" t="str">
            <v>Organization</v>
          </cell>
          <cell r="C904" t="str">
            <v>SAM FINECHEM LIMITED</v>
          </cell>
          <cell r="D904" t="str">
            <v>0</v>
          </cell>
        </row>
        <row r="905">
          <cell r="A905" t="str">
            <v>C11376</v>
          </cell>
          <cell r="B905" t="str">
            <v>Organization</v>
          </cell>
          <cell r="C905" t="str">
            <v>SAMI LABS LIMITED - BANGALORE</v>
          </cell>
          <cell r="D905" t="str">
            <v>60</v>
          </cell>
        </row>
        <row r="906">
          <cell r="A906" t="str">
            <v>C11377</v>
          </cell>
          <cell r="B906" t="str">
            <v>Organization</v>
          </cell>
          <cell r="C906" t="str">
            <v>SAMI LABS LIMITED  - HYDERABAD</v>
          </cell>
          <cell r="D906" t="str">
            <v>0</v>
          </cell>
        </row>
        <row r="907">
          <cell r="A907" t="str">
            <v>C11378</v>
          </cell>
          <cell r="B907" t="str">
            <v>Organization</v>
          </cell>
          <cell r="C907" t="str">
            <v>SAMIR TECH-CHEM PVT. LTD..</v>
          </cell>
          <cell r="D907" t="str">
            <v>30</v>
          </cell>
        </row>
        <row r="908">
          <cell r="A908" t="str">
            <v>C11379</v>
          </cell>
          <cell r="B908" t="str">
            <v>Organization</v>
          </cell>
          <cell r="C908" t="str">
            <v>SAMIRAN UDYOG</v>
          </cell>
          <cell r="D908" t="str">
            <v>30</v>
          </cell>
        </row>
        <row r="909">
          <cell r="A909" t="str">
            <v>C11380</v>
          </cell>
          <cell r="B909" t="str">
            <v>Organization</v>
          </cell>
          <cell r="C909" t="str">
            <v>SAMPRO ORGANIC RESEARCH LABORATORIES</v>
          </cell>
          <cell r="D909" t="str">
            <v>1</v>
          </cell>
        </row>
        <row r="910">
          <cell r="A910" t="str">
            <v>C11381</v>
          </cell>
          <cell r="B910" t="str">
            <v>Organization</v>
          </cell>
          <cell r="C910" t="str">
            <v>SANDOZ INDIA LTD.</v>
          </cell>
          <cell r="D910" t="str">
            <v>30</v>
          </cell>
        </row>
        <row r="911">
          <cell r="A911" t="str">
            <v>C11384</v>
          </cell>
          <cell r="B911" t="str">
            <v>Organization</v>
          </cell>
          <cell r="C911" t="str">
            <v>SANTOSH MAIZE &amp; INDUSTRIES LTD.</v>
          </cell>
          <cell r="D911" t="str">
            <v>30</v>
          </cell>
        </row>
        <row r="912">
          <cell r="A912" t="str">
            <v>C11385</v>
          </cell>
          <cell r="B912" t="str">
            <v>Organization</v>
          </cell>
          <cell r="C912" t="str">
            <v>SANYUG SYNTHETICS PVT. LTD</v>
          </cell>
          <cell r="D912" t="str">
            <v>1</v>
          </cell>
        </row>
        <row r="913">
          <cell r="A913" t="str">
            <v>C11387</v>
          </cell>
          <cell r="B913" t="str">
            <v>Organization</v>
          </cell>
          <cell r="C913" t="str">
            <v>SARAJ ENGINEERING SERVICES</v>
          </cell>
          <cell r="D913" t="str">
            <v>1</v>
          </cell>
        </row>
        <row r="914">
          <cell r="A914" t="str">
            <v>C11388</v>
          </cell>
          <cell r="B914" t="str">
            <v>Organization</v>
          </cell>
          <cell r="C914" t="str">
            <v>SARAL CHEM INDUSTRIES PVT. LTD</v>
          </cell>
          <cell r="D914" t="str">
            <v>1</v>
          </cell>
        </row>
        <row r="915">
          <cell r="A915" t="str">
            <v>C11389</v>
          </cell>
          <cell r="B915" t="str">
            <v>Organization</v>
          </cell>
          <cell r="C915" t="str">
            <v>SARAOGI POLY BARRELS PVT. LTD..</v>
          </cell>
          <cell r="D915" t="str">
            <v>30</v>
          </cell>
        </row>
        <row r="916">
          <cell r="A916" t="str">
            <v>C11390</v>
          </cell>
          <cell r="B916" t="str">
            <v>Organization</v>
          </cell>
          <cell r="C916" t="str">
            <v>SARBI PETROLEUM &amp; CHEMICALS PVT. LTD.</v>
          </cell>
          <cell r="D916" t="str">
            <v>1</v>
          </cell>
        </row>
        <row r="917">
          <cell r="A917" t="str">
            <v>C11395</v>
          </cell>
          <cell r="B917" t="str">
            <v>Organization</v>
          </cell>
          <cell r="C917" t="str">
            <v>SATURN PETROCHEMICALS PVT. LTD</v>
          </cell>
          <cell r="D917" t="str">
            <v>0</v>
          </cell>
        </row>
        <row r="918">
          <cell r="A918" t="str">
            <v>C11396</v>
          </cell>
          <cell r="B918" t="str">
            <v>Organization</v>
          </cell>
          <cell r="C918" t="str">
            <v>SATWIK DRUGS LIMITED.</v>
          </cell>
          <cell r="D918" t="str">
            <v>1</v>
          </cell>
        </row>
        <row r="919">
          <cell r="A919" t="str">
            <v>C11398</v>
          </cell>
          <cell r="B919" t="str">
            <v>Organization</v>
          </cell>
          <cell r="C919" t="str">
            <v>SAUDI ARABIAN PACKAGING INDUSTRY WLL</v>
          </cell>
          <cell r="D919" t="str">
            <v>1</v>
          </cell>
        </row>
        <row r="920">
          <cell r="A920" t="str">
            <v>C11402</v>
          </cell>
          <cell r="B920" t="str">
            <v>Organization</v>
          </cell>
          <cell r="C920" t="str">
            <v>SAVITA OIL TECHNOLOGIES  LIMITED - MAHAPE</v>
          </cell>
          <cell r="D920" t="str">
            <v>30</v>
          </cell>
        </row>
        <row r="921">
          <cell r="A921" t="str">
            <v>C11403</v>
          </cell>
          <cell r="B921" t="str">
            <v>Organization</v>
          </cell>
          <cell r="C921" t="str">
            <v>SAYAJI SETHNESS LIMITED</v>
          </cell>
          <cell r="D921" t="str">
            <v>30</v>
          </cell>
        </row>
        <row r="922">
          <cell r="A922" t="str">
            <v>C11405</v>
          </cell>
          <cell r="B922" t="str">
            <v>Organization</v>
          </cell>
          <cell r="C922" t="str">
            <v>SCCI INDIA PVT. LTD. - DELHI</v>
          </cell>
          <cell r="D922" t="str">
            <v>15</v>
          </cell>
        </row>
        <row r="923">
          <cell r="A923" t="str">
            <v>C11407</v>
          </cell>
          <cell r="B923" t="str">
            <v>Organization</v>
          </cell>
          <cell r="C923" t="str">
            <v>SCHOELLER TECHNOLOGIES INDIA PVT. LTD.</v>
          </cell>
          <cell r="D923" t="str">
            <v>1</v>
          </cell>
        </row>
        <row r="924">
          <cell r="A924" t="str">
            <v>C11408</v>
          </cell>
          <cell r="B924" t="str">
            <v>Organization</v>
          </cell>
          <cell r="C924" t="str">
            <v>SCIENTIFIC PRECISION PVT. LTD</v>
          </cell>
          <cell r="D924" t="str">
            <v>30</v>
          </cell>
        </row>
        <row r="925">
          <cell r="A925" t="str">
            <v>C11409</v>
          </cell>
          <cell r="B925" t="str">
            <v>Organization</v>
          </cell>
          <cell r="C925" t="str">
            <v>SEAL TECH SALES CORPORATION</v>
          </cell>
          <cell r="D925" t="str">
            <v>1</v>
          </cell>
        </row>
        <row r="926">
          <cell r="A926" t="str">
            <v>C11412</v>
          </cell>
          <cell r="B926" t="str">
            <v>Organization</v>
          </cell>
          <cell r="C926" t="str">
            <v>SEETA ELECTRICAL WORKS</v>
          </cell>
          <cell r="D926" t="str">
            <v>1</v>
          </cell>
        </row>
        <row r="927">
          <cell r="A927" t="str">
            <v>C11413</v>
          </cell>
          <cell r="B927" t="str">
            <v>Organization</v>
          </cell>
          <cell r="C927" t="str">
            <v>SELVAM CONTAINERS PRIVATE LIMITED</v>
          </cell>
          <cell r="D927" t="str">
            <v>1</v>
          </cell>
        </row>
        <row r="928">
          <cell r="A928" t="str">
            <v>C11414</v>
          </cell>
          <cell r="B928" t="str">
            <v>Organization</v>
          </cell>
          <cell r="C928" t="str">
            <v>SELVAM CONTAINERS PVT. LTD.,</v>
          </cell>
          <cell r="D928" t="str">
            <v>30</v>
          </cell>
        </row>
        <row r="929">
          <cell r="A929" t="str">
            <v>C11415</v>
          </cell>
          <cell r="B929" t="str">
            <v>Organization</v>
          </cell>
          <cell r="C929" t="str">
            <v>SEPTODONT HEALTHCARE INDIA P. LTD</v>
          </cell>
          <cell r="D929" t="str">
            <v>0</v>
          </cell>
        </row>
        <row r="930">
          <cell r="A930" t="str">
            <v>C11416</v>
          </cell>
          <cell r="B930" t="str">
            <v>Organization</v>
          </cell>
          <cell r="C930" t="str">
            <v>SETCO CHEMICALS (I) PVT. LTD.</v>
          </cell>
          <cell r="D930" t="str">
            <v>75</v>
          </cell>
        </row>
        <row r="931">
          <cell r="A931" t="str">
            <v>C11417</v>
          </cell>
          <cell r="B931" t="str">
            <v>Organization</v>
          </cell>
          <cell r="C931" t="str">
            <v>SEVA CORPORATION</v>
          </cell>
          <cell r="D931" t="str">
            <v>30</v>
          </cell>
        </row>
        <row r="932">
          <cell r="A932" t="str">
            <v>C11418</v>
          </cell>
          <cell r="B932" t="str">
            <v>Organization</v>
          </cell>
          <cell r="C932" t="str">
            <v>SEW EURODRIVE</v>
          </cell>
          <cell r="D932" t="str">
            <v>1</v>
          </cell>
        </row>
        <row r="933">
          <cell r="A933" t="str">
            <v>C11419</v>
          </cell>
          <cell r="B933" t="str">
            <v>Organization</v>
          </cell>
          <cell r="C933" t="str">
            <v>SHAKTI SUGARS LTD.</v>
          </cell>
          <cell r="D933" t="str">
            <v>1</v>
          </cell>
        </row>
        <row r="934">
          <cell r="A934" t="str">
            <v>C11421</v>
          </cell>
          <cell r="B934" t="str">
            <v>Organization</v>
          </cell>
          <cell r="C934" t="str">
            <v>SHASUN CHEMICALS &amp; DRUGS LTD</v>
          </cell>
          <cell r="D934" t="str">
            <v>1</v>
          </cell>
        </row>
        <row r="935">
          <cell r="A935" t="str">
            <v>C11423</v>
          </cell>
          <cell r="B935" t="str">
            <v>Organization</v>
          </cell>
          <cell r="C935" t="str">
            <v>SHELL INDIA MARKETS PVT. LTD.</v>
          </cell>
          <cell r="D935" t="str">
            <v>60</v>
          </cell>
        </row>
        <row r="936">
          <cell r="A936" t="str">
            <v>C11424</v>
          </cell>
          <cell r="B936" t="str">
            <v>Organization</v>
          </cell>
          <cell r="C936" t="str">
            <v>SHELL OMAN MARKETING COMPANY SAOG</v>
          </cell>
          <cell r="D936" t="str">
            <v>45</v>
          </cell>
        </row>
        <row r="937">
          <cell r="A937" t="str">
            <v>C11429</v>
          </cell>
          <cell r="B937" t="str">
            <v>Organization</v>
          </cell>
          <cell r="C937" t="str">
            <v>SHIVA PHARMACHEM PVT. LTD</v>
          </cell>
          <cell r="D937" t="str">
            <v>30</v>
          </cell>
        </row>
        <row r="938">
          <cell r="A938" t="str">
            <v>C11430</v>
          </cell>
          <cell r="B938" t="str">
            <v>Organization</v>
          </cell>
          <cell r="C938" t="str">
            <v>SHIVAM ENTERPRISES</v>
          </cell>
          <cell r="D938" t="str">
            <v>0</v>
          </cell>
        </row>
        <row r="939">
          <cell r="A939" t="str">
            <v>C11436</v>
          </cell>
          <cell r="B939" t="str">
            <v>Organization</v>
          </cell>
          <cell r="C939" t="str">
            <v>SHREE DIAMOND SILICATE CO. P. LTD</v>
          </cell>
          <cell r="D939" t="str">
            <v>1</v>
          </cell>
        </row>
        <row r="940">
          <cell r="A940" t="str">
            <v>C11437</v>
          </cell>
          <cell r="B940" t="str">
            <v>Organization</v>
          </cell>
          <cell r="C940" t="str">
            <v>SHREE GANAPATI POLYMERS</v>
          </cell>
          <cell r="D940" t="str">
            <v>1</v>
          </cell>
        </row>
        <row r="941">
          <cell r="A941" t="str">
            <v>C11438</v>
          </cell>
          <cell r="B941" t="str">
            <v>Organization</v>
          </cell>
          <cell r="C941" t="str">
            <v>SHREE GANESH CHEMICALS</v>
          </cell>
          <cell r="D941" t="str">
            <v>1</v>
          </cell>
        </row>
        <row r="942">
          <cell r="A942" t="str">
            <v>C11441</v>
          </cell>
          <cell r="B942" t="str">
            <v>Organization</v>
          </cell>
          <cell r="C942" t="str">
            <v>SHREE KRISHNA INNOVATIVE CHEMICALS</v>
          </cell>
          <cell r="D942" t="str">
            <v>1</v>
          </cell>
        </row>
        <row r="943">
          <cell r="A943" t="str">
            <v>C11443</v>
          </cell>
          <cell r="B943" t="str">
            <v>Organization</v>
          </cell>
          <cell r="C943" t="str">
            <v>SHREE PLASTICO</v>
          </cell>
          <cell r="D943" t="str">
            <v>0</v>
          </cell>
        </row>
        <row r="944">
          <cell r="A944" t="str">
            <v>C11444</v>
          </cell>
          <cell r="B944" t="str">
            <v>Organization</v>
          </cell>
          <cell r="C944" t="str">
            <v>SHREE RAYALSEEMA ALKALIES &amp; ALLIED CHEMS. LTD..</v>
          </cell>
          <cell r="D944" t="str">
            <v>30</v>
          </cell>
        </row>
        <row r="945">
          <cell r="A945" t="str">
            <v>C11449</v>
          </cell>
          <cell r="B945" t="str">
            <v>Organization</v>
          </cell>
          <cell r="C945" t="str">
            <v>SHREYANS CHEMICALS</v>
          </cell>
          <cell r="D945" t="str">
            <v>0</v>
          </cell>
        </row>
        <row r="946">
          <cell r="A946" t="str">
            <v>C11450</v>
          </cell>
          <cell r="B946" t="str">
            <v>Organization</v>
          </cell>
          <cell r="C946" t="str">
            <v>SHRI RAM CHLOROCHEM LIMITED</v>
          </cell>
          <cell r="D946" t="str">
            <v>60</v>
          </cell>
        </row>
        <row r="947">
          <cell r="A947" t="str">
            <v>C11452</v>
          </cell>
          <cell r="B947" t="str">
            <v>Organization</v>
          </cell>
          <cell r="C947" t="str">
            <v>SHRINIVAS INDUSTRIES</v>
          </cell>
          <cell r="D947" t="str">
            <v>0</v>
          </cell>
        </row>
        <row r="948">
          <cell r="A948" t="str">
            <v>C11453</v>
          </cell>
          <cell r="B948" t="str">
            <v>Organization</v>
          </cell>
          <cell r="C948" t="str">
            <v>SHUBHAM ENTERPRISE</v>
          </cell>
          <cell r="D948" t="str">
            <v>1</v>
          </cell>
        </row>
        <row r="949">
          <cell r="A949" t="str">
            <v>C11455</v>
          </cell>
          <cell r="B949" t="str">
            <v>Organization</v>
          </cell>
          <cell r="C949" t="str">
            <v>SIEGWERK INDIA PVT.. LTD</v>
          </cell>
          <cell r="D949" t="str">
            <v>30</v>
          </cell>
        </row>
        <row r="950">
          <cell r="A950" t="str">
            <v>C11456</v>
          </cell>
          <cell r="B950" t="str">
            <v>Organization</v>
          </cell>
          <cell r="C950" t="str">
            <v>SIEMENS LIMITED</v>
          </cell>
          <cell r="D950" t="str">
            <v>30</v>
          </cell>
        </row>
        <row r="951">
          <cell r="A951" t="str">
            <v>C11458</v>
          </cell>
          <cell r="B951" t="str">
            <v>Organization</v>
          </cell>
          <cell r="C951" t="str">
            <v>SIGACHI CHLORO-CHEMICALS PVT. LTD..</v>
          </cell>
          <cell r="D951" t="str">
            <v>30</v>
          </cell>
        </row>
        <row r="952">
          <cell r="A952" t="str">
            <v>C11459</v>
          </cell>
          <cell r="B952" t="str">
            <v>Organization</v>
          </cell>
          <cell r="C952" t="str">
            <v>SIGMA SOLVENTS P. LTD.</v>
          </cell>
          <cell r="D952" t="str">
            <v>60</v>
          </cell>
        </row>
        <row r="953">
          <cell r="A953" t="str">
            <v>C11461</v>
          </cell>
          <cell r="B953" t="str">
            <v>Organization</v>
          </cell>
          <cell r="C953" t="str">
            <v>SIKA INDIA PRIVATE LIMITED - JAIPUR</v>
          </cell>
          <cell r="D953" t="str">
            <v>90</v>
          </cell>
        </row>
        <row r="954">
          <cell r="A954" t="str">
            <v>C11462</v>
          </cell>
          <cell r="B954" t="str">
            <v>Organization</v>
          </cell>
          <cell r="C954" t="str">
            <v>SIKA INDIA PRIVATE LIMITED - KOLKATA</v>
          </cell>
          <cell r="D954" t="str">
            <v>90</v>
          </cell>
        </row>
        <row r="955">
          <cell r="A955" t="str">
            <v>C11463</v>
          </cell>
          <cell r="B955" t="str">
            <v>Organization</v>
          </cell>
          <cell r="C955" t="str">
            <v>SIKA INDIA PRIVATE LIMITED - TAMILNADU</v>
          </cell>
          <cell r="D955" t="str">
            <v>90</v>
          </cell>
        </row>
        <row r="956">
          <cell r="A956" t="str">
            <v>C11464</v>
          </cell>
          <cell r="B956" t="str">
            <v>Organization</v>
          </cell>
          <cell r="C956" t="str">
            <v>SIKA INDIA PRIVATE LIMITED - GOA</v>
          </cell>
          <cell r="D956" t="str">
            <v>90</v>
          </cell>
        </row>
        <row r="957">
          <cell r="A957" t="str">
            <v>C11465</v>
          </cell>
          <cell r="B957" t="str">
            <v>Organization</v>
          </cell>
          <cell r="C957" t="str">
            <v>SILVER CLOUDS</v>
          </cell>
          <cell r="D957" t="str">
            <v>30</v>
          </cell>
        </row>
        <row r="958">
          <cell r="A958" t="str">
            <v>C11468</v>
          </cell>
          <cell r="B958" t="str">
            <v>Organization</v>
          </cell>
          <cell r="C958" t="str">
            <v>SIMON BROTHERS PVT.. LTD</v>
          </cell>
          <cell r="D958" t="str">
            <v>1</v>
          </cell>
        </row>
        <row r="959">
          <cell r="A959" t="str">
            <v>C11470</v>
          </cell>
          <cell r="B959" t="str">
            <v>Organization</v>
          </cell>
          <cell r="C959" t="str">
            <v>SIRIS AGRO LTD.</v>
          </cell>
          <cell r="D959" t="str">
            <v>30</v>
          </cell>
        </row>
        <row r="960">
          <cell r="A960" t="str">
            <v>C11474</v>
          </cell>
          <cell r="B960" t="str">
            <v>Organization</v>
          </cell>
          <cell r="C960" t="str">
            <v>SKYPAK COURIERS LTD.</v>
          </cell>
          <cell r="D960" t="str">
            <v>30</v>
          </cell>
        </row>
        <row r="961">
          <cell r="A961" t="str">
            <v>C11475</v>
          </cell>
          <cell r="B961" t="str">
            <v>Organization</v>
          </cell>
          <cell r="C961" t="str">
            <v>SMITH KLINE BEECHAM</v>
          </cell>
          <cell r="D961" t="str">
            <v>1</v>
          </cell>
        </row>
        <row r="962">
          <cell r="A962" t="str">
            <v>C11476</v>
          </cell>
          <cell r="B962" t="str">
            <v>Organization</v>
          </cell>
          <cell r="C962" t="str">
            <v>SMOOTHLINE INDUSTRIES</v>
          </cell>
          <cell r="D962" t="str">
            <v>60</v>
          </cell>
        </row>
        <row r="963">
          <cell r="A963" t="str">
            <v>C11478</v>
          </cell>
          <cell r="B963" t="str">
            <v>Organization</v>
          </cell>
          <cell r="C963" t="str">
            <v>SMOOTHLINE WRITING INSTRUMENTS PVT. LTD..</v>
          </cell>
          <cell r="D963" t="str">
            <v>60</v>
          </cell>
        </row>
        <row r="964">
          <cell r="A964" t="str">
            <v>C11479</v>
          </cell>
          <cell r="B964" t="str">
            <v>Organization</v>
          </cell>
          <cell r="C964" t="str">
            <v>SNF (INDIA) PVT.. LTD</v>
          </cell>
          <cell r="D964" t="str">
            <v>0</v>
          </cell>
        </row>
        <row r="965">
          <cell r="A965" t="str">
            <v>C11482</v>
          </cell>
          <cell r="B965" t="str">
            <v>Organization</v>
          </cell>
          <cell r="C965" t="str">
            <v>SOHAM POLYMERS PVT. LTD..</v>
          </cell>
          <cell r="D965" t="str">
            <v>0</v>
          </cell>
        </row>
        <row r="966">
          <cell r="A966" t="str">
            <v>C11483</v>
          </cell>
          <cell r="B966" t="str">
            <v>Organization</v>
          </cell>
          <cell r="C966" t="str">
            <v>SOLCOL SOLUTIONS</v>
          </cell>
          <cell r="D966" t="str">
            <v>1</v>
          </cell>
        </row>
        <row r="967">
          <cell r="A967" t="str">
            <v>C11485</v>
          </cell>
          <cell r="B967" t="str">
            <v>Organization</v>
          </cell>
          <cell r="C967" t="str">
            <v>SOMU ORGANO - CHEM (P) LTD.</v>
          </cell>
          <cell r="D967" t="str">
            <v>30</v>
          </cell>
        </row>
        <row r="968">
          <cell r="A968" t="str">
            <v>C11486</v>
          </cell>
          <cell r="B968" t="str">
            <v>Organization</v>
          </cell>
          <cell r="C968" t="str">
            <v>SONTARA ORGANO INDUSTRIES</v>
          </cell>
          <cell r="D968" t="str">
            <v>30</v>
          </cell>
        </row>
        <row r="969">
          <cell r="A969" t="str">
            <v>C11487</v>
          </cell>
          <cell r="B969" t="str">
            <v>Organization</v>
          </cell>
          <cell r="C969" t="str">
            <v>SOUTH SEAS DISTILLERIES &amp; BREWERIES (200</v>
          </cell>
          <cell r="D969" t="str">
            <v>30</v>
          </cell>
        </row>
        <row r="970">
          <cell r="A970" t="str">
            <v>C11492</v>
          </cell>
          <cell r="B970" t="str">
            <v>Organization</v>
          </cell>
          <cell r="C970" t="str">
            <v>SPECIAL LUBRICANTS P. LTD</v>
          </cell>
          <cell r="D970" t="str">
            <v>30</v>
          </cell>
        </row>
        <row r="971">
          <cell r="A971" t="str">
            <v>C11493</v>
          </cell>
          <cell r="B971" t="str">
            <v>Organization</v>
          </cell>
          <cell r="C971" t="str">
            <v>SPECIALITY LUBRICANTS</v>
          </cell>
          <cell r="D971" t="str">
            <v>0</v>
          </cell>
        </row>
        <row r="972">
          <cell r="A972" t="str">
            <v>C11494</v>
          </cell>
          <cell r="B972" t="str">
            <v>Organization</v>
          </cell>
          <cell r="C972" t="str">
            <v>SPECIALITY POLYMERS PVT. LTD</v>
          </cell>
          <cell r="D972" t="str">
            <v>90</v>
          </cell>
        </row>
        <row r="973">
          <cell r="A973" t="str">
            <v>C11495</v>
          </cell>
          <cell r="B973" t="str">
            <v>Organization</v>
          </cell>
          <cell r="C973" t="str">
            <v>SPECTROCHEM PVT.. LTD</v>
          </cell>
          <cell r="D973" t="str">
            <v>1</v>
          </cell>
        </row>
        <row r="974">
          <cell r="A974" t="str">
            <v>C11498</v>
          </cell>
          <cell r="B974" t="str">
            <v>Organization</v>
          </cell>
          <cell r="C974" t="str">
            <v>SPI CONTAINERS PVT. LTD. - AHEMEDABAD</v>
          </cell>
          <cell r="D974" t="str">
            <v>30</v>
          </cell>
        </row>
        <row r="975">
          <cell r="A975" t="str">
            <v>C11500</v>
          </cell>
          <cell r="B975" t="str">
            <v>Organization</v>
          </cell>
          <cell r="C975" t="str">
            <v>SQUARE D BIOTECH LIMITED (200)</v>
          </cell>
          <cell r="D975" t="str">
            <v>30</v>
          </cell>
        </row>
        <row r="976">
          <cell r="A976" t="str">
            <v>C11501</v>
          </cell>
          <cell r="B976" t="str">
            <v>Organization</v>
          </cell>
          <cell r="C976" t="str">
            <v>SREE KRISHNA INNOVATIVE CHEMS</v>
          </cell>
          <cell r="D976" t="str">
            <v>1</v>
          </cell>
        </row>
        <row r="977">
          <cell r="A977" t="str">
            <v>C11502</v>
          </cell>
          <cell r="B977" t="str">
            <v>Organization</v>
          </cell>
          <cell r="C977" t="str">
            <v>SRI CHAITANYA CHLORIDES PVT. LTD.</v>
          </cell>
          <cell r="D977" t="str">
            <v>60</v>
          </cell>
        </row>
        <row r="978">
          <cell r="A978" t="str">
            <v>C11503</v>
          </cell>
          <cell r="B978" t="str">
            <v>Organization</v>
          </cell>
          <cell r="C978" t="str">
            <v>SRI CHAVADI  PHARMA PVT. LTD</v>
          </cell>
          <cell r="D978" t="str">
            <v>30</v>
          </cell>
        </row>
        <row r="979">
          <cell r="A979" t="str">
            <v>C11506</v>
          </cell>
          <cell r="B979" t="str">
            <v>Organization</v>
          </cell>
          <cell r="C979" t="str">
            <v>SRI RAMCO SPINNERS</v>
          </cell>
          <cell r="D979" t="str">
            <v>30</v>
          </cell>
        </row>
        <row r="980">
          <cell r="A980" t="str">
            <v>C11507</v>
          </cell>
          <cell r="B980" t="str">
            <v>Organization</v>
          </cell>
          <cell r="C980" t="str">
            <v>SRI VASAVI CHEMICAL CORPORATION</v>
          </cell>
          <cell r="D980" t="str">
            <v>60</v>
          </cell>
        </row>
        <row r="981">
          <cell r="A981" t="str">
            <v>C11508</v>
          </cell>
          <cell r="B981" t="str">
            <v>Organization</v>
          </cell>
          <cell r="C981" t="str">
            <v>SRIMATA BIO SOURCE, BANGALORE (VOSAN)</v>
          </cell>
          <cell r="D981" t="str">
            <v>1</v>
          </cell>
        </row>
        <row r="982">
          <cell r="A982" t="str">
            <v>C11509</v>
          </cell>
          <cell r="B982" t="str">
            <v>Organization</v>
          </cell>
          <cell r="C982" t="str">
            <v>SRINI PHARMACEUTICALS LIMITED</v>
          </cell>
          <cell r="D982" t="str">
            <v>30</v>
          </cell>
        </row>
        <row r="983">
          <cell r="A983" t="str">
            <v>C11510</v>
          </cell>
          <cell r="B983" t="str">
            <v>Organization</v>
          </cell>
          <cell r="C983" t="str">
            <v>SRINIWAS CHEMICAL INDS P LTD</v>
          </cell>
          <cell r="D983" t="str">
            <v>0</v>
          </cell>
        </row>
        <row r="984">
          <cell r="A984" t="str">
            <v>C11511</v>
          </cell>
          <cell r="B984" t="str">
            <v>Organization</v>
          </cell>
          <cell r="C984" t="str">
            <v>SRINIVAS CHEMICAL INDS P. LTD</v>
          </cell>
          <cell r="D984" t="str">
            <v>60</v>
          </cell>
        </row>
        <row r="985">
          <cell r="A985" t="str">
            <v>C11513</v>
          </cell>
          <cell r="B985" t="str">
            <v>Organization</v>
          </cell>
          <cell r="C985" t="str">
            <v>ST. ANNESS CASHEW INDUSTRIES</v>
          </cell>
          <cell r="D985" t="str">
            <v>0</v>
          </cell>
        </row>
        <row r="986">
          <cell r="A986" t="str">
            <v>C11514</v>
          </cell>
          <cell r="B986" t="str">
            <v>Organization</v>
          </cell>
          <cell r="C986" t="str">
            <v>STANDARD ENERGY PRODUCTS AND CHEMICALS PVT. LTD</v>
          </cell>
          <cell r="D986" t="str">
            <v>1</v>
          </cell>
        </row>
        <row r="987">
          <cell r="A987" t="str">
            <v>C11515</v>
          </cell>
          <cell r="B987" t="str">
            <v>Organization</v>
          </cell>
          <cell r="C987" t="str">
            <v>STANDARD GREASE (SILVASSA) PVT.. LTD</v>
          </cell>
          <cell r="D987" t="str">
            <v>30</v>
          </cell>
        </row>
        <row r="988">
          <cell r="A988" t="str">
            <v>C11516</v>
          </cell>
          <cell r="B988" t="str">
            <v>Organization</v>
          </cell>
          <cell r="C988" t="str">
            <v>STANDARD GREASES &amp; SPECIALITIES  PVT. LTD [Turbhe]</v>
          </cell>
          <cell r="D988" t="str">
            <v>30</v>
          </cell>
        </row>
        <row r="989">
          <cell r="A989" t="str">
            <v>C11517</v>
          </cell>
          <cell r="B989" t="str">
            <v>Organization</v>
          </cell>
          <cell r="C989" t="str">
            <v>STANDARD GREASES &amp; SPECIALITIES  PVT.LTD [Silvasa]</v>
          </cell>
          <cell r="D989" t="str">
            <v>30</v>
          </cell>
        </row>
        <row r="990">
          <cell r="A990" t="str">
            <v>C11518</v>
          </cell>
          <cell r="B990" t="str">
            <v>Organization</v>
          </cell>
          <cell r="C990" t="str">
            <v>STANDARD GREASE &amp; SPECIALITIES PVT LTD - PETRONAS</v>
          </cell>
          <cell r="D990" t="str">
            <v>30</v>
          </cell>
        </row>
        <row r="991">
          <cell r="A991" t="str">
            <v>C11519</v>
          </cell>
          <cell r="B991" t="str">
            <v>Organization</v>
          </cell>
          <cell r="C991" t="str">
            <v>STANDARD INDUSTRIAL OILS P. LTD (200)</v>
          </cell>
          <cell r="D991" t="str">
            <v>30</v>
          </cell>
        </row>
        <row r="992">
          <cell r="A992" t="str">
            <v>C11520</v>
          </cell>
          <cell r="B992" t="str">
            <v>Organization</v>
          </cell>
          <cell r="C992" t="str">
            <v>STANDARD SURFACTANTS LTD</v>
          </cell>
          <cell r="D992" t="str">
            <v>0</v>
          </cell>
        </row>
        <row r="993">
          <cell r="A993" t="str">
            <v>C11521</v>
          </cell>
          <cell r="B993" t="str">
            <v>Organization</v>
          </cell>
          <cell r="C993" t="str">
            <v>STAR FUTURE WAVE MARKETING PVT. LTD..</v>
          </cell>
          <cell r="D993" t="str">
            <v>1</v>
          </cell>
        </row>
        <row r="994">
          <cell r="A994" t="str">
            <v>C11523</v>
          </cell>
          <cell r="B994" t="str">
            <v>Organization</v>
          </cell>
          <cell r="C994" t="str">
            <v>STAR PAINTS &amp; POLYMER</v>
          </cell>
          <cell r="D994" t="str">
            <v>1</v>
          </cell>
        </row>
        <row r="995">
          <cell r="A995" t="str">
            <v>C11524</v>
          </cell>
          <cell r="B995" t="str">
            <v>Organization</v>
          </cell>
          <cell r="C995" t="str">
            <v>STAROL PETROLEUM LIMITED</v>
          </cell>
          <cell r="D995" t="str">
            <v>0</v>
          </cell>
        </row>
        <row r="996">
          <cell r="A996" t="str">
            <v>C11527</v>
          </cell>
          <cell r="B996" t="str">
            <v>Organization</v>
          </cell>
          <cell r="C996" t="str">
            <v>STP LIMITED</v>
          </cell>
          <cell r="D996" t="str">
            <v>30</v>
          </cell>
        </row>
        <row r="997">
          <cell r="A997" t="str">
            <v>C11529</v>
          </cell>
          <cell r="B997" t="str">
            <v>Organization</v>
          </cell>
          <cell r="C997" t="str">
            <v>SUDARSHAN CHEMICAL INDUSTRIES LTD.</v>
          </cell>
          <cell r="D997" t="str">
            <v>60</v>
          </cell>
        </row>
        <row r="998">
          <cell r="A998" t="str">
            <v>C11530</v>
          </cell>
          <cell r="B998" t="str">
            <v>Organization</v>
          </cell>
          <cell r="C998" t="str">
            <v>SUDARSHAN INDUSTRIES</v>
          </cell>
          <cell r="D998" t="str">
            <v>15</v>
          </cell>
        </row>
        <row r="999">
          <cell r="A999" t="str">
            <v>C11531</v>
          </cell>
          <cell r="B999" t="str">
            <v>Organization</v>
          </cell>
          <cell r="C999" t="str">
            <v>SUJAS LEATHERCLOTH MFG. CO. PVT. LTD</v>
          </cell>
          <cell r="D999" t="str">
            <v>30</v>
          </cell>
        </row>
        <row r="1000">
          <cell r="A1000" t="str">
            <v>C11534</v>
          </cell>
          <cell r="B1000" t="str">
            <v>Organization</v>
          </cell>
          <cell r="C1000" t="str">
            <v>SULFAST CHEMICAL INDUSTRIES</v>
          </cell>
          <cell r="D1000" t="str">
            <v>30</v>
          </cell>
        </row>
        <row r="1001">
          <cell r="A1001" t="str">
            <v>C11535</v>
          </cell>
          <cell r="B1001" t="str">
            <v>Organization</v>
          </cell>
          <cell r="C1001" t="str">
            <v>SULPHUR MILLS LIMITED</v>
          </cell>
          <cell r="D1001" t="str">
            <v>30</v>
          </cell>
        </row>
        <row r="1002">
          <cell r="A1002" t="str">
            <v>C11536</v>
          </cell>
          <cell r="B1002" t="str">
            <v>Organization</v>
          </cell>
          <cell r="C1002" t="str">
            <v>SUMA CHEMICALS PVT.. LTD</v>
          </cell>
          <cell r="D1002" t="str">
            <v>0</v>
          </cell>
        </row>
        <row r="1003">
          <cell r="A1003" t="str">
            <v>C11540</v>
          </cell>
          <cell r="B1003" t="str">
            <v>Organization</v>
          </cell>
          <cell r="C1003" t="str">
            <v>SUMIT CHEMICALS</v>
          </cell>
          <cell r="D1003" t="str">
            <v>1</v>
          </cell>
        </row>
        <row r="1004">
          <cell r="A1004" t="str">
            <v>C11542</v>
          </cell>
          <cell r="B1004" t="str">
            <v>Organization</v>
          </cell>
          <cell r="C1004" t="str">
            <v>SUN  POLYMERS</v>
          </cell>
          <cell r="D1004" t="str">
            <v>30</v>
          </cell>
        </row>
        <row r="1005">
          <cell r="A1005" t="str">
            <v>C11543</v>
          </cell>
          <cell r="B1005" t="str">
            <v>Organization</v>
          </cell>
          <cell r="C1005" t="str">
            <v>SUNBEL ALLOYS CO. OF INDIA LTD</v>
          </cell>
          <cell r="D1005" t="str">
            <v>60</v>
          </cell>
        </row>
        <row r="1006">
          <cell r="A1006" t="str">
            <v>C11544</v>
          </cell>
          <cell r="B1006" t="str">
            <v>Organization</v>
          </cell>
          <cell r="C1006" t="str">
            <v>SUNMAK ENTERPRISES PVT.. LTD</v>
          </cell>
          <cell r="D1006" t="str">
            <v>30</v>
          </cell>
        </row>
        <row r="1007">
          <cell r="A1007" t="str">
            <v>C11547</v>
          </cell>
          <cell r="B1007" t="str">
            <v>Organization</v>
          </cell>
          <cell r="C1007" t="str">
            <v>SUNRISE CHEMICALS INDUSTRIES</v>
          </cell>
          <cell r="D1007" t="str">
            <v>0</v>
          </cell>
        </row>
        <row r="1008">
          <cell r="A1008" t="str">
            <v>C11550</v>
          </cell>
          <cell r="B1008" t="str">
            <v>Organization</v>
          </cell>
          <cell r="C1008" t="str">
            <v>SUPER BOND ADHESIVES PVT. LTD..</v>
          </cell>
          <cell r="D1008" t="str">
            <v>30</v>
          </cell>
        </row>
        <row r="1009">
          <cell r="A1009" t="str">
            <v>C11551</v>
          </cell>
          <cell r="B1009" t="str">
            <v>Organization</v>
          </cell>
          <cell r="C1009" t="str">
            <v>SUPERFINE AROMATIC CO. P. LTD</v>
          </cell>
          <cell r="D1009" t="str">
            <v>30</v>
          </cell>
        </row>
        <row r="1010">
          <cell r="A1010" t="str">
            <v>C11553</v>
          </cell>
          <cell r="B1010" t="str">
            <v>Organization</v>
          </cell>
          <cell r="C1010" t="str">
            <v>SUPRANAV CHEMICALS INDUSTRIES PVT.. LTD.</v>
          </cell>
          <cell r="D1010" t="str">
            <v>0</v>
          </cell>
        </row>
        <row r="1011">
          <cell r="A1011" t="str">
            <v>C11554</v>
          </cell>
          <cell r="B1011" t="str">
            <v>Organization</v>
          </cell>
          <cell r="C1011" t="str">
            <v>SURYA ORGANICS &amp; CHEMICALS</v>
          </cell>
          <cell r="D1011" t="str">
            <v>0</v>
          </cell>
        </row>
        <row r="1012">
          <cell r="A1012" t="str">
            <v>C11555</v>
          </cell>
          <cell r="B1012" t="str">
            <v>Organization</v>
          </cell>
          <cell r="C1012" t="str">
            <v>SUVEN PHARMACEUTICALS LTD.</v>
          </cell>
          <cell r="D1012" t="str">
            <v>15</v>
          </cell>
        </row>
        <row r="1013">
          <cell r="A1013" t="str">
            <v>C11556</v>
          </cell>
          <cell r="B1013" t="str">
            <v>Organization</v>
          </cell>
          <cell r="C1013" t="str">
            <v>SUVIDA DRUMS</v>
          </cell>
          <cell r="D1013" t="str">
            <v>60</v>
          </cell>
        </row>
        <row r="1014">
          <cell r="A1014" t="str">
            <v>C11558</v>
          </cell>
          <cell r="B1014" t="str">
            <v>Organization</v>
          </cell>
          <cell r="C1014" t="str">
            <v>SWARNAJYOTHI AGRO &amp; EXPORTS (P) LTD</v>
          </cell>
          <cell r="D1014" t="str">
            <v>30</v>
          </cell>
        </row>
        <row r="1015">
          <cell r="A1015" t="str">
            <v>C11560</v>
          </cell>
          <cell r="B1015" t="str">
            <v>Organization</v>
          </cell>
          <cell r="C1015" t="str">
            <v>SWASTIK OIL PRODUCTS MFG. CO. - NAVSARI</v>
          </cell>
          <cell r="D1015" t="str">
            <v>30</v>
          </cell>
        </row>
        <row r="1016">
          <cell r="A1016" t="str">
            <v>C11562</v>
          </cell>
          <cell r="B1016" t="str">
            <v>Organization</v>
          </cell>
          <cell r="C1016" t="str">
            <v>SWASTIK OIL PRODUCTS MFG. CO. PVT. LTD. - MUMBAI</v>
          </cell>
          <cell r="D1016" t="str">
            <v>30</v>
          </cell>
        </row>
        <row r="1017">
          <cell r="A1017" t="str">
            <v>C11563</v>
          </cell>
          <cell r="B1017" t="str">
            <v>Organization</v>
          </cell>
          <cell r="C1017" t="str">
            <v>SWASTIK SALES CORPORATION</v>
          </cell>
          <cell r="D1017" t="str">
            <v>0</v>
          </cell>
        </row>
        <row r="1018">
          <cell r="A1018" t="str">
            <v>C11565</v>
          </cell>
          <cell r="B1018" t="str">
            <v>Organization</v>
          </cell>
          <cell r="C1018" t="str">
            <v>SWEM WATER TECH (INDIA)  PVT. LTD.</v>
          </cell>
          <cell r="D1018" t="str">
            <v>1</v>
          </cell>
        </row>
        <row r="1019">
          <cell r="A1019" t="str">
            <v>C11566</v>
          </cell>
          <cell r="B1019" t="str">
            <v>Organization</v>
          </cell>
          <cell r="C1019" t="str">
            <v>SYMEGA SAVOURY TECHNOLOGY PVT. LTD.</v>
          </cell>
          <cell r="D1019" t="str">
            <v>0</v>
          </cell>
        </row>
        <row r="1020">
          <cell r="A1020" t="str">
            <v>C11567</v>
          </cell>
          <cell r="B1020" t="str">
            <v>Organization</v>
          </cell>
          <cell r="C1020" t="str">
            <v>SYMRISE (P) LIMITED</v>
          </cell>
          <cell r="D1020" t="str">
            <v>0</v>
          </cell>
        </row>
        <row r="1021">
          <cell r="A1021" t="str">
            <v>C11568</v>
          </cell>
          <cell r="B1021" t="str">
            <v>Organization</v>
          </cell>
          <cell r="C1021" t="str">
            <v>SYNGENTA INDIA LTD. (FORMERLY NOVARTIS INDIA LTD.)</v>
          </cell>
          <cell r="D1021" t="str">
            <v>60</v>
          </cell>
        </row>
        <row r="1022">
          <cell r="A1022" t="str">
            <v>C11570</v>
          </cell>
          <cell r="B1022" t="str">
            <v>Organization</v>
          </cell>
          <cell r="C1022" t="str">
            <v>SYNTHITE INDUSTRIAL CHEMICALS</v>
          </cell>
          <cell r="D1022" t="str">
            <v>30</v>
          </cell>
        </row>
        <row r="1023">
          <cell r="A1023" t="str">
            <v>C11571</v>
          </cell>
          <cell r="B1023" t="str">
            <v>Organization</v>
          </cell>
          <cell r="C1023" t="str">
            <v>SYNTHITE INDUSTRIAL CHEMICALS LTD - COIMBATORE</v>
          </cell>
          <cell r="D1023" t="str">
            <v>0</v>
          </cell>
        </row>
        <row r="1024">
          <cell r="A1024" t="str">
            <v>C11572</v>
          </cell>
          <cell r="B1024" t="str">
            <v>Organization</v>
          </cell>
          <cell r="C1024" t="str">
            <v>SYNTHITE INDUSTRIES LTD.</v>
          </cell>
          <cell r="D1024" t="str">
            <v>30</v>
          </cell>
        </row>
        <row r="1025">
          <cell r="A1025" t="str">
            <v>C11573</v>
          </cell>
          <cell r="B1025" t="str">
            <v>Organization</v>
          </cell>
          <cell r="C1025" t="str">
            <v>SYNTHITE INDUSTRIES LTD. - KARNATAKA</v>
          </cell>
          <cell r="D1025" t="str">
            <v>30</v>
          </cell>
        </row>
        <row r="1026">
          <cell r="A1026" t="str">
            <v>C11574</v>
          </cell>
          <cell r="B1026" t="str">
            <v>Organization</v>
          </cell>
          <cell r="C1026" t="str">
            <v>SYNTHOKEM LABS PVT. LTD.</v>
          </cell>
          <cell r="D1026" t="str">
            <v>1</v>
          </cell>
        </row>
        <row r="1027">
          <cell r="A1027" t="str">
            <v>C11575</v>
          </cell>
          <cell r="B1027" t="str">
            <v>Organization</v>
          </cell>
          <cell r="C1027" t="str">
            <v>SYNTHOTEX CHEMICALS PVT. LTD..</v>
          </cell>
          <cell r="D1027" t="str">
            <v>1</v>
          </cell>
        </row>
        <row r="1028">
          <cell r="A1028" t="str">
            <v>C11576</v>
          </cell>
          <cell r="B1028" t="str">
            <v>Organization</v>
          </cell>
          <cell r="C1028" t="str">
            <v>T &amp; D GALAIKOT CONTAINER PVT. LTD</v>
          </cell>
          <cell r="D1028" t="str">
            <v>45</v>
          </cell>
        </row>
        <row r="1029">
          <cell r="A1029" t="str">
            <v>C11578</v>
          </cell>
          <cell r="B1029" t="str">
            <v>Organization</v>
          </cell>
          <cell r="C1029" t="str">
            <v>TAG CHEMICAL INDIA (P) LTD.</v>
          </cell>
          <cell r="D1029" t="str">
            <v>0</v>
          </cell>
        </row>
        <row r="1030">
          <cell r="A1030" t="str">
            <v>C11579</v>
          </cell>
          <cell r="B1030" t="str">
            <v>Organization</v>
          </cell>
          <cell r="C1030" t="str">
            <v>TAGROS CHEMICALS INDIA LTD.</v>
          </cell>
          <cell r="D1030" t="str">
            <v>1</v>
          </cell>
        </row>
        <row r="1031">
          <cell r="A1031" t="str">
            <v>C11580</v>
          </cell>
          <cell r="B1031" t="str">
            <v>Organization</v>
          </cell>
          <cell r="C1031" t="str">
            <v>TALOJA PETROCHEMICALS PVT. LTD.</v>
          </cell>
          <cell r="D1031" t="str">
            <v>30</v>
          </cell>
        </row>
        <row r="1032">
          <cell r="A1032" t="str">
            <v>C11581</v>
          </cell>
          <cell r="B1032" t="str">
            <v>Organization</v>
          </cell>
          <cell r="C1032" t="str">
            <v>TAMILNADU PETROPRODUCTS LIMITED</v>
          </cell>
          <cell r="D1032" t="str">
            <v>30</v>
          </cell>
        </row>
        <row r="1033">
          <cell r="A1033" t="str">
            <v>C11582</v>
          </cell>
          <cell r="B1033" t="str">
            <v>Organization</v>
          </cell>
          <cell r="C1033" t="str">
            <v>TAN INDIA LIMITED         (200)</v>
          </cell>
          <cell r="D1033" t="str">
            <v>30</v>
          </cell>
        </row>
        <row r="1034">
          <cell r="A1034" t="str">
            <v>C11583</v>
          </cell>
          <cell r="B1034" t="str">
            <v>Organization</v>
          </cell>
          <cell r="C1034" t="str">
            <v>TANFAC INDUSTRIES LIMITED (200)</v>
          </cell>
          <cell r="D1034" t="str">
            <v>30</v>
          </cell>
        </row>
        <row r="1035">
          <cell r="A1035" t="str">
            <v>C11590</v>
          </cell>
          <cell r="B1035" t="str">
            <v>Organization</v>
          </cell>
          <cell r="C1035" t="str">
            <v>TECHNO PRODUCTS (BOMBAY) PVT.. LTD</v>
          </cell>
          <cell r="D1035" t="str">
            <v>60</v>
          </cell>
        </row>
        <row r="1036">
          <cell r="A1036" t="str">
            <v>C11592</v>
          </cell>
          <cell r="B1036" t="str">
            <v>Organization</v>
          </cell>
          <cell r="C1036" t="str">
            <v>TECHNOVA IMAGING SYSTEMS (P) LTD.</v>
          </cell>
          <cell r="D1036" t="str">
            <v>45</v>
          </cell>
        </row>
        <row r="1037">
          <cell r="A1037" t="str">
            <v>C11593</v>
          </cell>
          <cell r="B1037" t="str">
            <v>Organization</v>
          </cell>
          <cell r="C1037" t="str">
            <v>TELLABS CHEMICALS PVT. LTD</v>
          </cell>
          <cell r="D1037" t="str">
            <v>30</v>
          </cell>
        </row>
        <row r="1038">
          <cell r="A1038" t="str">
            <v>C11595</v>
          </cell>
          <cell r="B1038" t="str">
            <v>Organization</v>
          </cell>
          <cell r="C1038" t="str">
            <v>TERRA-S AUTOMOTIVE SYSTEMS</v>
          </cell>
          <cell r="D1038" t="str">
            <v>0</v>
          </cell>
        </row>
        <row r="1039">
          <cell r="A1039" t="str">
            <v>C11599</v>
          </cell>
          <cell r="B1039" t="str">
            <v>Organization</v>
          </cell>
          <cell r="C1039" t="str">
            <v>TEXTURE PAINTS</v>
          </cell>
          <cell r="D1039" t="str">
            <v>1</v>
          </cell>
        </row>
        <row r="1040">
          <cell r="A1040" t="str">
            <v>C11600</v>
          </cell>
          <cell r="B1040" t="str">
            <v>Organization</v>
          </cell>
          <cell r="C1040" t="str">
            <v>TFL QUINN INDIA PVT. LTD. - HYDERABAD</v>
          </cell>
          <cell r="D1040" t="str">
            <v>90</v>
          </cell>
        </row>
        <row r="1041">
          <cell r="A1041" t="str">
            <v>C11601</v>
          </cell>
          <cell r="B1041" t="str">
            <v>Organization</v>
          </cell>
          <cell r="C1041" t="str">
            <v>TFL QUINN INDIA PVT. LTD. - RANGAREDDY</v>
          </cell>
          <cell r="D1041" t="str">
            <v>90</v>
          </cell>
        </row>
        <row r="1042">
          <cell r="A1042" t="str">
            <v>C11602</v>
          </cell>
          <cell r="B1042" t="str">
            <v>Organization</v>
          </cell>
          <cell r="C1042" t="str">
            <v>THE ANDHRA PETROCHEMICALS LTD.</v>
          </cell>
          <cell r="D1042" t="str">
            <v>30</v>
          </cell>
        </row>
        <row r="1043">
          <cell r="A1043" t="str">
            <v>C11605</v>
          </cell>
          <cell r="B1043" t="str">
            <v>Organization</v>
          </cell>
          <cell r="C1043" t="str">
            <v>THE COCHIN MALABAR ESTATES &amp; INDUSTRIES LIMITED</v>
          </cell>
          <cell r="D1043" t="str">
            <v>0</v>
          </cell>
        </row>
        <row r="1044">
          <cell r="A1044" t="str">
            <v>C11609</v>
          </cell>
          <cell r="B1044" t="str">
            <v>Organization</v>
          </cell>
          <cell r="C1044" t="str">
            <v>THE SOUTHERN SPICE PRODUCTS</v>
          </cell>
          <cell r="D1044" t="str">
            <v>0</v>
          </cell>
        </row>
        <row r="1045">
          <cell r="A1045" t="str">
            <v>C11610</v>
          </cell>
          <cell r="B1045" t="str">
            <v>Organization</v>
          </cell>
          <cell r="C1045" t="str">
            <v>THE SUKHJIT STARCH CHEMICALS LIMITED</v>
          </cell>
          <cell r="D1045" t="str">
            <v>1</v>
          </cell>
        </row>
        <row r="1046">
          <cell r="A1046" t="str">
            <v>C11611</v>
          </cell>
          <cell r="B1046" t="str">
            <v>Organization</v>
          </cell>
          <cell r="C1046" t="str">
            <v>THE WESTERN INDIA G.G. CO. (P) LTD.</v>
          </cell>
          <cell r="D1046" t="str">
            <v>30</v>
          </cell>
        </row>
        <row r="1047">
          <cell r="A1047" t="str">
            <v>C11612</v>
          </cell>
          <cell r="B1047" t="str">
            <v>Organization</v>
          </cell>
          <cell r="C1047" t="str">
            <v>THERMAX LIMITED - KHALAPUR</v>
          </cell>
          <cell r="D1047" t="str">
            <v>30</v>
          </cell>
        </row>
        <row r="1048">
          <cell r="A1048" t="str">
            <v>C11613</v>
          </cell>
          <cell r="B1048" t="str">
            <v>Organization</v>
          </cell>
          <cell r="C1048" t="str">
            <v>THERMO FISHER SCIENTIFIC INDIA PVT.. LTD.</v>
          </cell>
          <cell r="D1048" t="str">
            <v>45</v>
          </cell>
        </row>
        <row r="1049">
          <cell r="A1049" t="str">
            <v>C11614</v>
          </cell>
          <cell r="B1049" t="str">
            <v>Organization</v>
          </cell>
          <cell r="C1049" t="str">
            <v>THOMAS BAKER (CHEMICALS) PVT. LTD.</v>
          </cell>
          <cell r="D1049" t="str">
            <v>30</v>
          </cell>
        </row>
        <row r="1050">
          <cell r="A1050" t="str">
            <v>C11615</v>
          </cell>
          <cell r="B1050" t="str">
            <v>Organization</v>
          </cell>
          <cell r="C1050" t="str">
            <v>THOMSON RUBBER</v>
          </cell>
          <cell r="D1050" t="str">
            <v>30</v>
          </cell>
        </row>
        <row r="1051">
          <cell r="A1051" t="str">
            <v>C11616</v>
          </cell>
          <cell r="B1051" t="str">
            <v>Organization</v>
          </cell>
          <cell r="C1051" t="str">
            <v>THURS ORGANIC PRODUCTS</v>
          </cell>
          <cell r="D1051" t="str">
            <v>30</v>
          </cell>
        </row>
        <row r="1052">
          <cell r="A1052" t="str">
            <v>C11618</v>
          </cell>
          <cell r="B1052" t="str">
            <v>Organization</v>
          </cell>
          <cell r="C1052" t="str">
            <v>TIDE WATER OIL CO. (INDIA) LTD. - KOLKATA</v>
          </cell>
          <cell r="D1052" t="str">
            <v>30</v>
          </cell>
        </row>
        <row r="1053">
          <cell r="A1053" t="str">
            <v>C11619</v>
          </cell>
          <cell r="B1053" t="str">
            <v>Organization</v>
          </cell>
          <cell r="C1053" t="str">
            <v>TIDE WATER OIL CO. (INDIA) LTD. - FARIDABAD</v>
          </cell>
          <cell r="D1053" t="str">
            <v>30</v>
          </cell>
        </row>
        <row r="1054">
          <cell r="A1054" t="str">
            <v>C11620</v>
          </cell>
          <cell r="B1054" t="str">
            <v>Organization</v>
          </cell>
          <cell r="C1054" t="str">
            <v>TIDE WATER OIL CO. LTD</v>
          </cell>
          <cell r="D1054" t="str">
            <v>30</v>
          </cell>
        </row>
        <row r="1055">
          <cell r="A1055" t="str">
            <v>C11623</v>
          </cell>
          <cell r="B1055" t="str">
            <v>Organization</v>
          </cell>
          <cell r="C1055" t="str">
            <v>TIRUPATI BALAJI RIDERS OIL CO. PVT.. LTD.</v>
          </cell>
          <cell r="D1055" t="str">
            <v>0</v>
          </cell>
        </row>
        <row r="1056">
          <cell r="A1056" t="str">
            <v>C11624</v>
          </cell>
          <cell r="B1056" t="str">
            <v>Organization</v>
          </cell>
          <cell r="C1056" t="str">
            <v>TML INDUSTRIES LIMITED</v>
          </cell>
          <cell r="D1056" t="str">
            <v>90</v>
          </cell>
        </row>
        <row r="1057">
          <cell r="A1057" t="str">
            <v>C11625</v>
          </cell>
          <cell r="B1057" t="str">
            <v>Organization</v>
          </cell>
          <cell r="C1057" t="str">
            <v>TOPLINE WRITING INSTRUMENTS PVT.. LTD.</v>
          </cell>
          <cell r="D1057" t="str">
            <v>1</v>
          </cell>
        </row>
        <row r="1058">
          <cell r="A1058" t="str">
            <v>C11629</v>
          </cell>
          <cell r="B1058" t="str">
            <v>Organization</v>
          </cell>
          <cell r="C1058" t="str">
            <v>TRANSGLOBAL AGENCIES (200)</v>
          </cell>
          <cell r="D1058" t="str">
            <v>30</v>
          </cell>
        </row>
        <row r="1059">
          <cell r="A1059" t="str">
            <v>C11632</v>
          </cell>
          <cell r="B1059" t="str">
            <v>Organization</v>
          </cell>
          <cell r="C1059" t="str">
            <v>TRANSPEK - SILOX INDUSTRY LTD</v>
          </cell>
          <cell r="D1059" t="str">
            <v>90</v>
          </cell>
        </row>
        <row r="1060">
          <cell r="A1060" t="str">
            <v>C11633</v>
          </cell>
          <cell r="B1060" t="str">
            <v>Organization</v>
          </cell>
          <cell r="C1060" t="str">
            <v>TRANSPEK INDUSTRY LTD.(200)</v>
          </cell>
          <cell r="D1060" t="str">
            <v>60</v>
          </cell>
        </row>
        <row r="1061">
          <cell r="A1061" t="str">
            <v>C11634</v>
          </cell>
          <cell r="B1061" t="str">
            <v>Organization</v>
          </cell>
          <cell r="C1061" t="str">
            <v>TRAXXON PETROLEUMS</v>
          </cell>
          <cell r="D1061" t="str">
            <v>1</v>
          </cell>
        </row>
        <row r="1062">
          <cell r="A1062" t="str">
            <v>C11635</v>
          </cell>
          <cell r="B1062" t="str">
            <v>Organization</v>
          </cell>
          <cell r="C1062" t="str">
            <v>TRICHY DISTILLERIES &amp; CHEMICALS LTD</v>
          </cell>
          <cell r="D1062" t="str">
            <v>30</v>
          </cell>
        </row>
        <row r="1063">
          <cell r="A1063" t="str">
            <v>C11636</v>
          </cell>
          <cell r="B1063" t="str">
            <v>Organization</v>
          </cell>
          <cell r="C1063" t="str">
            <v>TRICOM AGRO PVT.. LTD</v>
          </cell>
          <cell r="D1063" t="str">
            <v>1</v>
          </cell>
        </row>
        <row r="1064">
          <cell r="A1064" t="str">
            <v>C11639</v>
          </cell>
          <cell r="B1064" t="str">
            <v>Organization</v>
          </cell>
          <cell r="C1064" t="str">
            <v>TURBHE CHEMICALS PVT. LTD..</v>
          </cell>
          <cell r="D1064" t="str">
            <v>30</v>
          </cell>
        </row>
        <row r="1065">
          <cell r="A1065" t="str">
            <v>C11640</v>
          </cell>
          <cell r="B1065" t="str">
            <v>Organization</v>
          </cell>
          <cell r="C1065" t="str">
            <v>TYCHE CHEM PVT.. LTD</v>
          </cell>
          <cell r="D1065" t="str">
            <v>30</v>
          </cell>
        </row>
        <row r="1066">
          <cell r="A1066" t="str">
            <v>C11641</v>
          </cell>
          <cell r="B1066" t="str">
            <v>Organization</v>
          </cell>
          <cell r="C1066" t="str">
            <v>TYTAN ORGANICS PVT.. LTD.</v>
          </cell>
          <cell r="D1066" t="str">
            <v>60</v>
          </cell>
        </row>
        <row r="1067">
          <cell r="A1067" t="str">
            <v>C11645</v>
          </cell>
          <cell r="B1067" t="str">
            <v>Organization</v>
          </cell>
          <cell r="C1067" t="str">
            <v>ULTRA CHEMICAL WORKS</v>
          </cell>
          <cell r="D1067" t="str">
            <v>1</v>
          </cell>
        </row>
        <row r="1068">
          <cell r="A1068" t="str">
            <v>C11648</v>
          </cell>
          <cell r="B1068" t="str">
            <v>Organization</v>
          </cell>
          <cell r="C1068" t="str">
            <v>ULTRA PURE RASAYAN PVT. LTD</v>
          </cell>
          <cell r="D1068" t="str">
            <v>1</v>
          </cell>
        </row>
        <row r="1069">
          <cell r="A1069" t="str">
            <v>C11649</v>
          </cell>
          <cell r="B1069" t="str">
            <v>Organization</v>
          </cell>
          <cell r="C1069" t="str">
            <v>UNICON FIBRO CHEMICALS PVT.. LTD</v>
          </cell>
          <cell r="D1069" t="str">
            <v>1</v>
          </cell>
        </row>
        <row r="1070">
          <cell r="A1070" t="str">
            <v>C11650</v>
          </cell>
          <cell r="B1070" t="str">
            <v>Organization</v>
          </cell>
          <cell r="C1070" t="str">
            <v>UNICORN ORGANICS LIMITED</v>
          </cell>
          <cell r="D1070" t="str">
            <v>60</v>
          </cell>
        </row>
        <row r="1071">
          <cell r="A1071" t="str">
            <v>C11651</v>
          </cell>
          <cell r="B1071" t="str">
            <v>Organization</v>
          </cell>
          <cell r="C1071" t="str">
            <v>UNIFORM PAINTS</v>
          </cell>
          <cell r="D1071" t="str">
            <v>0</v>
          </cell>
        </row>
        <row r="1072">
          <cell r="A1072" t="str">
            <v>C11652</v>
          </cell>
          <cell r="B1072" t="str">
            <v>Organization</v>
          </cell>
          <cell r="C1072" t="str">
            <v>UNILAB CHEMICALS &amp; PHARMACEUTICALS</v>
          </cell>
          <cell r="D1072" t="str">
            <v>30</v>
          </cell>
        </row>
        <row r="1073">
          <cell r="A1073" t="str">
            <v>C11653</v>
          </cell>
          <cell r="B1073" t="str">
            <v>Organization</v>
          </cell>
          <cell r="C1073" t="str">
            <v>UNIPATCH RUBBER LTD.</v>
          </cell>
          <cell r="D1073" t="str">
            <v>30</v>
          </cell>
        </row>
        <row r="1074">
          <cell r="A1074" t="str">
            <v>C11654</v>
          </cell>
          <cell r="B1074" t="str">
            <v>Organization</v>
          </cell>
          <cell r="C1074" t="str">
            <v>UNIPRO ORIENTAL LUBRICANTS PVT. LTD..</v>
          </cell>
          <cell r="D1074" t="str">
            <v>45</v>
          </cell>
        </row>
        <row r="1075">
          <cell r="A1075" t="str">
            <v>C11656</v>
          </cell>
          <cell r="B1075" t="str">
            <v>Organization</v>
          </cell>
          <cell r="C1075" t="str">
            <v>UNITED PESTICHEM &amp; NONIONICS PVT.. LTD.</v>
          </cell>
          <cell r="D1075" t="str">
            <v>30</v>
          </cell>
        </row>
        <row r="1076">
          <cell r="A1076" t="str">
            <v>C11662</v>
          </cell>
          <cell r="B1076" t="str">
            <v>Organization</v>
          </cell>
          <cell r="C1076" t="str">
            <v>UNITOP CHEMICALS PVT. LTD..</v>
          </cell>
          <cell r="D1076" t="str">
            <v>60</v>
          </cell>
        </row>
        <row r="1077">
          <cell r="A1077" t="str">
            <v>C11664</v>
          </cell>
          <cell r="B1077" t="str">
            <v>Organization</v>
          </cell>
          <cell r="C1077" t="str">
            <v>UNIVERSAL CHEMICALS INDUSTRIES LTD.</v>
          </cell>
          <cell r="D1077" t="str">
            <v>30</v>
          </cell>
        </row>
        <row r="1078">
          <cell r="A1078" t="str">
            <v>C11666</v>
          </cell>
          <cell r="B1078" t="str">
            <v>Organization</v>
          </cell>
          <cell r="C1078" t="str">
            <v>UNIVERSAL IMPEX - IMPORTS &amp; EXPORTS</v>
          </cell>
          <cell r="D1078" t="str">
            <v>1</v>
          </cell>
        </row>
        <row r="1079">
          <cell r="A1079" t="str">
            <v>C11667</v>
          </cell>
          <cell r="B1079" t="str">
            <v>Organization</v>
          </cell>
          <cell r="C1079" t="str">
            <v>UNIVERSAL LABORATORIES PRIVATE LIMITED</v>
          </cell>
          <cell r="D1079" t="str">
            <v>30</v>
          </cell>
        </row>
        <row r="1080">
          <cell r="A1080" t="str">
            <v>C11668</v>
          </cell>
          <cell r="B1080" t="str">
            <v>Organization</v>
          </cell>
          <cell r="C1080" t="str">
            <v>UNIVERSAL OLEORESINS</v>
          </cell>
          <cell r="D1080" t="str">
            <v>0</v>
          </cell>
        </row>
        <row r="1081">
          <cell r="A1081" t="str">
            <v>C11670</v>
          </cell>
          <cell r="B1081" t="str">
            <v>Organization</v>
          </cell>
          <cell r="C1081" t="str">
            <v>UNIVERSAL PETROCHEMICALS LTD. - (TALOJA)</v>
          </cell>
          <cell r="D1081" t="str">
            <v>60</v>
          </cell>
        </row>
        <row r="1082">
          <cell r="A1082" t="str">
            <v>C11673</v>
          </cell>
          <cell r="B1082" t="str">
            <v>Organization</v>
          </cell>
          <cell r="C1082" t="str">
            <v>USHA HI-TECH INDUSTRIES</v>
          </cell>
          <cell r="D1082" t="str">
            <v>1</v>
          </cell>
        </row>
        <row r="1083">
          <cell r="A1083" t="str">
            <v>C11675</v>
          </cell>
          <cell r="B1083" t="str">
            <v>Organization</v>
          </cell>
          <cell r="C1083" t="str">
            <v>V . KUMAR &amp; SON'S</v>
          </cell>
          <cell r="D1083" t="str">
            <v>1</v>
          </cell>
        </row>
        <row r="1084">
          <cell r="A1084" t="str">
            <v>C11677</v>
          </cell>
          <cell r="B1084" t="str">
            <v>Organization</v>
          </cell>
          <cell r="C1084" t="str">
            <v>VAAN LABORATORIES</v>
          </cell>
          <cell r="D1084" t="str">
            <v>30</v>
          </cell>
        </row>
        <row r="1085">
          <cell r="A1085" t="str">
            <v>C11679</v>
          </cell>
          <cell r="B1085" t="str">
            <v>Organization</v>
          </cell>
          <cell r="C1085" t="str">
            <v>VAID ELASTOMER PROCESSORS LTD</v>
          </cell>
          <cell r="D1085" t="str">
            <v>1</v>
          </cell>
        </row>
        <row r="1086">
          <cell r="A1086" t="str">
            <v>C11680</v>
          </cell>
          <cell r="B1086" t="str">
            <v>Organization</v>
          </cell>
          <cell r="C1086" t="str">
            <v>VALENTINE AGRO LIMITED</v>
          </cell>
          <cell r="D1086" t="str">
            <v>0</v>
          </cell>
        </row>
        <row r="1087">
          <cell r="A1087" t="str">
            <v>C11682</v>
          </cell>
          <cell r="B1087" t="str">
            <v>Organization</v>
          </cell>
          <cell r="C1087" t="str">
            <v>VALVOLINE CUMMINS LTD. (COMMON)</v>
          </cell>
          <cell r="D1087" t="str">
            <v>30</v>
          </cell>
        </row>
        <row r="1088">
          <cell r="A1088" t="str">
            <v>C11684</v>
          </cell>
          <cell r="B1088" t="str">
            <v>Organization</v>
          </cell>
          <cell r="C1088" t="str">
            <v>VANILLA INDIA PRODUCER COMPANY LTD.</v>
          </cell>
          <cell r="D1088" t="str">
            <v>0</v>
          </cell>
        </row>
        <row r="1089">
          <cell r="A1089" t="str">
            <v>C11685</v>
          </cell>
          <cell r="B1089" t="str">
            <v>Organization</v>
          </cell>
          <cell r="C1089" t="str">
            <v>VANTEC INDUSTRIES LTD.</v>
          </cell>
          <cell r="D1089" t="str">
            <v>15</v>
          </cell>
        </row>
        <row r="1090">
          <cell r="A1090" t="str">
            <v>C11687</v>
          </cell>
          <cell r="B1090" t="str">
            <v>Organization</v>
          </cell>
          <cell r="C1090" t="str">
            <v>VASISTA FOODS &amp; FATS (P) LTD.</v>
          </cell>
          <cell r="D1090" t="str">
            <v>30</v>
          </cell>
        </row>
        <row r="1091">
          <cell r="A1091" t="str">
            <v>C11692</v>
          </cell>
          <cell r="B1091" t="str">
            <v>Organization</v>
          </cell>
          <cell r="C1091" t="str">
            <v>VAV LIFE SCIENCE PVT. LTD</v>
          </cell>
          <cell r="D1091" t="str">
            <v>1</v>
          </cell>
        </row>
        <row r="1092">
          <cell r="A1092" t="str">
            <v>C11693</v>
          </cell>
          <cell r="B1092" t="str">
            <v>Organization</v>
          </cell>
          <cell r="C1092" t="str">
            <v>VEKAY POLYPLAST PVT. LTD.,</v>
          </cell>
          <cell r="D1092" t="str">
            <v>30</v>
          </cell>
        </row>
        <row r="1093">
          <cell r="A1093" t="str">
            <v>C11694</v>
          </cell>
          <cell r="B1093" t="str">
            <v>Organization</v>
          </cell>
          <cell r="C1093" t="str">
            <v>VELLOILS LUBRICANT &amp; PETROCHEM LTD.</v>
          </cell>
          <cell r="D1093" t="str">
            <v>30</v>
          </cell>
        </row>
        <row r="1094">
          <cell r="A1094" t="str">
            <v>C11695</v>
          </cell>
          <cell r="B1094" t="str">
            <v>Organization</v>
          </cell>
          <cell r="C1094" t="str">
            <v>VENSA BIOTEK LIMITED</v>
          </cell>
          <cell r="D1094" t="str">
            <v>7</v>
          </cell>
        </row>
        <row r="1095">
          <cell r="A1095" t="str">
            <v>C11701</v>
          </cell>
          <cell r="B1095" t="str">
            <v>Organization</v>
          </cell>
          <cell r="C1095" t="str">
            <v>VIDYA METAL CONTAINERS</v>
          </cell>
          <cell r="D1095" t="str">
            <v>60</v>
          </cell>
        </row>
        <row r="1096">
          <cell r="A1096" t="str">
            <v>C11702</v>
          </cell>
          <cell r="B1096" t="str">
            <v>Organization</v>
          </cell>
          <cell r="C1096" t="str">
            <v>VIJAY PLASTIC INDUSTRIES</v>
          </cell>
          <cell r="D1096" t="str">
            <v>30</v>
          </cell>
        </row>
        <row r="1097">
          <cell r="A1097" t="str">
            <v>C11706</v>
          </cell>
          <cell r="B1097" t="str">
            <v>Organization</v>
          </cell>
          <cell r="C1097" t="str">
            <v>VINAYAK PETROLEUMS</v>
          </cell>
          <cell r="D1097" t="str">
            <v>30</v>
          </cell>
        </row>
        <row r="1098">
          <cell r="A1098" t="str">
            <v>C11709</v>
          </cell>
          <cell r="B1098" t="str">
            <v>Organization</v>
          </cell>
          <cell r="C1098" t="str">
            <v>VINZOL OILS (INDIA)</v>
          </cell>
          <cell r="D1098" t="str">
            <v>0</v>
          </cell>
        </row>
        <row r="1099">
          <cell r="A1099" t="str">
            <v>C11710</v>
          </cell>
          <cell r="B1099" t="str">
            <v>Organization</v>
          </cell>
          <cell r="C1099" t="str">
            <v>VIPAT LUBRICANTS</v>
          </cell>
          <cell r="D1099" t="str">
            <v>1</v>
          </cell>
        </row>
        <row r="1100">
          <cell r="A1100" t="str">
            <v>C11717</v>
          </cell>
          <cell r="B1100" t="str">
            <v>Organization</v>
          </cell>
          <cell r="C1100" t="str">
            <v>VISHWANATH OKE</v>
          </cell>
          <cell r="D1100" t="str">
            <v>30</v>
          </cell>
        </row>
        <row r="1101">
          <cell r="A1101" t="str">
            <v>C11720</v>
          </cell>
          <cell r="B1101" t="str">
            <v>Organization</v>
          </cell>
          <cell r="C1101" t="str">
            <v>VIVEK FLAVOURS</v>
          </cell>
          <cell r="D1101" t="str">
            <v>30</v>
          </cell>
        </row>
        <row r="1102">
          <cell r="A1102" t="str">
            <v>C11721</v>
          </cell>
          <cell r="B1102" t="str">
            <v>Organization</v>
          </cell>
          <cell r="C1102" t="str">
            <v>VORIN LABORATORIES LTD.</v>
          </cell>
          <cell r="D1102" t="str">
            <v>45</v>
          </cell>
        </row>
        <row r="1103">
          <cell r="A1103" t="str">
            <v>C11722</v>
          </cell>
          <cell r="B1103" t="str">
            <v>Organization</v>
          </cell>
          <cell r="C1103" t="str">
            <v>VOSSEN &amp; CO SA/NV</v>
          </cell>
          <cell r="D1103" t="str">
            <v>0</v>
          </cell>
        </row>
        <row r="1104">
          <cell r="A1104" t="str">
            <v>C11724</v>
          </cell>
          <cell r="B1104" t="str">
            <v>Organization</v>
          </cell>
          <cell r="C1104" t="str">
            <v>VRINDA PETROLEUM &amp; CHEMICALS PVT. LTD</v>
          </cell>
          <cell r="D1104" t="str">
            <v>0</v>
          </cell>
        </row>
        <row r="1105">
          <cell r="A1105" t="str">
            <v>C11726</v>
          </cell>
          <cell r="B1105" t="str">
            <v>Organization</v>
          </cell>
          <cell r="C1105" t="str">
            <v>WACKER METROARK CHEMICALS PVT. LTD..(closed)</v>
          </cell>
          <cell r="D1105" t="str">
            <v>60</v>
          </cell>
        </row>
        <row r="1106">
          <cell r="A1106" t="str">
            <v>C11727</v>
          </cell>
          <cell r="B1106" t="str">
            <v>Organization</v>
          </cell>
          <cell r="C1106" t="str">
            <v>WANKSONS CHEMICAL INDS. PVT. LTD</v>
          </cell>
          <cell r="D1106" t="str">
            <v>30</v>
          </cell>
        </row>
        <row r="1107">
          <cell r="A1107" t="str">
            <v>C11728</v>
          </cell>
          <cell r="B1107" t="str">
            <v>Organization</v>
          </cell>
          <cell r="C1107" t="str">
            <v>WATSOL ORGANICS LIMITED</v>
          </cell>
          <cell r="D1107" t="str">
            <v>60</v>
          </cell>
        </row>
        <row r="1108">
          <cell r="A1108" t="str">
            <v>C11729</v>
          </cell>
          <cell r="B1108" t="str">
            <v>Organization</v>
          </cell>
          <cell r="C1108" t="str">
            <v>WATSOL POLYMERS PVT. LTD..</v>
          </cell>
          <cell r="D1108" t="str">
            <v>45</v>
          </cell>
        </row>
        <row r="1109">
          <cell r="A1109" t="str">
            <v>C11730</v>
          </cell>
          <cell r="B1109" t="str">
            <v>Organization</v>
          </cell>
          <cell r="C1109" t="str">
            <v>WELLCHEM LABORATORIES</v>
          </cell>
          <cell r="D1109" t="str">
            <v>30</v>
          </cell>
        </row>
        <row r="1110">
          <cell r="A1110" t="str">
            <v>C11731</v>
          </cell>
          <cell r="B1110" t="str">
            <v>Organization</v>
          </cell>
          <cell r="C1110" t="str">
            <v>WELLCOL CHEMICALS PVT. LTD.</v>
          </cell>
          <cell r="D1110" t="str">
            <v>60</v>
          </cell>
        </row>
        <row r="1111">
          <cell r="A1111" t="str">
            <v>C11732</v>
          </cell>
          <cell r="B1111" t="str">
            <v>Organization</v>
          </cell>
          <cell r="C1111" t="str">
            <v>WEST COAST HERBOCHEM LTD</v>
          </cell>
          <cell r="D1111" t="str">
            <v>30</v>
          </cell>
        </row>
        <row r="1112">
          <cell r="A1112" t="str">
            <v>C11733</v>
          </cell>
          <cell r="B1112" t="str">
            <v>Organization</v>
          </cell>
          <cell r="C1112" t="str">
            <v>WESTERN INDIA CHEMICALS</v>
          </cell>
          <cell r="D1112" t="str">
            <v>60</v>
          </cell>
        </row>
        <row r="1113">
          <cell r="A1113" t="str">
            <v>C11734</v>
          </cell>
          <cell r="B1113" t="str">
            <v>Organization</v>
          </cell>
          <cell r="C1113" t="str">
            <v>WRITING AIDS</v>
          </cell>
          <cell r="D1113" t="str">
            <v>60</v>
          </cell>
        </row>
        <row r="1114">
          <cell r="A1114" t="str">
            <v>C11735</v>
          </cell>
          <cell r="B1114" t="str">
            <v>Organization</v>
          </cell>
          <cell r="C1114" t="str">
            <v>WYNAD RESINS</v>
          </cell>
          <cell r="D1114" t="str">
            <v>1</v>
          </cell>
        </row>
        <row r="1115">
          <cell r="A1115" t="str">
            <v>C11736</v>
          </cell>
          <cell r="B1115" t="str">
            <v>Organization</v>
          </cell>
          <cell r="C1115" t="str">
            <v>XL ASSOCIATES</v>
          </cell>
          <cell r="D1115" t="str">
            <v>75</v>
          </cell>
        </row>
        <row r="1116">
          <cell r="A1116" t="str">
            <v>C11737</v>
          </cell>
          <cell r="B1116" t="str">
            <v>Organization</v>
          </cell>
          <cell r="C1116" t="str">
            <v>YAG MAG LABS PVT. LIMITED</v>
          </cell>
          <cell r="D1116" t="str">
            <v>45</v>
          </cell>
        </row>
        <row r="1117">
          <cell r="A1117" t="str">
            <v>C11738</v>
          </cell>
          <cell r="B1117" t="str">
            <v>Organization</v>
          </cell>
          <cell r="C1117" t="str">
            <v>YALE SYNTHLUBE INDUSTRIES</v>
          </cell>
          <cell r="D1117" t="str">
            <v>30</v>
          </cell>
        </row>
        <row r="1118">
          <cell r="A1118" t="str">
            <v>C11739</v>
          </cell>
          <cell r="B1118" t="str">
            <v>Organization</v>
          </cell>
          <cell r="C1118" t="str">
            <v>YASH EXPORTS</v>
          </cell>
          <cell r="D1118" t="str">
            <v>30</v>
          </cell>
        </row>
        <row r="1119">
          <cell r="A1119" t="str">
            <v>C11741</v>
          </cell>
          <cell r="B1119" t="str">
            <v>Organization</v>
          </cell>
          <cell r="C1119" t="str">
            <v>YASHRAJ CONTAINERS</v>
          </cell>
          <cell r="D1119" t="str">
            <v>30</v>
          </cell>
        </row>
        <row r="1120">
          <cell r="A1120" t="str">
            <v>C11743</v>
          </cell>
          <cell r="B1120" t="str">
            <v>Organization</v>
          </cell>
          <cell r="C1120" t="str">
            <v>YEMEN LUBRICANTS MANUFACTURING CO. LTD</v>
          </cell>
          <cell r="D1120" t="str">
            <v>1</v>
          </cell>
        </row>
        <row r="1121">
          <cell r="A1121" t="str">
            <v>C11744</v>
          </cell>
          <cell r="B1121" t="str">
            <v>Organization</v>
          </cell>
          <cell r="C1121" t="str">
            <v>YOGESH POLYTECH INDUSTRIES</v>
          </cell>
          <cell r="D1121" t="str">
            <v>1</v>
          </cell>
        </row>
        <row r="1122">
          <cell r="A1122" t="str">
            <v>C11746</v>
          </cell>
          <cell r="B1122" t="str">
            <v>Organization</v>
          </cell>
          <cell r="C1122" t="str">
            <v>ZAWAR SALES LIMITED</v>
          </cell>
          <cell r="D1122" t="str">
            <v>1</v>
          </cell>
        </row>
        <row r="1123">
          <cell r="A1123" t="str">
            <v>C11748</v>
          </cell>
          <cell r="B1123" t="str">
            <v>Organization</v>
          </cell>
          <cell r="C1123" t="str">
            <v>ZAVENIR DAUBERT INDIA PVT. LTD</v>
          </cell>
          <cell r="D1123" t="str">
            <v>60</v>
          </cell>
        </row>
        <row r="1124">
          <cell r="A1124" t="str">
            <v>C11749</v>
          </cell>
          <cell r="B1124" t="str">
            <v>Organization</v>
          </cell>
          <cell r="C1124" t="str">
            <v>ZIRCONIUM CHEMICALS PVT. LTD..</v>
          </cell>
          <cell r="D1124" t="str">
            <v>45</v>
          </cell>
        </row>
        <row r="1125">
          <cell r="A1125" t="str">
            <v>C11750</v>
          </cell>
          <cell r="B1125" t="str">
            <v>Organization</v>
          </cell>
          <cell r="C1125" t="str">
            <v>ZYDEX INDUSTRIES</v>
          </cell>
          <cell r="D1125" t="str">
            <v>0</v>
          </cell>
        </row>
        <row r="1126">
          <cell r="A1126" t="str">
            <v>C11752</v>
          </cell>
          <cell r="B1126" t="str">
            <v>Organization</v>
          </cell>
          <cell r="C1126" t="str">
            <v>BALMER LAWRIE &amp; CO. LTD. - KOLKATA</v>
          </cell>
          <cell r="D1126" t="str">
            <v>45</v>
          </cell>
        </row>
        <row r="1127">
          <cell r="A1127" t="str">
            <v>C11753</v>
          </cell>
          <cell r="B1127" t="str">
            <v>Organization</v>
          </cell>
          <cell r="C1127" t="str">
            <v>BHARAT BARREL &amp; DRUM MFG. CO. LTD.</v>
          </cell>
          <cell r="D1127" t="str">
            <v>60</v>
          </cell>
        </row>
        <row r="1128">
          <cell r="A1128" t="str">
            <v>C11754</v>
          </cell>
          <cell r="B1128" t="str">
            <v>Organization</v>
          </cell>
          <cell r="C1128" t="str">
            <v>BHARAT BARREL &amp; DRUM MFG. CO. PVT. LTD. - FARIDABAD</v>
          </cell>
          <cell r="D1128" t="str">
            <v>60</v>
          </cell>
        </row>
        <row r="1129">
          <cell r="A1129" t="str">
            <v>C11755</v>
          </cell>
          <cell r="B1129" t="str">
            <v>Organization</v>
          </cell>
          <cell r="C1129" t="str">
            <v>BHARAT RASAYAN LIMITED.</v>
          </cell>
          <cell r="D1129" t="str">
            <v>30</v>
          </cell>
        </row>
        <row r="1130">
          <cell r="A1130" t="str">
            <v>C11756</v>
          </cell>
          <cell r="B1130" t="str">
            <v>Organization</v>
          </cell>
          <cell r="C1130" t="str">
            <v>CASTROL INDIA LIMITED - DADRA &amp; NAGAR HAVELI</v>
          </cell>
          <cell r="D1130" t="str">
            <v>30</v>
          </cell>
        </row>
        <row r="1131">
          <cell r="A1131" t="str">
            <v>C11757</v>
          </cell>
          <cell r="B1131" t="str">
            <v>Organization</v>
          </cell>
          <cell r="C1131" t="str">
            <v>COLUMBIA PETRO-CHEM LTD. - RAIGAD</v>
          </cell>
          <cell r="D1131" t="str">
            <v>60</v>
          </cell>
        </row>
        <row r="1132">
          <cell r="A1132" t="str">
            <v>C11758</v>
          </cell>
          <cell r="B1132" t="str">
            <v>Organization</v>
          </cell>
          <cell r="C1132" t="str">
            <v>CONTOUR PACK VENTURE PVT. LTD..</v>
          </cell>
          <cell r="D1132" t="str">
            <v>15</v>
          </cell>
        </row>
        <row r="1133">
          <cell r="A1133" t="str">
            <v>C11759</v>
          </cell>
          <cell r="B1133" t="str">
            <v>Organization</v>
          </cell>
          <cell r="C1133" t="str">
            <v>CRAY VALLEY RESINS INDIA PVT. LTD</v>
          </cell>
          <cell r="D1133" t="str">
            <v>7</v>
          </cell>
        </row>
        <row r="1134">
          <cell r="A1134" t="str">
            <v>C11760</v>
          </cell>
          <cell r="B1134" t="str">
            <v>Organization</v>
          </cell>
          <cell r="C1134" t="str">
            <v>DCW LIMITED.</v>
          </cell>
          <cell r="D1134" t="str">
            <v>60</v>
          </cell>
        </row>
        <row r="1135">
          <cell r="A1135" t="str">
            <v>C11761</v>
          </cell>
          <cell r="B1135" t="str">
            <v>Organization</v>
          </cell>
          <cell r="C1135" t="str">
            <v>DHIRAJLAL &amp; COMPANY (SERVICED BY CLOSURE DIV)</v>
          </cell>
          <cell r="D1135" t="str">
            <v>1</v>
          </cell>
        </row>
        <row r="1136">
          <cell r="A1136" t="str">
            <v>C11762</v>
          </cell>
          <cell r="B1136" t="str">
            <v>Organization</v>
          </cell>
          <cell r="C1136" t="str">
            <v>DIMPLE DRUMS &amp; BARRELS PVT. LTD. - RASAYANI</v>
          </cell>
          <cell r="D1136" t="str">
            <v>30</v>
          </cell>
        </row>
        <row r="1137">
          <cell r="A1137" t="str">
            <v>C11763</v>
          </cell>
          <cell r="B1137" t="str">
            <v>Organization</v>
          </cell>
          <cell r="C1137" t="str">
            <v>BALMER LAWRIE - VAN LEER LIMITED - DEHARADUN</v>
          </cell>
          <cell r="D1137" t="str">
            <v>0</v>
          </cell>
        </row>
        <row r="1138">
          <cell r="A1138" t="str">
            <v>C11764</v>
          </cell>
          <cell r="B1138" t="str">
            <v>Organization</v>
          </cell>
          <cell r="C1138" t="str">
            <v>BOMBAY CHEMICALS P. LTD.</v>
          </cell>
          <cell r="D1138" t="str">
            <v>30</v>
          </cell>
        </row>
        <row r="1139">
          <cell r="A1139" t="str">
            <v>C11765</v>
          </cell>
          <cell r="B1139" t="str">
            <v>Organization</v>
          </cell>
          <cell r="C1139" t="str">
            <v>PIRAMAL  HEALTH CARE LTD.</v>
          </cell>
          <cell r="D1139" t="str">
            <v>30</v>
          </cell>
        </row>
        <row r="1140">
          <cell r="A1140" t="str">
            <v>C11766</v>
          </cell>
          <cell r="B1140" t="str">
            <v>Organization</v>
          </cell>
          <cell r="C1140" t="str">
            <v>POONAM DRUMS &amp; CONTAINERS - MOHALI</v>
          </cell>
          <cell r="D1140" t="str">
            <v>90</v>
          </cell>
        </row>
        <row r="1141">
          <cell r="A1141" t="str">
            <v>C11767</v>
          </cell>
          <cell r="B1141" t="str">
            <v>Organization</v>
          </cell>
          <cell r="C1141" t="str">
            <v>SAVITA OIL TECHNOLOGIES LIMITED. - SILVASSA</v>
          </cell>
          <cell r="D1141" t="str">
            <v>30</v>
          </cell>
        </row>
        <row r="1142">
          <cell r="A1142" t="str">
            <v>C11768</v>
          </cell>
          <cell r="B1142" t="str">
            <v>Organization</v>
          </cell>
          <cell r="C1142" t="str">
            <v>SAVITA OIL TECHNOLOGIES LIMITED. - TURBHE</v>
          </cell>
          <cell r="D1142" t="str">
            <v>30</v>
          </cell>
        </row>
        <row r="1143">
          <cell r="A1143" t="str">
            <v>C11769</v>
          </cell>
          <cell r="B1143" t="str">
            <v>Organization</v>
          </cell>
          <cell r="C1143" t="str">
            <v>A.M KHAN &amp; COMPANY.</v>
          </cell>
          <cell r="D1143" t="str">
            <v>1</v>
          </cell>
        </row>
        <row r="1144">
          <cell r="A1144" t="str">
            <v>C11770</v>
          </cell>
          <cell r="B1144" t="str">
            <v>Organization</v>
          </cell>
          <cell r="C1144" t="str">
            <v>ADORE CONTAINERS</v>
          </cell>
          <cell r="D1144" t="str">
            <v>1</v>
          </cell>
        </row>
        <row r="1145">
          <cell r="A1145" t="str">
            <v>C11771</v>
          </cell>
          <cell r="B1145" t="str">
            <v>Organization</v>
          </cell>
          <cell r="C1145" t="str">
            <v>AMINES &amp; PLASTICIZERS LIMITED</v>
          </cell>
          <cell r="D1145" t="str">
            <v>30</v>
          </cell>
        </row>
        <row r="1146">
          <cell r="A1146" t="str">
            <v>C11772</v>
          </cell>
          <cell r="B1146" t="str">
            <v>Organization</v>
          </cell>
          <cell r="C1146" t="str">
            <v>ANUP INDUSTRIES LIMITED</v>
          </cell>
          <cell r="D1146" t="str">
            <v>30</v>
          </cell>
        </row>
        <row r="1147">
          <cell r="A1147" t="str">
            <v>C11773</v>
          </cell>
          <cell r="B1147" t="str">
            <v>Organization</v>
          </cell>
          <cell r="C1147" t="str">
            <v>AP COATED DRUMS &amp; BARRELS PVT. LTD.</v>
          </cell>
          <cell r="D1147" t="str">
            <v>60</v>
          </cell>
        </row>
        <row r="1148">
          <cell r="A1148" t="str">
            <v>C11774</v>
          </cell>
          <cell r="B1148" t="str">
            <v>Organization</v>
          </cell>
          <cell r="C1148" t="str">
            <v>APAR INDUSTRIES LTD. - NAVI MUMBAI</v>
          </cell>
          <cell r="D1148" t="str">
            <v>45</v>
          </cell>
        </row>
        <row r="1149">
          <cell r="A1149" t="str">
            <v>C11775</v>
          </cell>
          <cell r="B1149" t="str">
            <v>Organization</v>
          </cell>
          <cell r="C1149" t="str">
            <v>GANDHAR OIL REFINERY INDIA LTD. - SILVASSA</v>
          </cell>
          <cell r="D1149" t="str">
            <v>45</v>
          </cell>
        </row>
        <row r="1150">
          <cell r="A1150" t="str">
            <v>C11776</v>
          </cell>
          <cell r="B1150" t="str">
            <v>Organization</v>
          </cell>
          <cell r="C1150" t="str">
            <v>GANDHAR OIL REFINERY INDIA LTD. - TALOJA</v>
          </cell>
          <cell r="D1150" t="str">
            <v>45</v>
          </cell>
        </row>
        <row r="1151">
          <cell r="A1151" t="str">
            <v>C11777</v>
          </cell>
          <cell r="B1151" t="str">
            <v>Organization</v>
          </cell>
          <cell r="C1151" t="str">
            <v>GS CALTEX LUBE INDIA PVT. LTD</v>
          </cell>
          <cell r="D1151" t="str">
            <v>30</v>
          </cell>
        </row>
        <row r="1152">
          <cell r="A1152" t="str">
            <v>C11778</v>
          </cell>
          <cell r="B1152" t="str">
            <v>Organization</v>
          </cell>
          <cell r="C1152" t="str">
            <v>GUJARAT CONTAINERS LTD. - SAVLI</v>
          </cell>
          <cell r="D1152" t="str">
            <v>60</v>
          </cell>
        </row>
        <row r="1153">
          <cell r="A1153" t="str">
            <v>C11779</v>
          </cell>
          <cell r="B1153" t="str">
            <v>Organization</v>
          </cell>
          <cell r="C1153" t="str">
            <v>GULF OIL CORPORATION LTD</v>
          </cell>
          <cell r="D1153" t="str">
            <v>30</v>
          </cell>
        </row>
        <row r="1154">
          <cell r="A1154" t="str">
            <v>C11780</v>
          </cell>
          <cell r="B1154" t="str">
            <v>Organization</v>
          </cell>
          <cell r="C1154" t="str">
            <v>HINDUSTAN POLYMIDES &amp; FIBRES LIMITED</v>
          </cell>
          <cell r="D1154" t="str">
            <v>30</v>
          </cell>
        </row>
        <row r="1155">
          <cell r="A1155" t="str">
            <v>C11781</v>
          </cell>
          <cell r="B1155" t="str">
            <v>Organization</v>
          </cell>
          <cell r="C1155" t="str">
            <v>JAYANT AGRO-ORGANICS LIMITED</v>
          </cell>
          <cell r="D1155" t="str">
            <v>60</v>
          </cell>
        </row>
        <row r="1156">
          <cell r="A1156" t="str">
            <v>C11782</v>
          </cell>
          <cell r="B1156" t="str">
            <v>Organization</v>
          </cell>
          <cell r="C1156" t="str">
            <v>K.C. INDUSTRIES</v>
          </cell>
          <cell r="D1156" t="str">
            <v>45</v>
          </cell>
        </row>
        <row r="1157">
          <cell r="A1157" t="str">
            <v>C11783</v>
          </cell>
          <cell r="B1157" t="str">
            <v>Organization</v>
          </cell>
          <cell r="C1157" t="str">
            <v>KOTHARI  PETROCHEMICALS LTD.</v>
          </cell>
          <cell r="D1157" t="str">
            <v>15</v>
          </cell>
        </row>
        <row r="1158">
          <cell r="A1158" t="str">
            <v>C11784</v>
          </cell>
          <cell r="B1158" t="str">
            <v>Organization</v>
          </cell>
          <cell r="C1158" t="str">
            <v>KRISHNA ANTIOXIDANTS PVT. LTD. - RATNAGIRI</v>
          </cell>
          <cell r="D1158" t="str">
            <v>30</v>
          </cell>
        </row>
        <row r="1159">
          <cell r="A1159" t="str">
            <v>C11785</v>
          </cell>
          <cell r="B1159" t="str">
            <v>Organization</v>
          </cell>
          <cell r="C1159" t="str">
            <v>KRISHNA BARRELS PVT LTD</v>
          </cell>
          <cell r="D1159" t="str">
            <v>30</v>
          </cell>
        </row>
        <row r="1160">
          <cell r="A1160" t="str">
            <v>C11786</v>
          </cell>
          <cell r="B1160" t="str">
            <v>Organization</v>
          </cell>
          <cell r="C1160" t="str">
            <v>KUMAR CONTAINERS - WORKS  (KANNAUJ)</v>
          </cell>
          <cell r="D1160" t="str">
            <v>60</v>
          </cell>
        </row>
        <row r="1161">
          <cell r="A1161" t="str">
            <v>C11787</v>
          </cell>
          <cell r="B1161" t="str">
            <v>Organization</v>
          </cell>
          <cell r="C1161" t="str">
            <v>LSR SEPCIALITY OILS PVT. LTD.  - TALOJA-ELF</v>
          </cell>
          <cell r="D1161" t="str">
            <v>30</v>
          </cell>
        </row>
        <row r="1162">
          <cell r="A1162" t="str">
            <v>C11788</v>
          </cell>
          <cell r="B1162" t="str">
            <v>Organization</v>
          </cell>
          <cell r="C1162" t="str">
            <v>LSR SPECIALITY OILS PVT. LTD. - TALOJA-EXXON</v>
          </cell>
          <cell r="D1162" t="str">
            <v>30</v>
          </cell>
        </row>
        <row r="1163">
          <cell r="A1163" t="str">
            <v>C11789</v>
          </cell>
          <cell r="B1163" t="str">
            <v>Organization</v>
          </cell>
          <cell r="C1163" t="str">
            <v>MAHATA PETROLEUM PRIVATE LTD</v>
          </cell>
          <cell r="D1163" t="str">
            <v>0</v>
          </cell>
        </row>
        <row r="1164">
          <cell r="A1164" t="str">
            <v>C11790</v>
          </cell>
          <cell r="B1164" t="str">
            <v>Organization</v>
          </cell>
          <cell r="C1164" t="str">
            <v>MANALI PTROCHEMICALS LTD (PLANT1)</v>
          </cell>
          <cell r="D1164" t="str">
            <v>60</v>
          </cell>
        </row>
        <row r="1165">
          <cell r="A1165" t="str">
            <v>C11791</v>
          </cell>
          <cell r="B1165" t="str">
            <v>Organization</v>
          </cell>
          <cell r="C1165" t="str">
            <v>NEW BOMBAY DRUMS CO.</v>
          </cell>
          <cell r="D1165" t="str">
            <v>30</v>
          </cell>
        </row>
        <row r="1166">
          <cell r="A1166" t="str">
            <v>C11792</v>
          </cell>
          <cell r="B1166" t="str">
            <v>Organization</v>
          </cell>
          <cell r="C1166" t="str">
            <v>OASIS IMPEX</v>
          </cell>
          <cell r="D1166" t="str">
            <v>1</v>
          </cell>
        </row>
        <row r="1167">
          <cell r="A1167" t="str">
            <v>C11793</v>
          </cell>
          <cell r="B1167" t="str">
            <v>Organization</v>
          </cell>
          <cell r="C1167" t="str">
            <v>PACK WELL INDUSTRIES</v>
          </cell>
          <cell r="D1167" t="str">
            <v>30</v>
          </cell>
        </row>
        <row r="1168">
          <cell r="A1168" t="str">
            <v>C11794</v>
          </cell>
          <cell r="B1168" t="str">
            <v>Organization</v>
          </cell>
          <cell r="C1168" t="str">
            <v>PACKME INDUSTRIES Pvt.Ltd.</v>
          </cell>
          <cell r="D1168" t="str">
            <v>30</v>
          </cell>
        </row>
        <row r="1169">
          <cell r="A1169" t="str">
            <v>C11795</v>
          </cell>
          <cell r="B1169" t="str">
            <v>Organization</v>
          </cell>
          <cell r="C1169" t="str">
            <v>POONAM  DRUMS &amp; CONTAINERS P. LTD. - KHOPOLI</v>
          </cell>
          <cell r="D1169" t="str">
            <v>90</v>
          </cell>
        </row>
        <row r="1170">
          <cell r="A1170" t="str">
            <v>C11796</v>
          </cell>
          <cell r="B1170" t="str">
            <v>Organization</v>
          </cell>
          <cell r="C1170" t="str">
            <v>E-CON PACKAGING PVT. LTD - KHARADPADA</v>
          </cell>
          <cell r="D1170" t="str">
            <v>90</v>
          </cell>
        </row>
        <row r="1171">
          <cell r="A1171" t="str">
            <v>C11797</v>
          </cell>
          <cell r="B1171" t="str">
            <v>Organization</v>
          </cell>
          <cell r="C1171" t="str">
            <v>E-CON PACKAGING PVT. LTD - CHICHPADA</v>
          </cell>
          <cell r="D1171" t="str">
            <v>90</v>
          </cell>
        </row>
        <row r="1172">
          <cell r="A1172" t="str">
            <v>C11798</v>
          </cell>
          <cell r="B1172" t="str">
            <v>Organization</v>
          </cell>
          <cell r="C1172" t="str">
            <v>RAJ PETRO SPECIALITIES PVT. LTD. - SILVASSA</v>
          </cell>
          <cell r="D1172" t="str">
            <v>45</v>
          </cell>
        </row>
        <row r="1173">
          <cell r="A1173" t="str">
            <v>C11799</v>
          </cell>
          <cell r="B1173" t="str">
            <v>Organization</v>
          </cell>
          <cell r="C1173" t="str">
            <v>RAJ PETRO SPECIALITIES PVT LTD.CHENNAI (CLOSED)</v>
          </cell>
          <cell r="D1173" t="str">
            <v>45</v>
          </cell>
        </row>
        <row r="1174">
          <cell r="A1174" t="str">
            <v>C11800</v>
          </cell>
          <cell r="B1174" t="str">
            <v>Organization</v>
          </cell>
          <cell r="C1174" t="str">
            <v>SAVITA POLYMERS LIMITED -MAHAD</v>
          </cell>
          <cell r="D1174" t="str">
            <v>30</v>
          </cell>
        </row>
        <row r="1175">
          <cell r="A1175" t="str">
            <v>C11801</v>
          </cell>
          <cell r="B1175" t="str">
            <v>Organization</v>
          </cell>
          <cell r="C1175" t="str">
            <v>*STOPPED*SUVIDA DRUMS</v>
          </cell>
          <cell r="D1175" t="str">
            <v>60</v>
          </cell>
        </row>
        <row r="1176">
          <cell r="A1176" t="str">
            <v>C11802</v>
          </cell>
          <cell r="B1176" t="str">
            <v>Organization</v>
          </cell>
          <cell r="C1176" t="str">
            <v>T &amp; D GALIAKOT CONTAINERS PVT. LTD. (SILVASSA)</v>
          </cell>
          <cell r="D1176" t="str">
            <v>45</v>
          </cell>
        </row>
        <row r="1177">
          <cell r="A1177" t="str">
            <v>C11803</v>
          </cell>
          <cell r="B1177" t="str">
            <v>Organization</v>
          </cell>
          <cell r="C1177" t="str">
            <v>TECHNOSTAR ENGINEERING PVT. LTD.</v>
          </cell>
          <cell r="D1177" t="str">
            <v>90</v>
          </cell>
        </row>
        <row r="1178">
          <cell r="A1178" t="str">
            <v>C11804</v>
          </cell>
          <cell r="B1178" t="str">
            <v>Organization</v>
          </cell>
          <cell r="C1178" t="str">
            <v>THE GENERAL MANAGER (BHUSAWAL)</v>
          </cell>
          <cell r="D1178" t="str">
            <v>30</v>
          </cell>
        </row>
        <row r="1179">
          <cell r="A1179" t="str">
            <v>C11805</v>
          </cell>
          <cell r="B1179" t="str">
            <v>Organization</v>
          </cell>
          <cell r="C1179" t="str">
            <v>TIDE WATER OIL CO. (INDIA) LTD. - TURBHE</v>
          </cell>
          <cell r="D1179" t="str">
            <v>30</v>
          </cell>
        </row>
        <row r="1180">
          <cell r="A1180" t="str">
            <v>C11806</v>
          </cell>
          <cell r="B1180" t="str">
            <v>Organization</v>
          </cell>
          <cell r="C1180" t="str">
            <v>TIDE WATER OIL CO. (INDIA) LTD. - SILVASSA</v>
          </cell>
          <cell r="D1180" t="str">
            <v>30</v>
          </cell>
        </row>
        <row r="1181">
          <cell r="A1181" t="str">
            <v>C11807</v>
          </cell>
          <cell r="B1181" t="str">
            <v>Organization</v>
          </cell>
          <cell r="C1181" t="str">
            <v>TOTAL OIL INDIA LTD.</v>
          </cell>
          <cell r="D1181" t="str">
            <v>60</v>
          </cell>
        </row>
        <row r="1182">
          <cell r="A1182" t="str">
            <v>C11808</v>
          </cell>
          <cell r="B1182" t="str">
            <v>Organization</v>
          </cell>
          <cell r="C1182" t="str">
            <v>ULTRA PLUS LUBES PVT.. LTD.</v>
          </cell>
          <cell r="D1182" t="str">
            <v>60</v>
          </cell>
        </row>
        <row r="1183">
          <cell r="A1183" t="str">
            <v>C11809</v>
          </cell>
          <cell r="B1183" t="str">
            <v>Organization</v>
          </cell>
          <cell r="C1183" t="str">
            <v>VIKATMEV CONTAINERS LTD.  -ANKLESHWAR</v>
          </cell>
          <cell r="D1183" t="str">
            <v>60</v>
          </cell>
        </row>
        <row r="1184">
          <cell r="A1184" t="str">
            <v>C11810</v>
          </cell>
          <cell r="B1184" t="str">
            <v>Organization</v>
          </cell>
          <cell r="C1184" t="str">
            <v>WACKER METROARK CHEMICALS PVT. LTD.</v>
          </cell>
          <cell r="D1184" t="str">
            <v>30</v>
          </cell>
        </row>
        <row r="1185">
          <cell r="A1185" t="str">
            <v>C11811</v>
          </cell>
          <cell r="B1185" t="str">
            <v>Organization</v>
          </cell>
          <cell r="C1185" t="str">
            <v>WESTERN STEEL DRUMS PVT. LTD..</v>
          </cell>
          <cell r="D1185" t="str">
            <v>60</v>
          </cell>
        </row>
        <row r="1186">
          <cell r="A1186" t="str">
            <v>C11812</v>
          </cell>
          <cell r="B1186" t="str">
            <v>Organization</v>
          </cell>
          <cell r="C1186" t="str">
            <v>YASHRAJ CONTAINEURS LIMITED - DAMAN</v>
          </cell>
          <cell r="D1186" t="str">
            <v>15</v>
          </cell>
        </row>
        <row r="1187">
          <cell r="A1187" t="str">
            <v>C11813</v>
          </cell>
          <cell r="B1187" t="str">
            <v>Organization</v>
          </cell>
          <cell r="C1187" t="str">
            <v>GOPANI METAL INDUSTRIES PVT. LTD.</v>
          </cell>
          <cell r="D1187" t="str">
            <v>1</v>
          </cell>
        </row>
        <row r="1188">
          <cell r="A1188" t="str">
            <v>C11814</v>
          </cell>
          <cell r="B1188" t="str">
            <v>Organization</v>
          </cell>
          <cell r="C1188" t="str">
            <v>BALMER LAWRIE &amp; CO. LTD (DO NOT USE)</v>
          </cell>
          <cell r="D1188" t="str">
            <v>45</v>
          </cell>
        </row>
        <row r="1189">
          <cell r="A1189" t="str">
            <v>C11815</v>
          </cell>
          <cell r="B1189" t="str">
            <v>Organization</v>
          </cell>
          <cell r="C1189" t="str">
            <v>BENZSAL CORPORATION</v>
          </cell>
          <cell r="D1189" t="str">
            <v>1</v>
          </cell>
        </row>
        <row r="1190">
          <cell r="A1190" t="str">
            <v>C11816</v>
          </cell>
          <cell r="B1190" t="str">
            <v>Organization</v>
          </cell>
          <cell r="C1190" t="str">
            <v>BOS NATURAL A FLAVOURS (P) LIMITED</v>
          </cell>
          <cell r="D1190" t="str">
            <v>0</v>
          </cell>
        </row>
        <row r="1191">
          <cell r="A1191" t="str">
            <v>C11817</v>
          </cell>
          <cell r="B1191" t="str">
            <v>Organization</v>
          </cell>
          <cell r="C1191" t="str">
            <v>CHOUDHARY  BIOSYS (NEPAL) PVT. LTD</v>
          </cell>
          <cell r="D1191" t="str">
            <v>1</v>
          </cell>
        </row>
        <row r="1192">
          <cell r="A1192" t="str">
            <v>C11818</v>
          </cell>
          <cell r="B1192" t="str">
            <v>Organization</v>
          </cell>
          <cell r="C1192" t="str">
            <v>COCA COLA INDIA PRIVATE LIMITED</v>
          </cell>
          <cell r="D1192" t="str">
            <v>30</v>
          </cell>
        </row>
        <row r="1193">
          <cell r="A1193" t="str">
            <v>C11820</v>
          </cell>
          <cell r="B1193" t="str">
            <v>Organization</v>
          </cell>
          <cell r="C1193" t="str">
            <v>GOLDEN LUBES PVT. LTD</v>
          </cell>
          <cell r="D1193" t="str">
            <v>1</v>
          </cell>
        </row>
        <row r="1194">
          <cell r="A1194" t="str">
            <v>C11822</v>
          </cell>
          <cell r="B1194" t="str">
            <v>Organization</v>
          </cell>
          <cell r="C1194" t="str">
            <v>GREASE PLANT, VASHI,</v>
          </cell>
          <cell r="D1194" t="str">
            <v>1</v>
          </cell>
        </row>
        <row r="1195">
          <cell r="A1195" t="str">
            <v>C11823</v>
          </cell>
          <cell r="B1195" t="str">
            <v>Organization</v>
          </cell>
          <cell r="C1195" t="str">
            <v>KLUBER LUBRICATION INDIA PVT. LTD..</v>
          </cell>
          <cell r="D1195" t="str">
            <v>0</v>
          </cell>
        </row>
        <row r="1196">
          <cell r="A1196" t="str">
            <v>C11824</v>
          </cell>
          <cell r="B1196" t="str">
            <v>Organization</v>
          </cell>
          <cell r="C1196" t="str">
            <v>MEXICO OIL</v>
          </cell>
          <cell r="D1196" t="str">
            <v>0</v>
          </cell>
        </row>
        <row r="1197">
          <cell r="A1197" t="str">
            <v>C11826</v>
          </cell>
          <cell r="B1197" t="str">
            <v>Organization</v>
          </cell>
          <cell r="C1197" t="str">
            <v>BPCL LUBES TALOJA (RAIGARH DIST)</v>
          </cell>
          <cell r="D1197" t="str">
            <v>30</v>
          </cell>
        </row>
        <row r="1198">
          <cell r="A1198" t="str">
            <v>C11827</v>
          </cell>
          <cell r="B1198" t="str">
            <v>Organization</v>
          </cell>
          <cell r="C1198" t="str">
            <v>NANDAN PETROCHEM LTD. - SILVASSA</v>
          </cell>
          <cell r="D1198" t="str">
            <v>30</v>
          </cell>
        </row>
        <row r="1199">
          <cell r="A1199" t="str">
            <v>C11828</v>
          </cell>
          <cell r="B1199" t="str">
            <v>Organization</v>
          </cell>
          <cell r="C1199" t="str">
            <v>OXYCHEM TECHNOLOGIES PVT. LTD.</v>
          </cell>
          <cell r="D1199" t="str">
            <v>30</v>
          </cell>
        </row>
        <row r="1200">
          <cell r="A1200" t="str">
            <v>C11829</v>
          </cell>
          <cell r="B1200" t="str">
            <v>Organization</v>
          </cell>
          <cell r="C1200" t="str">
            <v>RESHMA ORGANICS CHEMICALS PVT. LTD..</v>
          </cell>
          <cell r="D1200" t="str">
            <v>0</v>
          </cell>
        </row>
        <row r="1201">
          <cell r="A1201" t="str">
            <v>C11830</v>
          </cell>
          <cell r="B1201" t="str">
            <v>Organization</v>
          </cell>
          <cell r="C1201" t="str">
            <v>ROCHAAN TRADERS</v>
          </cell>
          <cell r="D1201" t="str">
            <v>0</v>
          </cell>
        </row>
        <row r="1202">
          <cell r="A1202" t="str">
            <v>C11832</v>
          </cell>
          <cell r="B1202" t="str">
            <v>Organization</v>
          </cell>
          <cell r="C1202" t="str">
            <v>SABERO ORGANICS GUJARAT LTD. - BULSAR</v>
          </cell>
          <cell r="D1202" t="str">
            <v>0</v>
          </cell>
        </row>
        <row r="1203">
          <cell r="A1203" t="str">
            <v>C11833</v>
          </cell>
          <cell r="B1203" t="str">
            <v>Organization</v>
          </cell>
          <cell r="C1203" t="str">
            <v>SAI PETROCHEM</v>
          </cell>
          <cell r="D1203" t="str">
            <v>1</v>
          </cell>
        </row>
        <row r="1204">
          <cell r="A1204" t="str">
            <v>C11834</v>
          </cell>
          <cell r="B1204" t="str">
            <v>Organization</v>
          </cell>
          <cell r="C1204" t="str">
            <v>SHRINIWAS INDUSTRIES</v>
          </cell>
          <cell r="D1204" t="str">
            <v>0</v>
          </cell>
        </row>
        <row r="1205">
          <cell r="A1205" t="str">
            <v>C11835</v>
          </cell>
          <cell r="B1205" t="str">
            <v>Organization</v>
          </cell>
          <cell r="C1205" t="str">
            <v>SIKA INDIA PRIVATE LIMITED - NEW BOMBAY</v>
          </cell>
          <cell r="D1205" t="str">
            <v>90</v>
          </cell>
        </row>
        <row r="1206">
          <cell r="A1206" t="str">
            <v>C11836</v>
          </cell>
          <cell r="B1206" t="str">
            <v>Organization</v>
          </cell>
          <cell r="C1206" t="str">
            <v>STANDARD PETRO-LUB</v>
          </cell>
          <cell r="D1206" t="str">
            <v>0</v>
          </cell>
        </row>
        <row r="1207">
          <cell r="A1207" t="str">
            <v>C11837</v>
          </cell>
          <cell r="B1207" t="str">
            <v>Organization</v>
          </cell>
          <cell r="C1207" t="str">
            <v>STANLUBES &amp; SPECIALITIES (INDIA) PVT.. LTD</v>
          </cell>
          <cell r="D1207" t="str">
            <v>1</v>
          </cell>
        </row>
        <row r="1208">
          <cell r="A1208" t="str">
            <v>C11839</v>
          </cell>
          <cell r="B1208" t="str">
            <v>Organization</v>
          </cell>
          <cell r="C1208" t="str">
            <v>INDIAN OIL CORPORATION LTD - (SCFP)</v>
          </cell>
          <cell r="D1208" t="str">
            <v>30</v>
          </cell>
        </row>
        <row r="1209">
          <cell r="A1209" t="str">
            <v>C11841</v>
          </cell>
          <cell r="B1209" t="str">
            <v>Organization</v>
          </cell>
          <cell r="C1209" t="str">
            <v>VIDARBHA MINING PVT. LTD</v>
          </cell>
          <cell r="D1209" t="str">
            <v>0</v>
          </cell>
        </row>
        <row r="1210">
          <cell r="A1210" t="str">
            <v>C11843</v>
          </cell>
          <cell r="B1210" t="str">
            <v>Organization</v>
          </cell>
          <cell r="C1210" t="str">
            <v>A CHANDRASEKAR</v>
          </cell>
          <cell r="D1210" t="str">
            <v>1</v>
          </cell>
        </row>
        <row r="1211">
          <cell r="A1211" t="str">
            <v>C11844</v>
          </cell>
          <cell r="B1211" t="str">
            <v>Organization</v>
          </cell>
          <cell r="C1211" t="str">
            <v>A.M. AROMATICS PVT. LTD.</v>
          </cell>
          <cell r="D1211" t="str">
            <v>7</v>
          </cell>
        </row>
        <row r="1212">
          <cell r="A1212" t="str">
            <v>C11845</v>
          </cell>
          <cell r="B1212" t="str">
            <v>Organization</v>
          </cell>
          <cell r="C1212" t="str">
            <v>A.R. STANCHEM PVT. LTD..</v>
          </cell>
          <cell r="D1212" t="str">
            <v>15</v>
          </cell>
        </row>
        <row r="1213">
          <cell r="A1213" t="str">
            <v>C11847</v>
          </cell>
          <cell r="B1213" t="str">
            <v>Organization</v>
          </cell>
          <cell r="C1213" t="str">
            <v>A.V.M. AROMATICS</v>
          </cell>
          <cell r="D1213" t="str">
            <v>1</v>
          </cell>
        </row>
        <row r="1214">
          <cell r="A1214" t="str">
            <v>C11848</v>
          </cell>
          <cell r="B1214" t="str">
            <v>Organization</v>
          </cell>
          <cell r="C1214" t="str">
            <v>ABHILASH CHEMICALS PVT. LTD.</v>
          </cell>
          <cell r="D1214" t="str">
            <v>1</v>
          </cell>
        </row>
        <row r="1215">
          <cell r="A1215" t="str">
            <v>C11849</v>
          </cell>
          <cell r="B1215" t="str">
            <v>Organization</v>
          </cell>
          <cell r="C1215" t="str">
            <v>ACCELERATED FREEZE DRYING COMPANY LTD .</v>
          </cell>
          <cell r="D1215" t="str">
            <v>60</v>
          </cell>
        </row>
        <row r="1216">
          <cell r="A1216" t="str">
            <v>C11850</v>
          </cell>
          <cell r="B1216" t="str">
            <v>Organization</v>
          </cell>
          <cell r="C1216" t="str">
            <v>ADHESIVES &amp; POLYMERIC PRODUCTS</v>
          </cell>
          <cell r="D1216" t="str">
            <v>15</v>
          </cell>
        </row>
        <row r="1217">
          <cell r="A1217" t="str">
            <v>C11851</v>
          </cell>
          <cell r="B1217" t="str">
            <v>Organization</v>
          </cell>
          <cell r="C1217" t="str">
            <v>ADHESWARA CHEMICALS PVT. LTD.</v>
          </cell>
          <cell r="D1217" t="str">
            <v>45</v>
          </cell>
        </row>
        <row r="1218">
          <cell r="A1218" t="str">
            <v>C11852</v>
          </cell>
          <cell r="B1218" t="str">
            <v>Organization</v>
          </cell>
          <cell r="C1218" t="str">
            <v>ADHESWARA EXPORTS  PVT. LTD..</v>
          </cell>
          <cell r="D1218" t="str">
            <v>30</v>
          </cell>
        </row>
        <row r="1219">
          <cell r="A1219" t="str">
            <v>C11853</v>
          </cell>
          <cell r="B1219" t="str">
            <v>Organization</v>
          </cell>
          <cell r="C1219" t="str">
            <v>AKAY FLAVOURS &amp; AROMATICS LTD.</v>
          </cell>
          <cell r="D1219" t="str">
            <v>7</v>
          </cell>
        </row>
        <row r="1220">
          <cell r="A1220" t="str">
            <v>C11856</v>
          </cell>
          <cell r="B1220" t="str">
            <v>Organization</v>
          </cell>
          <cell r="C1220" t="str">
            <v>ALEEF CONTAINERS</v>
          </cell>
          <cell r="D1220" t="str">
            <v>1</v>
          </cell>
        </row>
        <row r="1221">
          <cell r="A1221" t="str">
            <v>C11857</v>
          </cell>
          <cell r="B1221" t="str">
            <v>Organization</v>
          </cell>
          <cell r="C1221" t="str">
            <v>ALPHA AMINES PVT. LTD..</v>
          </cell>
          <cell r="D1221" t="str">
            <v>15</v>
          </cell>
        </row>
        <row r="1222">
          <cell r="A1222" t="str">
            <v>C11858</v>
          </cell>
          <cell r="B1222" t="str">
            <v>Organization</v>
          </cell>
          <cell r="C1222" t="str">
            <v>ALPHA FRY TECHNOLOGIES DEVELOPMENT</v>
          </cell>
          <cell r="D1222" t="str">
            <v>1</v>
          </cell>
        </row>
        <row r="1223">
          <cell r="A1223" t="str">
            <v>C11859</v>
          </cell>
          <cell r="B1223" t="str">
            <v>Organization</v>
          </cell>
          <cell r="C1223" t="str">
            <v>ALPHA TRADING AGENCY</v>
          </cell>
          <cell r="D1223" t="str">
            <v>7</v>
          </cell>
        </row>
        <row r="1224">
          <cell r="A1224" t="str">
            <v>C11861</v>
          </cell>
          <cell r="B1224" t="str">
            <v>Organization</v>
          </cell>
          <cell r="C1224" t="str">
            <v>AMBER CHEMICALS &amp; PHARMACEUTICALS P LTD</v>
          </cell>
          <cell r="D1224" t="str">
            <v>30</v>
          </cell>
        </row>
        <row r="1225">
          <cell r="A1225" t="str">
            <v>C11862</v>
          </cell>
          <cell r="B1225" t="str">
            <v>Organization</v>
          </cell>
          <cell r="C1225" t="str">
            <v>AMCO BATTERIES</v>
          </cell>
          <cell r="D1225" t="str">
            <v>1</v>
          </cell>
        </row>
        <row r="1226">
          <cell r="A1226" t="str">
            <v>C11863</v>
          </cell>
          <cell r="B1226" t="str">
            <v>Organization</v>
          </cell>
          <cell r="C1226" t="str">
            <v>AMERICAN REMEDIES LTD.</v>
          </cell>
          <cell r="D1226" t="str">
            <v>7</v>
          </cell>
        </row>
        <row r="1227">
          <cell r="A1227" t="str">
            <v>C11864</v>
          </cell>
          <cell r="B1227" t="str">
            <v>Organization</v>
          </cell>
          <cell r="C1227" t="str">
            <v>AMRUTANJAN LTD.</v>
          </cell>
          <cell r="D1227" t="str">
            <v>30</v>
          </cell>
        </row>
        <row r="1228">
          <cell r="A1228" t="str">
            <v>C11865</v>
          </cell>
          <cell r="B1228" t="str">
            <v>Organization</v>
          </cell>
          <cell r="C1228" t="str">
            <v>ANAN DRUG &amp; CHEM LTD</v>
          </cell>
          <cell r="D1228" t="str">
            <v>30</v>
          </cell>
        </row>
        <row r="1229">
          <cell r="A1229" t="str">
            <v>C11866</v>
          </cell>
          <cell r="B1229" t="str">
            <v>Organization</v>
          </cell>
          <cell r="C1229" t="str">
            <v>ANAND  HARDWARES</v>
          </cell>
          <cell r="D1229" t="str">
            <v>1</v>
          </cell>
        </row>
        <row r="1230">
          <cell r="A1230" t="str">
            <v>C11867</v>
          </cell>
          <cell r="B1230" t="str">
            <v>Organization</v>
          </cell>
          <cell r="C1230" t="str">
            <v>ANJALI FOODS</v>
          </cell>
          <cell r="D1230" t="str">
            <v>30</v>
          </cell>
        </row>
        <row r="1231">
          <cell r="A1231" t="str">
            <v>C11868</v>
          </cell>
          <cell r="B1231" t="str">
            <v>Organization</v>
          </cell>
          <cell r="C1231" t="str">
            <v>ANJAN DRUGS PRIVATE LIMITED</v>
          </cell>
          <cell r="D1231" t="str">
            <v>30</v>
          </cell>
        </row>
        <row r="1232">
          <cell r="A1232" t="str">
            <v>C11869</v>
          </cell>
          <cell r="B1232" t="str">
            <v>Organization</v>
          </cell>
          <cell r="C1232" t="str">
            <v>ANURADHA CHEMICALS ENTERPRISES</v>
          </cell>
          <cell r="D1232" t="str">
            <v>1</v>
          </cell>
        </row>
        <row r="1233">
          <cell r="A1233" t="str">
            <v>C11870</v>
          </cell>
          <cell r="B1233" t="str">
            <v>Organization</v>
          </cell>
          <cell r="C1233" t="str">
            <v>ANU'S LABORATORIES LIMITED</v>
          </cell>
          <cell r="D1233" t="str">
            <v>1</v>
          </cell>
        </row>
        <row r="1234">
          <cell r="A1234" t="str">
            <v>C11871</v>
          </cell>
          <cell r="B1234" t="str">
            <v>Organization</v>
          </cell>
          <cell r="C1234" t="str">
            <v>ARCH PHARMALABS LIMITED</v>
          </cell>
          <cell r="D1234" t="str">
            <v>30</v>
          </cell>
        </row>
        <row r="1235">
          <cell r="A1235" t="str">
            <v>C11874</v>
          </cell>
          <cell r="B1235" t="str">
            <v>Organization</v>
          </cell>
          <cell r="C1235" t="str">
            <v>ARLE CHEMIS</v>
          </cell>
          <cell r="D1235" t="str">
            <v>60</v>
          </cell>
        </row>
        <row r="1236">
          <cell r="A1236" t="str">
            <v>C11876</v>
          </cell>
          <cell r="B1236" t="str">
            <v>Organization</v>
          </cell>
          <cell r="C1236" t="str">
            <v>ARTMIS PERFCHEM</v>
          </cell>
          <cell r="D1236" t="str">
            <v>7</v>
          </cell>
        </row>
        <row r="1237">
          <cell r="A1237" t="str">
            <v>C11877</v>
          </cell>
          <cell r="B1237" t="str">
            <v>Organization</v>
          </cell>
          <cell r="C1237" t="str">
            <v>ARVEE CHEM PHARMA PVT. LTD.,</v>
          </cell>
          <cell r="D1237" t="str">
            <v>15</v>
          </cell>
        </row>
        <row r="1238">
          <cell r="A1238" t="str">
            <v>C11878</v>
          </cell>
          <cell r="B1238" t="str">
            <v>Organization</v>
          </cell>
          <cell r="C1238" t="str">
            <v>ASHOK ENTERPRISES - CUDDALORE</v>
          </cell>
          <cell r="D1238" t="str">
            <v>7</v>
          </cell>
        </row>
        <row r="1239">
          <cell r="A1239" t="str">
            <v>C11879</v>
          </cell>
          <cell r="B1239" t="str">
            <v>Organization</v>
          </cell>
          <cell r="C1239" t="str">
            <v>ASHOKA MARKETING AGENCIES</v>
          </cell>
          <cell r="D1239" t="str">
            <v>1</v>
          </cell>
        </row>
        <row r="1240">
          <cell r="A1240" t="str">
            <v>C11880</v>
          </cell>
          <cell r="B1240" t="str">
            <v>Organization</v>
          </cell>
          <cell r="C1240" t="str">
            <v>ASIAN PEROXIDES LIMITED</v>
          </cell>
          <cell r="D1240" t="str">
            <v>30</v>
          </cell>
        </row>
        <row r="1241">
          <cell r="A1241" t="str">
            <v>C11881</v>
          </cell>
          <cell r="B1241" t="str">
            <v>Organization</v>
          </cell>
          <cell r="C1241" t="str">
            <v>ASSOCIATED INSTRUMENT &amp; CHEMICALS</v>
          </cell>
          <cell r="D1241" t="str">
            <v>1</v>
          </cell>
        </row>
        <row r="1242">
          <cell r="A1242" t="str">
            <v>C11882</v>
          </cell>
          <cell r="B1242" t="str">
            <v>Organization</v>
          </cell>
          <cell r="C1242" t="str">
            <v>ASSOCIATED RUBBER CHEMICALS KOCHI - PVT.  LTD</v>
          </cell>
          <cell r="D1242" t="str">
            <v>45</v>
          </cell>
        </row>
        <row r="1243">
          <cell r="A1243" t="str">
            <v>C11883</v>
          </cell>
          <cell r="B1243" t="str">
            <v>Organization</v>
          </cell>
          <cell r="C1243" t="str">
            <v>ASHWINI BIOPHARMA LIMITED</v>
          </cell>
          <cell r="D1243" t="str">
            <v>90</v>
          </cell>
        </row>
        <row r="1244">
          <cell r="A1244" t="str">
            <v>C11884</v>
          </cell>
          <cell r="B1244" t="str">
            <v>Organization</v>
          </cell>
          <cell r="C1244" t="str">
            <v>ATC CHEMICAL INDIA PVT. LTD.,</v>
          </cell>
          <cell r="D1244" t="str">
            <v>45</v>
          </cell>
        </row>
        <row r="1245">
          <cell r="A1245" t="str">
            <v>C11885</v>
          </cell>
          <cell r="B1245" t="str">
            <v>Organization</v>
          </cell>
          <cell r="C1245" t="str">
            <v>ATTAR MD. SHAREEF &amp; SONS</v>
          </cell>
          <cell r="D1245" t="str">
            <v>1</v>
          </cell>
        </row>
        <row r="1246">
          <cell r="A1246" t="str">
            <v>C11887</v>
          </cell>
          <cell r="B1246" t="str">
            <v>Organization</v>
          </cell>
          <cell r="C1246" t="str">
            <v>AYISWARYA POLYMERS</v>
          </cell>
          <cell r="D1246" t="str">
            <v>1</v>
          </cell>
        </row>
        <row r="1247">
          <cell r="A1247" t="str">
            <v>C11888</v>
          </cell>
          <cell r="B1247" t="str">
            <v>Organization</v>
          </cell>
          <cell r="C1247" t="str">
            <v>BAFNA PHARMACEUTICALS LIMITED</v>
          </cell>
          <cell r="D1247" t="str">
            <v>1</v>
          </cell>
        </row>
        <row r="1248">
          <cell r="A1248" t="str">
            <v>C11889</v>
          </cell>
          <cell r="B1248" t="str">
            <v>Organization</v>
          </cell>
          <cell r="C1248" t="str">
            <v>BALMER LAWRIE &amp; CO. LTD. - CHENNAI - A/C - TIDEWATER OIL</v>
          </cell>
          <cell r="D1248" t="str">
            <v>45</v>
          </cell>
        </row>
        <row r="1249">
          <cell r="A1249" t="str">
            <v>C11895</v>
          </cell>
          <cell r="B1249" t="str">
            <v>Organization</v>
          </cell>
          <cell r="C1249" t="str">
            <v>BASCHEM PHARMA LTD.,</v>
          </cell>
          <cell r="D1249" t="str">
            <v>30</v>
          </cell>
        </row>
        <row r="1250">
          <cell r="A1250" t="str">
            <v>C11897</v>
          </cell>
          <cell r="B1250" t="str">
            <v>Organization</v>
          </cell>
          <cell r="C1250" t="str">
            <v>BASF INDIA LTD. (MANGALORE)</v>
          </cell>
          <cell r="D1250" t="str">
            <v>60</v>
          </cell>
        </row>
        <row r="1251">
          <cell r="A1251" t="str">
            <v>C11898</v>
          </cell>
          <cell r="B1251" t="str">
            <v>Organization</v>
          </cell>
          <cell r="C1251" t="str">
            <v>BAYER SPECIALITY PRODUCT P LTD.</v>
          </cell>
          <cell r="D1251" t="str">
            <v>90</v>
          </cell>
        </row>
        <row r="1252">
          <cell r="A1252" t="str">
            <v>C11899</v>
          </cell>
          <cell r="B1252" t="str">
            <v>Organization</v>
          </cell>
          <cell r="C1252" t="str">
            <v>BHARAT PETROLEUM CORPORATION LIMITED - TONDIARPET</v>
          </cell>
          <cell r="D1252" t="str">
            <v>30</v>
          </cell>
        </row>
        <row r="1253">
          <cell r="A1253" t="str">
            <v>C11900</v>
          </cell>
          <cell r="B1253" t="str">
            <v>Organization</v>
          </cell>
          <cell r="C1253" t="str">
            <v>** NOT TO USE**BHOOMI ENTERPRISE SOURCING &amp; TRADING PVT. LTD</v>
          </cell>
          <cell r="D1253" t="str">
            <v>1</v>
          </cell>
        </row>
        <row r="1254">
          <cell r="A1254" t="str">
            <v>C11902</v>
          </cell>
          <cell r="B1254" t="str">
            <v>Organization</v>
          </cell>
          <cell r="C1254" t="str">
            <v>BIOTAN LABORATORIES INDIA LIMITED</v>
          </cell>
          <cell r="D1254" t="str">
            <v>30</v>
          </cell>
        </row>
        <row r="1255">
          <cell r="A1255" t="str">
            <v>C11903</v>
          </cell>
          <cell r="B1255" t="str">
            <v>Organization</v>
          </cell>
          <cell r="C1255" t="str">
            <v>BONFIGLIOLI TRANSMISSION P LTD.</v>
          </cell>
          <cell r="D1255" t="str">
            <v>7</v>
          </cell>
        </row>
        <row r="1256">
          <cell r="A1256" t="str">
            <v>C11904</v>
          </cell>
          <cell r="B1256" t="str">
            <v>Organization</v>
          </cell>
          <cell r="C1256" t="str">
            <v>BOS NATURAL FLAVOURS (P) LTD(DO NOT USE)</v>
          </cell>
          <cell r="D1256" t="str">
            <v>0</v>
          </cell>
        </row>
        <row r="1257">
          <cell r="A1257" t="str">
            <v>C11905</v>
          </cell>
          <cell r="B1257" t="str">
            <v>Organization</v>
          </cell>
          <cell r="C1257" t="str">
            <v>BSNL,  TELEPHONES,</v>
          </cell>
          <cell r="D1257" t="str">
            <v>1</v>
          </cell>
        </row>
        <row r="1258">
          <cell r="A1258" t="str">
            <v>C11908</v>
          </cell>
          <cell r="B1258" t="str">
            <v>Organization</v>
          </cell>
          <cell r="C1258" t="str">
            <v>BUSH BOAKE ALLEN (INDIA) LTD.</v>
          </cell>
          <cell r="D1258" t="str">
            <v>30</v>
          </cell>
        </row>
        <row r="1259">
          <cell r="A1259" t="str">
            <v>C11909</v>
          </cell>
          <cell r="B1259" t="str">
            <v>Organization</v>
          </cell>
          <cell r="C1259" t="str">
            <v>C.I. LABORATORIES (SHIBPORE)</v>
          </cell>
          <cell r="D1259" t="str">
            <v>45</v>
          </cell>
        </row>
        <row r="1260">
          <cell r="A1260" t="str">
            <v>C11910</v>
          </cell>
          <cell r="B1260" t="str">
            <v>Organization</v>
          </cell>
          <cell r="C1260" t="str">
            <v>CABOT SANMAR LTD.</v>
          </cell>
          <cell r="D1260" t="str">
            <v>30</v>
          </cell>
        </row>
        <row r="1261">
          <cell r="A1261" t="str">
            <v>C11912</v>
          </cell>
          <cell r="B1261" t="str">
            <v>Organization</v>
          </cell>
          <cell r="C1261" t="str">
            <v>CARAVAN SUPPLIERS</v>
          </cell>
          <cell r="D1261" t="str">
            <v>1</v>
          </cell>
        </row>
        <row r="1262">
          <cell r="A1262" t="str">
            <v>C11914</v>
          </cell>
          <cell r="B1262" t="str">
            <v>Organization</v>
          </cell>
          <cell r="C1262" t="str">
            <v>CATAZYME</v>
          </cell>
          <cell r="D1262" t="str">
            <v>60</v>
          </cell>
        </row>
        <row r="1263">
          <cell r="A1263" t="str">
            <v>C11915</v>
          </cell>
          <cell r="B1263" t="str">
            <v>Organization</v>
          </cell>
          <cell r="C1263" t="str">
            <v>CAVINKARE PRIVATE LIMITED - CHENNAI</v>
          </cell>
          <cell r="D1263" t="str">
            <v>1</v>
          </cell>
        </row>
        <row r="1264">
          <cell r="A1264" t="str">
            <v>C11916</v>
          </cell>
          <cell r="B1264" t="str">
            <v>Organization</v>
          </cell>
          <cell r="C1264" t="str">
            <v>CAVINKARE PVT. LTD. - ANDHRA PRADESH</v>
          </cell>
          <cell r="D1264" t="str">
            <v>30</v>
          </cell>
        </row>
        <row r="1265">
          <cell r="A1265" t="str">
            <v>C11917</v>
          </cell>
          <cell r="B1265" t="str">
            <v>Organization</v>
          </cell>
          <cell r="C1265" t="str">
            <v>CERACHEM (P) LTD</v>
          </cell>
          <cell r="D1265" t="str">
            <v>30</v>
          </cell>
        </row>
        <row r="1266">
          <cell r="A1266" t="str">
            <v>C11918</v>
          </cell>
          <cell r="B1266" t="str">
            <v>Organization</v>
          </cell>
          <cell r="C1266" t="str">
            <v>CHEMASIA INDUSTRIES LIMITED</v>
          </cell>
          <cell r="D1266" t="str">
            <v>30</v>
          </cell>
        </row>
        <row r="1267">
          <cell r="A1267" t="str">
            <v>C11919</v>
          </cell>
          <cell r="B1267" t="str">
            <v>Organization</v>
          </cell>
          <cell r="C1267" t="str">
            <v>CHEMBOND CHEMICALS LIMITED</v>
          </cell>
          <cell r="D1267" t="str">
            <v>15</v>
          </cell>
        </row>
        <row r="1268">
          <cell r="A1268" t="str">
            <v>C11920</v>
          </cell>
          <cell r="B1268" t="str">
            <v>Organization</v>
          </cell>
          <cell r="C1268" t="str">
            <v>CHEMCON TECSYS</v>
          </cell>
          <cell r="D1268" t="str">
            <v>1</v>
          </cell>
        </row>
        <row r="1269">
          <cell r="A1269" t="str">
            <v>C11921</v>
          </cell>
          <cell r="B1269" t="str">
            <v>Organization</v>
          </cell>
          <cell r="C1269" t="str">
            <v>CHEMCROWN EXPORTS LIMITED</v>
          </cell>
          <cell r="D1269" t="str">
            <v>60</v>
          </cell>
        </row>
        <row r="1270">
          <cell r="A1270" t="str">
            <v>C11922</v>
          </cell>
          <cell r="B1270" t="str">
            <v>Organization</v>
          </cell>
          <cell r="C1270" t="str">
            <v>CHEMFAB ALKALIS LIMITED</v>
          </cell>
          <cell r="D1270" t="str">
            <v>7</v>
          </cell>
        </row>
        <row r="1271">
          <cell r="A1271" t="str">
            <v>C11923</v>
          </cell>
          <cell r="B1271" t="str">
            <v>Organization</v>
          </cell>
          <cell r="C1271" t="str">
            <v>CHEMIDYE MANUFACTURING CO. PVT.  LTD.</v>
          </cell>
          <cell r="D1271" t="str">
            <v>15</v>
          </cell>
        </row>
        <row r="1272">
          <cell r="A1272" t="str">
            <v>C11924</v>
          </cell>
          <cell r="B1272" t="str">
            <v>Organization</v>
          </cell>
          <cell r="C1272" t="str">
            <v>CHEMOLEUMS INDIA PVT LTD LIMITED</v>
          </cell>
          <cell r="D1272" t="str">
            <v>45</v>
          </cell>
        </row>
        <row r="1273">
          <cell r="A1273" t="str">
            <v>C11925</v>
          </cell>
          <cell r="B1273" t="str">
            <v>Organization</v>
          </cell>
          <cell r="C1273" t="str">
            <v>CHEMPLAST SANMAR LTD. - PLANT II</v>
          </cell>
          <cell r="D1273" t="str">
            <v>90</v>
          </cell>
        </row>
        <row r="1274">
          <cell r="A1274" t="str">
            <v>C11926</v>
          </cell>
          <cell r="B1274" t="str">
            <v>Organization</v>
          </cell>
          <cell r="C1274" t="str">
            <v>CHEVRON LUBRICANTS INDIA PRIVATE LIMITED - CHENNAI</v>
          </cell>
          <cell r="D1274" t="str">
            <v>30</v>
          </cell>
        </row>
        <row r="1275">
          <cell r="A1275" t="str">
            <v>C11927</v>
          </cell>
          <cell r="B1275" t="str">
            <v>Organization</v>
          </cell>
          <cell r="C1275" t="str">
            <v>CHILLIES EXPORT HOUSE LIMITED</v>
          </cell>
          <cell r="D1275" t="str">
            <v>0</v>
          </cell>
        </row>
        <row r="1276">
          <cell r="A1276" t="str">
            <v>C11928</v>
          </cell>
          <cell r="B1276" t="str">
            <v>Organization</v>
          </cell>
          <cell r="C1276" t="str">
            <v>CHIMIQUE LABORATORIES (I) LTD.</v>
          </cell>
          <cell r="D1276" t="str">
            <v>7</v>
          </cell>
        </row>
        <row r="1277">
          <cell r="A1277" t="str">
            <v>C11929</v>
          </cell>
          <cell r="B1277" t="str">
            <v>Organization</v>
          </cell>
          <cell r="C1277" t="str">
            <v>CIBA SPECIALTY CHEMICALS (INDIA) LIMITED</v>
          </cell>
          <cell r="D1277" t="str">
            <v>30</v>
          </cell>
        </row>
        <row r="1278">
          <cell r="A1278" t="str">
            <v>C11930</v>
          </cell>
          <cell r="B1278" t="str">
            <v>Organization</v>
          </cell>
          <cell r="C1278" t="str">
            <v>CITY LUBRICANTS PRIVATE LIMITED</v>
          </cell>
          <cell r="D1278" t="str">
            <v>30</v>
          </cell>
        </row>
        <row r="1279">
          <cell r="A1279" t="str">
            <v>C11931</v>
          </cell>
          <cell r="B1279" t="str">
            <v>Organization</v>
          </cell>
          <cell r="C1279" t="str">
            <v>CLARIANT CHEMICALS (INDIA) LIMITED. - CUDDALORE</v>
          </cell>
          <cell r="D1279" t="str">
            <v>30</v>
          </cell>
        </row>
        <row r="1280">
          <cell r="A1280" t="str">
            <v>C11932</v>
          </cell>
          <cell r="B1280" t="str">
            <v>Organization</v>
          </cell>
          <cell r="C1280" t="str">
            <v>CLARIANT CHEMICALS (INDIA) LIMITED. - RAIGAD</v>
          </cell>
          <cell r="D1280" t="str">
            <v>60</v>
          </cell>
        </row>
        <row r="1281">
          <cell r="A1281" t="str">
            <v>C11933</v>
          </cell>
          <cell r="B1281" t="str">
            <v>Organization</v>
          </cell>
          <cell r="C1281" t="str">
            <v>CLARIANT CHEMICALS (INDIA) LIMITED. - KANCHEEPURAM</v>
          </cell>
          <cell r="D1281" t="str">
            <v>60</v>
          </cell>
        </row>
        <row r="1282">
          <cell r="A1282" t="str">
            <v>C11935</v>
          </cell>
          <cell r="B1282" t="str">
            <v>Organization</v>
          </cell>
          <cell r="C1282" t="str">
            <v>CLARO INDIA LIMITED</v>
          </cell>
          <cell r="D1282" t="str">
            <v>30</v>
          </cell>
        </row>
        <row r="1283">
          <cell r="A1283" t="str">
            <v>C11936</v>
          </cell>
          <cell r="B1283" t="str">
            <v>Organization</v>
          </cell>
          <cell r="C1283" t="str">
            <v>CLASSIC IMAGE</v>
          </cell>
          <cell r="D1283" t="str">
            <v>1</v>
          </cell>
        </row>
        <row r="1284">
          <cell r="A1284" t="str">
            <v>C11937</v>
          </cell>
          <cell r="B1284" t="str">
            <v>Organization</v>
          </cell>
          <cell r="C1284" t="str">
            <v>CLEANCITIES BIODIESEL INDIA LIMITED</v>
          </cell>
          <cell r="D1284" t="str">
            <v>1</v>
          </cell>
        </row>
        <row r="1285">
          <cell r="A1285" t="str">
            <v>C11939</v>
          </cell>
          <cell r="B1285" t="str">
            <v>Organization</v>
          </cell>
          <cell r="C1285" t="str">
            <v>CONCORD MARKETING</v>
          </cell>
          <cell r="D1285" t="str">
            <v>7</v>
          </cell>
        </row>
        <row r="1286">
          <cell r="A1286" t="str">
            <v>C11940</v>
          </cell>
          <cell r="B1286" t="str">
            <v>Organization</v>
          </cell>
          <cell r="C1286" t="str">
            <v>COOKSON INDIA LIMITED</v>
          </cell>
          <cell r="D1286" t="str">
            <v>1</v>
          </cell>
        </row>
        <row r="1287">
          <cell r="A1287" t="str">
            <v>C11941</v>
          </cell>
          <cell r="B1287" t="str">
            <v>Organization</v>
          </cell>
          <cell r="C1287" t="str">
            <v>CORRESPONDENT,</v>
          </cell>
          <cell r="D1287" t="str">
            <v>1</v>
          </cell>
        </row>
        <row r="1288">
          <cell r="A1288" t="str">
            <v>C11942</v>
          </cell>
          <cell r="B1288" t="str">
            <v>Organization</v>
          </cell>
          <cell r="C1288" t="str">
            <v>COURTAULDS COATINGS &amp; SEALANTS ( INDIA )</v>
          </cell>
          <cell r="D1288" t="str">
            <v>45</v>
          </cell>
        </row>
        <row r="1289">
          <cell r="A1289" t="str">
            <v>C11943</v>
          </cell>
          <cell r="B1289" t="str">
            <v>Organization</v>
          </cell>
          <cell r="C1289" t="str">
            <v>CROP HEALTH PRODUCTS LTD.</v>
          </cell>
          <cell r="D1289" t="str">
            <v>60</v>
          </cell>
        </row>
        <row r="1290">
          <cell r="A1290" t="str">
            <v>C11944</v>
          </cell>
          <cell r="B1290" t="str">
            <v>Organization</v>
          </cell>
          <cell r="C1290" t="str">
            <v>CUREKRAFT CHEMICALS (INDIA) P LTD</v>
          </cell>
          <cell r="D1290" t="str">
            <v>45</v>
          </cell>
        </row>
        <row r="1291">
          <cell r="A1291" t="str">
            <v>C11946</v>
          </cell>
          <cell r="B1291" t="str">
            <v>Organization</v>
          </cell>
          <cell r="C1291" t="str">
            <v>DANIEL TRADERS</v>
          </cell>
          <cell r="D1291" t="str">
            <v>1</v>
          </cell>
        </row>
        <row r="1292">
          <cell r="A1292" t="str">
            <v>C11949</v>
          </cell>
          <cell r="B1292" t="str">
            <v>Organization</v>
          </cell>
          <cell r="C1292" t="str">
            <v>DECCAN FINE CHEMICALS (I) LIMITED</v>
          </cell>
          <cell r="D1292" t="str">
            <v>1</v>
          </cell>
        </row>
        <row r="1293">
          <cell r="A1293" t="str">
            <v>C11950</v>
          </cell>
          <cell r="B1293" t="str">
            <v>Organization</v>
          </cell>
          <cell r="C1293" t="str">
            <v>DEEKAY EXPORTS LTD</v>
          </cell>
          <cell r="D1293" t="str">
            <v>7</v>
          </cell>
        </row>
        <row r="1294">
          <cell r="A1294" t="str">
            <v>C11951</v>
          </cell>
          <cell r="B1294" t="str">
            <v>Organization</v>
          </cell>
          <cell r="C1294" t="str">
            <v>DEGUSSA CONSTRUCTION</v>
          </cell>
          <cell r="D1294" t="str">
            <v>30</v>
          </cell>
        </row>
        <row r="1295">
          <cell r="A1295" t="str">
            <v>C11952</v>
          </cell>
          <cell r="B1295" t="str">
            <v>Organization</v>
          </cell>
          <cell r="C1295" t="str">
            <v>DIACARD TOOLS PVT. LTD.</v>
          </cell>
          <cell r="D1295" t="str">
            <v>1</v>
          </cell>
        </row>
        <row r="1296">
          <cell r="A1296" t="str">
            <v>C11953</v>
          </cell>
          <cell r="B1296" t="str">
            <v>Organization</v>
          </cell>
          <cell r="C1296" t="str">
            <v>DOHLER FLAVORADE PRIVATE LIMITED</v>
          </cell>
          <cell r="D1296" t="str">
            <v>7</v>
          </cell>
        </row>
        <row r="1297">
          <cell r="A1297" t="str">
            <v>C11954</v>
          </cell>
          <cell r="B1297" t="str">
            <v>Organization</v>
          </cell>
          <cell r="C1297" t="str">
            <v>DON CONSTRUCTION CHEMICALS INDIA LTD - NANDANAM</v>
          </cell>
          <cell r="D1297" t="str">
            <v>15</v>
          </cell>
        </row>
        <row r="1298">
          <cell r="A1298" t="str">
            <v>C11955</v>
          </cell>
          <cell r="B1298" t="str">
            <v>Organization</v>
          </cell>
          <cell r="C1298" t="str">
            <v>DON CONSTRUCTION CHEMICALS INDIA LTD - CHENNAI</v>
          </cell>
          <cell r="D1298" t="str">
            <v>1</v>
          </cell>
        </row>
        <row r="1299">
          <cell r="A1299" t="str">
            <v>C11956</v>
          </cell>
          <cell r="B1299" t="str">
            <v>Organization</v>
          </cell>
          <cell r="C1299" t="str">
            <v>DRAGOCO ASIA PACIFIC PTE. LTD.</v>
          </cell>
          <cell r="D1299" t="str">
            <v>7</v>
          </cell>
        </row>
        <row r="1300">
          <cell r="A1300" t="str">
            <v>C11957</v>
          </cell>
          <cell r="B1300" t="str">
            <v>Organization</v>
          </cell>
          <cell r="C1300" t="str">
            <v>DRAGOCO INDIA LTD. - PERUNGUDI</v>
          </cell>
          <cell r="D1300" t="str">
            <v>30</v>
          </cell>
        </row>
        <row r="1301">
          <cell r="A1301" t="str">
            <v>C11958</v>
          </cell>
          <cell r="B1301" t="str">
            <v>Organization</v>
          </cell>
          <cell r="C1301" t="str">
            <v>DRAGOCO INDIA LTD. - SEMMANCHERI</v>
          </cell>
          <cell r="D1301" t="str">
            <v>30</v>
          </cell>
        </row>
        <row r="1302">
          <cell r="A1302" t="str">
            <v>C11959</v>
          </cell>
          <cell r="B1302" t="str">
            <v>Organization</v>
          </cell>
          <cell r="C1302" t="str">
            <v>DSQ COLIX BEVERAGES LIMITED</v>
          </cell>
          <cell r="D1302" t="str">
            <v>30</v>
          </cell>
        </row>
        <row r="1303">
          <cell r="A1303" t="str">
            <v>C11961</v>
          </cell>
          <cell r="B1303" t="str">
            <v>Organization</v>
          </cell>
          <cell r="C1303" t="str">
            <v>DUMAS LABORATORIES PVT. LTD.</v>
          </cell>
          <cell r="D1303" t="str">
            <v>1</v>
          </cell>
        </row>
        <row r="1304">
          <cell r="A1304" t="str">
            <v>C11963</v>
          </cell>
          <cell r="B1304" t="str">
            <v>Organization</v>
          </cell>
          <cell r="C1304" t="str">
            <v>E.I. DUPONT INDIA LIMITED</v>
          </cell>
          <cell r="D1304" t="str">
            <v>1</v>
          </cell>
        </row>
        <row r="1305">
          <cell r="A1305" t="str">
            <v>C11964</v>
          </cell>
          <cell r="B1305" t="str">
            <v>Organization</v>
          </cell>
          <cell r="C1305" t="str">
            <v>EAC INDUSTRIAL INGREDIENTS (INDIA) PVT. LTD.,</v>
          </cell>
          <cell r="D1305" t="str">
            <v>1</v>
          </cell>
        </row>
        <row r="1306">
          <cell r="A1306" t="str">
            <v>C11965</v>
          </cell>
          <cell r="B1306" t="str">
            <v>Organization</v>
          </cell>
          <cell r="C1306" t="str">
            <v>EAST COAST ORGANICS P LTD.</v>
          </cell>
          <cell r="D1306" t="str">
            <v>20</v>
          </cell>
        </row>
        <row r="1307">
          <cell r="A1307" t="str">
            <v>C11967</v>
          </cell>
          <cell r="B1307" t="str">
            <v>Organization</v>
          </cell>
          <cell r="C1307" t="str">
            <v>ELFOTECH ELECTROCHEM. LTD.</v>
          </cell>
          <cell r="D1307" t="str">
            <v>60</v>
          </cell>
        </row>
        <row r="1308">
          <cell r="A1308" t="str">
            <v>C11969</v>
          </cell>
          <cell r="B1308" t="str">
            <v>Organization</v>
          </cell>
          <cell r="C1308" t="str">
            <v>ELOF HANSSON ( INDIA) PVT. LTD.,</v>
          </cell>
          <cell r="D1308" t="str">
            <v>30</v>
          </cell>
        </row>
        <row r="1309">
          <cell r="A1309" t="str">
            <v>C11970</v>
          </cell>
          <cell r="B1309" t="str">
            <v>Organization</v>
          </cell>
          <cell r="C1309" t="str">
            <v>EMKAY AROMATICS LTD,</v>
          </cell>
          <cell r="D1309" t="str">
            <v>60</v>
          </cell>
        </row>
        <row r="1310">
          <cell r="A1310" t="str">
            <v>C11973</v>
          </cell>
          <cell r="B1310" t="str">
            <v>Organization</v>
          </cell>
          <cell r="C1310" t="str">
            <v>ESSEN SUPPLEMENTS INDIA LTD.</v>
          </cell>
          <cell r="D1310" t="str">
            <v>15</v>
          </cell>
        </row>
        <row r="1311">
          <cell r="A1311" t="str">
            <v>C11974</v>
          </cell>
          <cell r="B1311" t="str">
            <v>Organization</v>
          </cell>
          <cell r="C1311" t="str">
            <v>ESVIN BIOSYS INTERNATIONAL LIMITED</v>
          </cell>
          <cell r="D1311" t="str">
            <v>30</v>
          </cell>
        </row>
        <row r="1312">
          <cell r="A1312" t="str">
            <v>C11975</v>
          </cell>
          <cell r="B1312" t="str">
            <v>Organization</v>
          </cell>
          <cell r="C1312" t="str">
            <v>FABPRO SPECIALITIES</v>
          </cell>
          <cell r="D1312" t="str">
            <v>1</v>
          </cell>
        </row>
        <row r="1313">
          <cell r="A1313" t="str">
            <v>C11976</v>
          </cell>
          <cell r="B1313" t="str">
            <v>Organization</v>
          </cell>
          <cell r="C1313" t="str">
            <v>FARMTRO INTERNATIONAL</v>
          </cell>
          <cell r="D1313" t="str">
            <v>7</v>
          </cell>
        </row>
        <row r="1314">
          <cell r="A1314" t="str">
            <v>C11978</v>
          </cell>
          <cell r="B1314" t="str">
            <v>Organization</v>
          </cell>
          <cell r="C1314" t="str">
            <v>FENASIA LTD  ( 100% E.O.U)</v>
          </cell>
          <cell r="D1314" t="str">
            <v>45</v>
          </cell>
        </row>
        <row r="1315">
          <cell r="A1315" t="str">
            <v>C11979</v>
          </cell>
          <cell r="B1315" t="str">
            <v>Organization</v>
          </cell>
          <cell r="C1315" t="str">
            <v>FILLER FORMULATIONS</v>
          </cell>
          <cell r="D1315" t="str">
            <v>30</v>
          </cell>
        </row>
        <row r="1316">
          <cell r="A1316" t="str">
            <v>C11980</v>
          </cell>
          <cell r="B1316" t="str">
            <v>Organization</v>
          </cell>
          <cell r="C1316" t="str">
            <v>FISCHER INORGANICS &amp; AROMATICS LTD.</v>
          </cell>
          <cell r="D1316" t="str">
            <v>30</v>
          </cell>
        </row>
        <row r="1317">
          <cell r="A1317" t="str">
            <v>C11981</v>
          </cell>
          <cell r="B1317" t="str">
            <v>Organization</v>
          </cell>
          <cell r="C1317" t="str">
            <v>FOMAS INDIA LIMITED</v>
          </cell>
          <cell r="D1317" t="str">
            <v>7</v>
          </cell>
        </row>
        <row r="1318">
          <cell r="A1318" t="str">
            <v>C11982</v>
          </cell>
          <cell r="B1318" t="str">
            <v>Organization</v>
          </cell>
          <cell r="C1318" t="str">
            <v>FOOD INGREDIENT SPECIALITIES PVT. LTD.</v>
          </cell>
          <cell r="D1318" t="str">
            <v>15</v>
          </cell>
        </row>
        <row r="1319">
          <cell r="A1319" t="str">
            <v>C11985</v>
          </cell>
          <cell r="B1319" t="str">
            <v>Organization</v>
          </cell>
          <cell r="C1319" t="str">
            <v>FRAGRANCE</v>
          </cell>
          <cell r="D1319" t="str">
            <v>30</v>
          </cell>
        </row>
        <row r="1320">
          <cell r="A1320" t="str">
            <v>C11986</v>
          </cell>
          <cell r="B1320" t="str">
            <v>Organization</v>
          </cell>
          <cell r="C1320" t="str">
            <v>FRESH FLAVOURS &amp; FRAGRANCES P LTD.</v>
          </cell>
          <cell r="D1320" t="str">
            <v>30</v>
          </cell>
        </row>
        <row r="1321">
          <cell r="A1321" t="str">
            <v>C11988</v>
          </cell>
          <cell r="B1321" t="str">
            <v>Organization</v>
          </cell>
          <cell r="C1321" t="str">
            <v>G. DAS &amp; CO. LTD.</v>
          </cell>
          <cell r="D1321" t="str">
            <v>30</v>
          </cell>
        </row>
        <row r="1322">
          <cell r="A1322" t="str">
            <v>C11989</v>
          </cell>
          <cell r="B1322" t="str">
            <v>Organization</v>
          </cell>
          <cell r="C1322" t="str">
            <v>G.G. ORGANICS PVT. LTD ,</v>
          </cell>
          <cell r="D1322" t="str">
            <v>1</v>
          </cell>
        </row>
        <row r="1323">
          <cell r="A1323" t="str">
            <v>C11990</v>
          </cell>
          <cell r="B1323" t="str">
            <v>Organization</v>
          </cell>
          <cell r="C1323" t="str">
            <v>GALAXY SURFACTANTS LTD.</v>
          </cell>
          <cell r="D1323" t="str">
            <v>0</v>
          </cell>
        </row>
        <row r="1324">
          <cell r="A1324" t="str">
            <v>C11991</v>
          </cell>
          <cell r="B1324" t="str">
            <v>Organization</v>
          </cell>
          <cell r="C1324" t="str">
            <v>GANESH HARDWARES &amp; ALUMINIUM</v>
          </cell>
          <cell r="D1324" t="str">
            <v>7</v>
          </cell>
        </row>
        <row r="1325">
          <cell r="A1325" t="str">
            <v>C11992</v>
          </cell>
          <cell r="B1325" t="str">
            <v>Organization</v>
          </cell>
          <cell r="C1325" t="str">
            <v>GANGA CHEMICALS</v>
          </cell>
          <cell r="D1325" t="str">
            <v>7</v>
          </cell>
        </row>
        <row r="1326">
          <cell r="A1326" t="str">
            <v>C11993</v>
          </cell>
          <cell r="B1326" t="str">
            <v>Organization</v>
          </cell>
          <cell r="C1326" t="str">
            <v>GANRAM INDUSTRIES</v>
          </cell>
          <cell r="D1326" t="str">
            <v>30</v>
          </cell>
        </row>
        <row r="1327">
          <cell r="A1327" t="str">
            <v>C11996</v>
          </cell>
          <cell r="B1327" t="str">
            <v>Organization</v>
          </cell>
          <cell r="C1327" t="str">
            <v>GE PE INDUSTRIES</v>
          </cell>
          <cell r="D1327" t="str">
            <v>1</v>
          </cell>
        </row>
        <row r="1328">
          <cell r="A1328" t="str">
            <v>C11997</v>
          </cell>
          <cell r="B1328" t="str">
            <v>Organization</v>
          </cell>
          <cell r="C1328" t="str">
            <v>GEE GEE KHAY CHEMICALS</v>
          </cell>
          <cell r="D1328" t="str">
            <v>1</v>
          </cell>
        </row>
        <row r="1329">
          <cell r="A1329" t="str">
            <v>C11998</v>
          </cell>
          <cell r="B1329" t="str">
            <v>Organization</v>
          </cell>
          <cell r="C1329" t="str">
            <v>GENOTEX INTERNATIONAL (INDIA) PVT.LTD.</v>
          </cell>
          <cell r="D1329" t="str">
            <v>1</v>
          </cell>
        </row>
        <row r="1330">
          <cell r="A1330" t="str">
            <v>C11999</v>
          </cell>
          <cell r="B1330" t="str">
            <v>Organization</v>
          </cell>
          <cell r="C1330" t="str">
            <v>GERMAN POLYMERS AND COATINGS (PVTE) LTD.</v>
          </cell>
          <cell r="D1330" t="str">
            <v>7</v>
          </cell>
        </row>
        <row r="1331">
          <cell r="A1331" t="str">
            <v>C12000</v>
          </cell>
          <cell r="B1331" t="str">
            <v>Organization</v>
          </cell>
          <cell r="C1331" t="str">
            <v>GESHMACK</v>
          </cell>
          <cell r="D1331" t="str">
            <v>0</v>
          </cell>
        </row>
        <row r="1332">
          <cell r="A1332" t="str">
            <v>C12001</v>
          </cell>
          <cell r="B1332" t="str">
            <v>Organization</v>
          </cell>
          <cell r="C1332" t="str">
            <v>GILLANDERS ARBUTHNOT &amp; CO. LTD. - KOLKATA</v>
          </cell>
          <cell r="D1332" t="str">
            <v>1</v>
          </cell>
        </row>
        <row r="1333">
          <cell r="A1333" t="str">
            <v>C12002</v>
          </cell>
          <cell r="B1333" t="str">
            <v>Organization</v>
          </cell>
          <cell r="C1333" t="str">
            <v>GILLANDERS ARBUTHNOT &amp; CO. LTD. - CHENNAI</v>
          </cell>
          <cell r="D1333" t="str">
            <v>1</v>
          </cell>
        </row>
        <row r="1334">
          <cell r="A1334" t="str">
            <v>C12003</v>
          </cell>
          <cell r="B1334" t="str">
            <v>Organization</v>
          </cell>
          <cell r="C1334" t="str">
            <v>GILLANDERS ARBUTHNOT &amp; CO. LTD.  - MUMBAI</v>
          </cell>
          <cell r="D1334" t="str">
            <v>1</v>
          </cell>
        </row>
        <row r="1335">
          <cell r="A1335" t="str">
            <v>C12004</v>
          </cell>
          <cell r="B1335" t="str">
            <v>Organization</v>
          </cell>
          <cell r="C1335" t="str">
            <v>GILLANDERS ARBUTHNOT &amp; CO. LTD.  - NEW DELHI</v>
          </cell>
          <cell r="D1335" t="str">
            <v>1</v>
          </cell>
        </row>
        <row r="1336">
          <cell r="A1336" t="str">
            <v>C12005</v>
          </cell>
          <cell r="B1336" t="str">
            <v>Organization</v>
          </cell>
          <cell r="C1336" t="str">
            <v>GLOBAL SWEETENERS PVT. LTD.</v>
          </cell>
          <cell r="D1336" t="str">
            <v>7</v>
          </cell>
        </row>
        <row r="1337">
          <cell r="A1337" t="str">
            <v>C12006</v>
          </cell>
          <cell r="B1337" t="str">
            <v>Organization</v>
          </cell>
          <cell r="C1337" t="str">
            <v>GLOBAL TRADING NETWORK</v>
          </cell>
          <cell r="D1337" t="str">
            <v>30</v>
          </cell>
        </row>
        <row r="1338">
          <cell r="A1338" t="str">
            <v>C12007</v>
          </cell>
          <cell r="B1338" t="str">
            <v>Organization</v>
          </cell>
          <cell r="C1338" t="str">
            <v>GOODWILL EXPORTS &amp; IMPORTS</v>
          </cell>
          <cell r="D1338" t="str">
            <v>30</v>
          </cell>
        </row>
        <row r="1339">
          <cell r="A1339" t="str">
            <v>C12008</v>
          </cell>
          <cell r="B1339" t="str">
            <v>Organization</v>
          </cell>
          <cell r="C1339" t="str">
            <v>GOPALJI KETAKI KHARA MASALA</v>
          </cell>
          <cell r="D1339" t="str">
            <v>15</v>
          </cell>
        </row>
        <row r="1340">
          <cell r="A1340" t="str">
            <v>C12009</v>
          </cell>
          <cell r="B1340" t="str">
            <v>Organization</v>
          </cell>
          <cell r="C1340" t="str">
            <v>GOVERNMENT OF INDIA</v>
          </cell>
          <cell r="D1340" t="str">
            <v>7</v>
          </cell>
        </row>
        <row r="1341">
          <cell r="A1341" t="str">
            <v>C12010</v>
          </cell>
          <cell r="B1341" t="str">
            <v>Organization</v>
          </cell>
          <cell r="C1341" t="str">
            <v>GOVINDHARAJAN (BIS)</v>
          </cell>
          <cell r="D1341" t="str">
            <v>1</v>
          </cell>
        </row>
        <row r="1342">
          <cell r="A1342" t="str">
            <v>C12011</v>
          </cell>
          <cell r="B1342" t="str">
            <v>Organization</v>
          </cell>
          <cell r="C1342" t="str">
            <v>GRASSE INTERNATIONAL</v>
          </cell>
          <cell r="D1342" t="str">
            <v>1</v>
          </cell>
        </row>
        <row r="1343">
          <cell r="A1343" t="str">
            <v>C12012</v>
          </cell>
          <cell r="B1343" t="str">
            <v>Organization</v>
          </cell>
          <cell r="C1343" t="str">
            <v>GSL NATURALS PRIVATE LTD.</v>
          </cell>
          <cell r="D1343" t="str">
            <v>1</v>
          </cell>
        </row>
        <row r="1344">
          <cell r="A1344" t="str">
            <v>C12013</v>
          </cell>
          <cell r="B1344" t="str">
            <v>Organization</v>
          </cell>
          <cell r="C1344" t="str">
            <v>GSR PRODUCTS LTD. (A/C. NAGARJUNA AGRICHEM LTD.)</v>
          </cell>
          <cell r="D1344" t="str">
            <v>1</v>
          </cell>
        </row>
        <row r="1345">
          <cell r="A1345" t="str">
            <v>C12014</v>
          </cell>
          <cell r="B1345" t="str">
            <v>Organization</v>
          </cell>
          <cell r="C1345" t="str">
            <v>GUARDIAN ANTI CORROSIVES (P) LTD.</v>
          </cell>
          <cell r="D1345" t="str">
            <v>1</v>
          </cell>
        </row>
        <row r="1346">
          <cell r="A1346" t="str">
            <v>C12015</v>
          </cell>
          <cell r="B1346" t="str">
            <v>Organization</v>
          </cell>
          <cell r="C1346" t="str">
            <v>HACKBRIDGE-HEWITTIC AND EASUN LTD.</v>
          </cell>
          <cell r="D1346" t="str">
            <v>30</v>
          </cell>
        </row>
        <row r="1347">
          <cell r="A1347" t="str">
            <v>C12016</v>
          </cell>
          <cell r="B1347" t="str">
            <v>Organization</v>
          </cell>
          <cell r="C1347" t="str">
            <v>HANSRAJ &amp; SONS</v>
          </cell>
          <cell r="D1347" t="str">
            <v>30</v>
          </cell>
        </row>
        <row r="1348">
          <cell r="A1348" t="str">
            <v>C12017</v>
          </cell>
          <cell r="B1348" t="str">
            <v>Organization</v>
          </cell>
          <cell r="C1348" t="str">
            <v>HARRIS &amp; MANUK</v>
          </cell>
          <cell r="D1348" t="str">
            <v>1</v>
          </cell>
        </row>
        <row r="1349">
          <cell r="A1349" t="str">
            <v>C12018</v>
          </cell>
          <cell r="B1349" t="str">
            <v>Organization</v>
          </cell>
          <cell r="C1349" t="str">
            <v>HARRISONS MALAYALAM  LTD</v>
          </cell>
          <cell r="D1349" t="str">
            <v>15</v>
          </cell>
        </row>
        <row r="1350">
          <cell r="A1350" t="str">
            <v>C12019</v>
          </cell>
          <cell r="B1350" t="str">
            <v>Organization</v>
          </cell>
          <cell r="C1350" t="str">
            <v>HARSHA CHEMICALS PVT. LTD..</v>
          </cell>
          <cell r="D1350" t="str">
            <v>7</v>
          </cell>
        </row>
        <row r="1351">
          <cell r="A1351" t="str">
            <v>C12020</v>
          </cell>
          <cell r="B1351" t="str">
            <v>Organization</v>
          </cell>
          <cell r="C1351" t="str">
            <v>HEALTH INSPECTOR,</v>
          </cell>
          <cell r="D1351" t="str">
            <v>1</v>
          </cell>
        </row>
        <row r="1352">
          <cell r="A1352" t="str">
            <v>C12021</v>
          </cell>
          <cell r="B1352" t="str">
            <v>Organization</v>
          </cell>
          <cell r="C1352" t="str">
            <v>HEMALATHA CHEMICALS PRIVATE LTD</v>
          </cell>
          <cell r="D1352" t="str">
            <v>7</v>
          </cell>
        </row>
        <row r="1353">
          <cell r="A1353" t="str">
            <v>C12022</v>
          </cell>
          <cell r="B1353" t="str">
            <v>Organization</v>
          </cell>
          <cell r="C1353" t="str">
            <v>HERBAL ISOLATES - COCHIN</v>
          </cell>
          <cell r="D1353" t="str">
            <v>0</v>
          </cell>
        </row>
        <row r="1354">
          <cell r="A1354" t="str">
            <v>C12023</v>
          </cell>
          <cell r="B1354" t="str">
            <v>Organization</v>
          </cell>
          <cell r="C1354" t="str">
            <v>HINDUSTAN COLAS LIMITED - VISHAKAPATNAM</v>
          </cell>
          <cell r="D1354" t="str">
            <v>15</v>
          </cell>
        </row>
        <row r="1355">
          <cell r="A1355" t="str">
            <v>C12024</v>
          </cell>
          <cell r="B1355" t="str">
            <v>Organization</v>
          </cell>
          <cell r="C1355" t="str">
            <v>HINDUSTAN COLAS LIMITED - PERUMBUTHUR</v>
          </cell>
          <cell r="D1355" t="str">
            <v>15</v>
          </cell>
        </row>
        <row r="1356">
          <cell r="A1356" t="str">
            <v>C12025</v>
          </cell>
          <cell r="B1356" t="str">
            <v>Organization</v>
          </cell>
          <cell r="C1356" t="str">
            <v>HINDUSTAN COLAS LIMITED - MANGALROE</v>
          </cell>
          <cell r="D1356" t="str">
            <v>15</v>
          </cell>
        </row>
        <row r="1357">
          <cell r="A1357" t="str">
            <v>C12026</v>
          </cell>
          <cell r="B1357" t="str">
            <v>Organization</v>
          </cell>
          <cell r="C1357" t="str">
            <v>HINDUSTAN LEVER LIMITED   - MUMBAI</v>
          </cell>
          <cell r="D1357" t="str">
            <v>30</v>
          </cell>
        </row>
        <row r="1358">
          <cell r="A1358" t="str">
            <v>C12027</v>
          </cell>
          <cell r="B1358" t="str">
            <v>Organization</v>
          </cell>
          <cell r="C1358" t="str">
            <v>HINDUSTAN LEVER LIMITED   - PONDY</v>
          </cell>
          <cell r="D1358" t="str">
            <v>60</v>
          </cell>
        </row>
        <row r="1359">
          <cell r="A1359" t="str">
            <v>C12028</v>
          </cell>
          <cell r="B1359" t="str">
            <v>Organization</v>
          </cell>
          <cell r="C1359" t="str">
            <v>HINDUSTAN LEVER LIMITED   - SEWREE</v>
          </cell>
          <cell r="D1359" t="str">
            <v>30</v>
          </cell>
        </row>
        <row r="1360">
          <cell r="A1360" t="str">
            <v>C12030</v>
          </cell>
          <cell r="B1360" t="str">
            <v>Organization</v>
          </cell>
          <cell r="C1360" t="str">
            <v>HINUSTAN PETROLEUM CORPORATION LIMITED</v>
          </cell>
          <cell r="D1360" t="str">
            <v>30</v>
          </cell>
        </row>
        <row r="1361">
          <cell r="A1361" t="str">
            <v>C12031</v>
          </cell>
          <cell r="B1361" t="str">
            <v>Organization</v>
          </cell>
          <cell r="C1361" t="str">
            <v>HINDUSTAN UNILEVER LIMITED   - KOLKATA</v>
          </cell>
          <cell r="D1361" t="str">
            <v>60</v>
          </cell>
        </row>
        <row r="1362">
          <cell r="A1362" t="str">
            <v>C12033</v>
          </cell>
          <cell r="B1362" t="str">
            <v>Organization</v>
          </cell>
          <cell r="C1362" t="str">
            <v>HUNTSMAN INTERNATIONAL (I) PVT. LTD,TAMILNADU</v>
          </cell>
          <cell r="D1362" t="str">
            <v>60</v>
          </cell>
        </row>
        <row r="1363">
          <cell r="A1363" t="str">
            <v>C12034</v>
          </cell>
          <cell r="B1363" t="str">
            <v>Organization</v>
          </cell>
          <cell r="C1363" t="str">
            <v>HYDROCHEM SERVICES</v>
          </cell>
          <cell r="D1363" t="str">
            <v>15</v>
          </cell>
        </row>
        <row r="1364">
          <cell r="A1364" t="str">
            <v>C12035</v>
          </cell>
          <cell r="B1364" t="str">
            <v>Organization</v>
          </cell>
          <cell r="C1364" t="str">
            <v>IBP CO. LIMITED - CHENNAI (LUBE BLENDING PLANT)</v>
          </cell>
          <cell r="D1364" t="str">
            <v>30</v>
          </cell>
        </row>
        <row r="1365">
          <cell r="A1365" t="str">
            <v>C12036</v>
          </cell>
          <cell r="B1365" t="str">
            <v>Organization</v>
          </cell>
          <cell r="C1365" t="str">
            <v>IND BARATH COMMODITIES LTD</v>
          </cell>
          <cell r="D1365" t="str">
            <v>7</v>
          </cell>
        </row>
        <row r="1366">
          <cell r="A1366" t="str">
            <v>C12038</v>
          </cell>
          <cell r="B1366" t="str">
            <v>Organization</v>
          </cell>
          <cell r="C1366" t="str">
            <v>INDIAN INSTITUTE OF PACKAGING - ANDHERI</v>
          </cell>
          <cell r="D1366" t="str">
            <v>0</v>
          </cell>
        </row>
        <row r="1367">
          <cell r="A1367" t="str">
            <v>C12039</v>
          </cell>
          <cell r="B1367" t="str">
            <v>Organization</v>
          </cell>
          <cell r="C1367" t="str">
            <v>INDIAN INSTITUTE OF PACKAGING - CHENNAI</v>
          </cell>
          <cell r="D1367" t="str">
            <v>0</v>
          </cell>
        </row>
        <row r="1368">
          <cell r="A1368" t="str">
            <v>C12040</v>
          </cell>
          <cell r="B1368" t="str">
            <v>Organization</v>
          </cell>
          <cell r="C1368" t="str">
            <v>INDIAN OIL CORPORATION LTD - TONDIARPET</v>
          </cell>
          <cell r="D1368" t="str">
            <v>45</v>
          </cell>
        </row>
        <row r="1369">
          <cell r="A1369" t="str">
            <v>C12041</v>
          </cell>
          <cell r="B1369" t="str">
            <v>Organization</v>
          </cell>
          <cell r="C1369" t="str">
            <v>INDIAN SYNTANS LTD,</v>
          </cell>
          <cell r="D1369" t="str">
            <v>15</v>
          </cell>
        </row>
        <row r="1370">
          <cell r="A1370" t="str">
            <v>C12042</v>
          </cell>
          <cell r="B1370" t="str">
            <v>Organization</v>
          </cell>
          <cell r="C1370" t="str">
            <v>INDU CHEMICALS</v>
          </cell>
          <cell r="D1370" t="str">
            <v>100</v>
          </cell>
        </row>
        <row r="1371">
          <cell r="A1371" t="str">
            <v>C12043</v>
          </cell>
          <cell r="B1371" t="str">
            <v>Organization</v>
          </cell>
          <cell r="C1371" t="str">
            <v>INDUS MEDICARE LTD.</v>
          </cell>
          <cell r="D1371" t="str">
            <v>7</v>
          </cell>
        </row>
        <row r="1372">
          <cell r="A1372" t="str">
            <v>C12048</v>
          </cell>
          <cell r="B1372" t="str">
            <v>Organization</v>
          </cell>
          <cell r="C1372" t="str">
            <v>ION EXCHANGE (INDIA) LTD</v>
          </cell>
          <cell r="D1372" t="str">
            <v>1</v>
          </cell>
        </row>
        <row r="1373">
          <cell r="A1373" t="str">
            <v>C12052</v>
          </cell>
          <cell r="B1373" t="str">
            <v>Organization</v>
          </cell>
          <cell r="C1373" t="str">
            <v>J.K. PHARMACHEM LTD.</v>
          </cell>
          <cell r="D1373" t="str">
            <v>15</v>
          </cell>
        </row>
        <row r="1374">
          <cell r="A1374" t="str">
            <v>C12053</v>
          </cell>
          <cell r="B1374" t="str">
            <v>Organization</v>
          </cell>
          <cell r="C1374" t="str">
            <v>JABEZ CHEMICALS</v>
          </cell>
          <cell r="D1374" t="str">
            <v>1</v>
          </cell>
        </row>
        <row r="1375">
          <cell r="A1375" t="str">
            <v>C12054</v>
          </cell>
          <cell r="B1375" t="str">
            <v>Organization</v>
          </cell>
          <cell r="C1375" t="str">
            <v>JANSONS BALERS</v>
          </cell>
          <cell r="D1375" t="str">
            <v>15</v>
          </cell>
        </row>
        <row r="1376">
          <cell r="A1376" t="str">
            <v>C12058</v>
          </cell>
          <cell r="B1376" t="str">
            <v>Organization</v>
          </cell>
          <cell r="C1376" t="str">
            <v>CADILA PHARMACEUTICALS LTD.,ANKLESHWAR(CLOSED)</v>
          </cell>
          <cell r="D1376" t="str">
            <v>60</v>
          </cell>
        </row>
        <row r="1377">
          <cell r="A1377" t="str">
            <v>C12059</v>
          </cell>
          <cell r="B1377" t="str">
            <v>Organization</v>
          </cell>
          <cell r="C1377" t="str">
            <v>KA PREVULCANISED LATEX P LTD</v>
          </cell>
          <cell r="D1377" t="str">
            <v>30</v>
          </cell>
        </row>
        <row r="1378">
          <cell r="A1378" t="str">
            <v>C12060</v>
          </cell>
          <cell r="B1378" t="str">
            <v>Organization</v>
          </cell>
          <cell r="C1378" t="str">
            <v>KALLARACKAL AGENCIES</v>
          </cell>
          <cell r="D1378" t="str">
            <v>1</v>
          </cell>
        </row>
        <row r="1379">
          <cell r="A1379" t="str">
            <v>C12061</v>
          </cell>
          <cell r="B1379" t="str">
            <v>Organization</v>
          </cell>
          <cell r="C1379" t="str">
            <v>KAMALA SUGAR MILLS LTD</v>
          </cell>
          <cell r="D1379" t="str">
            <v>7</v>
          </cell>
        </row>
        <row r="1380">
          <cell r="A1380" t="str">
            <v>C12062</v>
          </cell>
          <cell r="B1380" t="str">
            <v>Organization</v>
          </cell>
          <cell r="C1380" t="str">
            <v>KAMAR CHEMICALS &amp; INDUSTRIES LTD.</v>
          </cell>
          <cell r="D1380" t="str">
            <v>45</v>
          </cell>
        </row>
        <row r="1381">
          <cell r="A1381" t="str">
            <v>C12063</v>
          </cell>
          <cell r="B1381" t="str">
            <v>Organization</v>
          </cell>
          <cell r="C1381" t="str">
            <v>KANCOR INGREDIENTS LIMITED -  BYADGI</v>
          </cell>
          <cell r="D1381" t="str">
            <v>30</v>
          </cell>
        </row>
        <row r="1382">
          <cell r="A1382" t="str">
            <v>C12065</v>
          </cell>
          <cell r="B1382" t="str">
            <v>Organization</v>
          </cell>
          <cell r="C1382" t="str">
            <v>KAPOOR SALES INDIA PVT. LTD.</v>
          </cell>
          <cell r="D1382" t="str">
            <v>7</v>
          </cell>
        </row>
        <row r="1383">
          <cell r="A1383" t="str">
            <v>C12066</v>
          </cell>
          <cell r="B1383" t="str">
            <v>Organization</v>
          </cell>
          <cell r="C1383" t="str">
            <v>KAROL LUBRICANTS INDIA LIMITED</v>
          </cell>
          <cell r="D1383" t="str">
            <v>7</v>
          </cell>
        </row>
        <row r="1384">
          <cell r="A1384" t="str">
            <v>C12067</v>
          </cell>
          <cell r="B1384" t="str">
            <v>Organization</v>
          </cell>
          <cell r="C1384" t="str">
            <v>KASIRAJA HERBAL GARDEN (P) LTD.</v>
          </cell>
          <cell r="D1384" t="str">
            <v>15</v>
          </cell>
        </row>
        <row r="1385">
          <cell r="A1385" t="str">
            <v>C12068</v>
          </cell>
          <cell r="B1385" t="str">
            <v>Organization</v>
          </cell>
          <cell r="C1385" t="str">
            <v>KASTURI &amp; SONS LTD.</v>
          </cell>
          <cell r="D1385" t="str">
            <v>15</v>
          </cell>
        </row>
        <row r="1386">
          <cell r="A1386" t="str">
            <v>C12069</v>
          </cell>
          <cell r="B1386" t="str">
            <v>Organization</v>
          </cell>
          <cell r="C1386" t="str">
            <v>KAUSHIK CHEMICALS LTD.</v>
          </cell>
          <cell r="D1386" t="str">
            <v>60</v>
          </cell>
        </row>
        <row r="1387">
          <cell r="A1387" t="str">
            <v>C12070</v>
          </cell>
          <cell r="B1387" t="str">
            <v>Organization</v>
          </cell>
          <cell r="C1387" t="str">
            <v>KAYVEE LABORATORIES</v>
          </cell>
          <cell r="D1387" t="str">
            <v>100</v>
          </cell>
        </row>
        <row r="1388">
          <cell r="A1388" t="str">
            <v>C12074</v>
          </cell>
          <cell r="B1388" t="str">
            <v>Organization</v>
          </cell>
          <cell r="C1388" t="str">
            <v>KIWI TTK LIMITED</v>
          </cell>
          <cell r="D1388" t="str">
            <v>30</v>
          </cell>
        </row>
        <row r="1389">
          <cell r="A1389" t="str">
            <v>C12075</v>
          </cell>
          <cell r="B1389" t="str">
            <v>Organization</v>
          </cell>
          <cell r="C1389" t="str">
            <v>KLF NIRMAL INDUSTRIES PVT. LTD</v>
          </cell>
          <cell r="D1389" t="str">
            <v>1</v>
          </cell>
        </row>
        <row r="1390">
          <cell r="A1390" t="str">
            <v>C12076</v>
          </cell>
          <cell r="B1390" t="str">
            <v>Organization</v>
          </cell>
          <cell r="C1390" t="str">
            <v>KLUBER LUBRICATION</v>
          </cell>
          <cell r="D1390" t="str">
            <v>0</v>
          </cell>
        </row>
        <row r="1391">
          <cell r="A1391" t="str">
            <v>C12077</v>
          </cell>
          <cell r="B1391" t="str">
            <v>Organization</v>
          </cell>
          <cell r="C1391" t="str">
            <v>KNISS LABORATORIES PVT. LTD.</v>
          </cell>
          <cell r="D1391" t="str">
            <v>7</v>
          </cell>
        </row>
        <row r="1392">
          <cell r="A1392" t="str">
            <v>C12078</v>
          </cell>
          <cell r="B1392" t="str">
            <v>Organization</v>
          </cell>
          <cell r="C1392" t="str">
            <v>KOPSON SURFACTANTS PVT. LTD. - MARAIMALAI</v>
          </cell>
          <cell r="D1392" t="str">
            <v>1</v>
          </cell>
        </row>
        <row r="1393">
          <cell r="A1393" t="str">
            <v>C12080</v>
          </cell>
          <cell r="B1393" t="str">
            <v>Organization</v>
          </cell>
          <cell r="C1393" t="str">
            <v>KOTHARI INDUSTRIAL CORPORATION LIMITED</v>
          </cell>
          <cell r="D1393" t="str">
            <v>30</v>
          </cell>
        </row>
        <row r="1394">
          <cell r="A1394" t="str">
            <v>C12081</v>
          </cell>
          <cell r="B1394" t="str">
            <v>Organization</v>
          </cell>
          <cell r="C1394" t="str">
            <v>KOTHARI SUGARS &amp; CHEMICALS LIMITED - MANALI</v>
          </cell>
          <cell r="D1394" t="str">
            <v>30</v>
          </cell>
        </row>
        <row r="1395">
          <cell r="A1395" t="str">
            <v>C12082</v>
          </cell>
          <cell r="B1395" t="str">
            <v>Organization</v>
          </cell>
          <cell r="C1395" t="str">
            <v>KOTHARI SUGARS &amp; CHEMICALS LIMITED - KARAIKAL</v>
          </cell>
          <cell r="D1395" t="str">
            <v>30</v>
          </cell>
        </row>
        <row r="1396">
          <cell r="A1396" t="str">
            <v>C12083</v>
          </cell>
          <cell r="B1396" t="str">
            <v>Organization</v>
          </cell>
          <cell r="C1396" t="str">
            <v>KRISHNA ENGINEERING WORKS</v>
          </cell>
          <cell r="D1396" t="str">
            <v>1</v>
          </cell>
        </row>
        <row r="1397">
          <cell r="A1397" t="str">
            <v>C12084</v>
          </cell>
          <cell r="B1397" t="str">
            <v>Organization</v>
          </cell>
          <cell r="C1397" t="str">
            <v>KURIAN ABRAHAM (P) LTD. - KOTTAYAM</v>
          </cell>
          <cell r="D1397" t="str">
            <v>1</v>
          </cell>
        </row>
        <row r="1398">
          <cell r="A1398" t="str">
            <v>C12085</v>
          </cell>
          <cell r="B1398" t="str">
            <v>Organization</v>
          </cell>
          <cell r="C1398" t="str">
            <v>KURIAN ABRAHAM LTD.     - THUCKALAY</v>
          </cell>
          <cell r="D1398" t="str">
            <v>30</v>
          </cell>
        </row>
        <row r="1399">
          <cell r="A1399" t="str">
            <v>C12086</v>
          </cell>
          <cell r="B1399" t="str">
            <v>Organization</v>
          </cell>
          <cell r="C1399" t="str">
            <v>KURIAN ABRAHAM (P) LTD. - PARVATIPURAM</v>
          </cell>
          <cell r="D1399" t="str">
            <v>1</v>
          </cell>
        </row>
        <row r="1400">
          <cell r="A1400" t="str">
            <v>C12087</v>
          </cell>
          <cell r="B1400" t="str">
            <v>Organization</v>
          </cell>
          <cell r="C1400" t="str">
            <v>L.K. FARMPRO INTERNATIONAL</v>
          </cell>
          <cell r="D1400" t="str">
            <v>90</v>
          </cell>
        </row>
        <row r="1401">
          <cell r="A1401" t="str">
            <v>C12088</v>
          </cell>
          <cell r="B1401" t="str">
            <v>Organization</v>
          </cell>
          <cell r="C1401" t="str">
            <v>LACTOCHEM LIMITED</v>
          </cell>
          <cell r="D1401" t="str">
            <v>30</v>
          </cell>
        </row>
        <row r="1402">
          <cell r="A1402" t="str">
            <v>C12089</v>
          </cell>
          <cell r="B1402" t="str">
            <v>Organization</v>
          </cell>
          <cell r="C1402" t="str">
            <v>LAKSHMI SERVICES</v>
          </cell>
          <cell r="D1402" t="str">
            <v>15</v>
          </cell>
        </row>
        <row r="1403">
          <cell r="A1403" t="str">
            <v>C12090</v>
          </cell>
          <cell r="B1403" t="str">
            <v>Organization</v>
          </cell>
          <cell r="C1403" t="str">
            <v>LANXESS INDIA PRIVATE LIMITED</v>
          </cell>
          <cell r="D1403" t="str">
            <v>30</v>
          </cell>
        </row>
        <row r="1404">
          <cell r="A1404" t="str">
            <v>C12092</v>
          </cell>
          <cell r="B1404" t="str">
            <v>Organization</v>
          </cell>
          <cell r="C1404" t="str">
            <v>LAUREL AROMATICS PVT. LTD.</v>
          </cell>
          <cell r="D1404" t="str">
            <v>30</v>
          </cell>
        </row>
        <row r="1405">
          <cell r="A1405" t="str">
            <v>C12093</v>
          </cell>
          <cell r="B1405" t="str">
            <v>Organization</v>
          </cell>
          <cell r="C1405" t="str">
            <v>LEO SCREEN PRINTERS</v>
          </cell>
          <cell r="D1405" t="str">
            <v>15</v>
          </cell>
        </row>
        <row r="1406">
          <cell r="A1406" t="str">
            <v>C12094</v>
          </cell>
          <cell r="B1406" t="str">
            <v>Organization</v>
          </cell>
          <cell r="C1406" t="str">
            <v>LOTTE INDIA  CORPORATION LIMITED</v>
          </cell>
          <cell r="D1406" t="str">
            <v>1</v>
          </cell>
        </row>
        <row r="1407">
          <cell r="A1407" t="str">
            <v>C12095</v>
          </cell>
          <cell r="B1407" t="str">
            <v>Organization</v>
          </cell>
          <cell r="C1407" t="str">
            <v>LRC SPECIALITY CHEMICALS PRIVATE LIMITED - THIRUVALLUR</v>
          </cell>
          <cell r="D1407" t="str">
            <v>30</v>
          </cell>
        </row>
        <row r="1408">
          <cell r="A1408" t="str">
            <v>C12096</v>
          </cell>
          <cell r="B1408" t="str">
            <v>Organization</v>
          </cell>
          <cell r="C1408" t="str">
            <v>LUBE TECH</v>
          </cell>
          <cell r="D1408" t="str">
            <v>1</v>
          </cell>
        </row>
        <row r="1409">
          <cell r="A1409" t="str">
            <v>C12097</v>
          </cell>
          <cell r="B1409" t="str">
            <v>Organization</v>
          </cell>
          <cell r="C1409" t="str">
            <v>M. EDDISON &amp; CO. - TUTICORIN</v>
          </cell>
          <cell r="D1409" t="str">
            <v>1</v>
          </cell>
        </row>
        <row r="1410">
          <cell r="A1410" t="str">
            <v>C12099</v>
          </cell>
          <cell r="B1410" t="str">
            <v>Organization</v>
          </cell>
          <cell r="C1410" t="str">
            <v>M.N. POLYESTER (INDIA) PVT. LTD</v>
          </cell>
          <cell r="D1410" t="str">
            <v>1</v>
          </cell>
        </row>
        <row r="1411">
          <cell r="A1411" t="str">
            <v>C12100</v>
          </cell>
          <cell r="B1411" t="str">
            <v>Organization</v>
          </cell>
          <cell r="C1411" t="str">
            <v>M/S. PRAMILA</v>
          </cell>
          <cell r="D1411" t="str">
            <v>1</v>
          </cell>
        </row>
        <row r="1412">
          <cell r="A1412" t="str">
            <v>C12101</v>
          </cell>
          <cell r="B1412" t="str">
            <v>Organization</v>
          </cell>
          <cell r="C1412" t="str">
            <v>MADHUSUDHAN INDUSTRIES</v>
          </cell>
          <cell r="D1412" t="str">
            <v>7</v>
          </cell>
        </row>
        <row r="1413">
          <cell r="A1413" t="str">
            <v>C12102</v>
          </cell>
          <cell r="B1413" t="str">
            <v>Organization</v>
          </cell>
          <cell r="C1413" t="str">
            <v>CHENNAI FLUORINE PRODUCTS LIMITED</v>
          </cell>
          <cell r="D1413" t="str">
            <v>1</v>
          </cell>
        </row>
        <row r="1414">
          <cell r="A1414" t="str">
            <v>C12103</v>
          </cell>
          <cell r="B1414" t="str">
            <v>Organization</v>
          </cell>
          <cell r="C1414" t="str">
            <v>CHENNAI PETROCHEM LIMITED</v>
          </cell>
          <cell r="D1414" t="str">
            <v>60</v>
          </cell>
        </row>
        <row r="1415">
          <cell r="A1415" t="str">
            <v>C12104</v>
          </cell>
          <cell r="B1415" t="str">
            <v>Organization</v>
          </cell>
          <cell r="C1415" t="str">
            <v>MAGNA COLOURS (I) PVT. LTD - NAVI MUMBAI</v>
          </cell>
          <cell r="D1415" t="str">
            <v>30</v>
          </cell>
        </row>
        <row r="1416">
          <cell r="A1416" t="str">
            <v>C12106</v>
          </cell>
          <cell r="B1416" t="str">
            <v>Organization</v>
          </cell>
          <cell r="C1416" t="str">
            <v>MAKARA CHEMO CORPORATION</v>
          </cell>
          <cell r="D1416" t="str">
            <v>1</v>
          </cell>
        </row>
        <row r="1417">
          <cell r="A1417" t="str">
            <v>C12108</v>
          </cell>
          <cell r="B1417" t="str">
            <v>Organization</v>
          </cell>
          <cell r="C1417" t="str">
            <v>MALLADI DRUGS &amp; PHARMACEUTICALS LTD.</v>
          </cell>
          <cell r="D1417" t="str">
            <v>90</v>
          </cell>
        </row>
        <row r="1418">
          <cell r="A1418" t="str">
            <v>C12109</v>
          </cell>
          <cell r="B1418" t="str">
            <v>Organization</v>
          </cell>
          <cell r="C1418" t="str">
            <v>MANALI LUBRICANTS PVT. LTD. - THIRUMUDIVAKKAM</v>
          </cell>
          <cell r="D1418" t="str">
            <v>15</v>
          </cell>
        </row>
        <row r="1419">
          <cell r="A1419" t="str">
            <v>C12110</v>
          </cell>
          <cell r="B1419" t="str">
            <v>Organization</v>
          </cell>
          <cell r="C1419" t="str">
            <v>MANALI LUBRICANTS PVT. LTD. - MOULIVAKKAM</v>
          </cell>
          <cell r="D1419" t="str">
            <v>30</v>
          </cell>
        </row>
        <row r="1420">
          <cell r="A1420" t="str">
            <v>C12112</v>
          </cell>
          <cell r="B1420" t="str">
            <v>Organization</v>
          </cell>
          <cell r="C1420" t="str">
            <v>MARATHA CHEMICALS</v>
          </cell>
          <cell r="D1420" t="str">
            <v>1</v>
          </cell>
        </row>
        <row r="1421">
          <cell r="A1421" t="str">
            <v>C12113</v>
          </cell>
          <cell r="B1421" t="str">
            <v>Organization</v>
          </cell>
          <cell r="C1421" t="str">
            <v>MARS LOGISTICS</v>
          </cell>
          <cell r="D1421" t="str">
            <v>15</v>
          </cell>
        </row>
        <row r="1422">
          <cell r="A1422" t="str">
            <v>C12114</v>
          </cell>
          <cell r="B1422" t="str">
            <v>Organization</v>
          </cell>
          <cell r="C1422" t="str">
            <v>MASCHMEIJER AROMATICS (INDIA) LTD.,</v>
          </cell>
          <cell r="D1422" t="str">
            <v>30</v>
          </cell>
        </row>
        <row r="1423">
          <cell r="A1423" t="str">
            <v>C12115</v>
          </cell>
          <cell r="B1423" t="str">
            <v>Organization</v>
          </cell>
          <cell r="C1423" t="str">
            <v>MASTER BUILDERS TECHNOLOGIES (INDIA) P L</v>
          </cell>
          <cell r="D1423" t="str">
            <v>0</v>
          </cell>
        </row>
        <row r="1424">
          <cell r="A1424" t="str">
            <v>C12117</v>
          </cell>
          <cell r="B1424" t="str">
            <v>Organization</v>
          </cell>
          <cell r="C1424" t="str">
            <v>MEDCHL CHEMICALS AND PHARMACEUTICALS P LTD</v>
          </cell>
          <cell r="D1424" t="str">
            <v>1</v>
          </cell>
        </row>
        <row r="1425">
          <cell r="A1425" t="str">
            <v>C12118</v>
          </cell>
          <cell r="B1425" t="str">
            <v>Organization</v>
          </cell>
          <cell r="C1425" t="str">
            <v>MEDOPHARM</v>
          </cell>
          <cell r="D1425" t="str">
            <v>15</v>
          </cell>
        </row>
        <row r="1426">
          <cell r="A1426" t="str">
            <v>C12119</v>
          </cell>
          <cell r="B1426" t="str">
            <v>Organization</v>
          </cell>
          <cell r="C1426" t="str">
            <v>MERCHEM LIMITED</v>
          </cell>
          <cell r="D1426" t="str">
            <v>30</v>
          </cell>
        </row>
        <row r="1427">
          <cell r="A1427" t="str">
            <v>C12120</v>
          </cell>
          <cell r="B1427" t="str">
            <v>Organization</v>
          </cell>
          <cell r="C1427" t="str">
            <v>METAL GUARD</v>
          </cell>
          <cell r="D1427" t="str">
            <v>1</v>
          </cell>
        </row>
        <row r="1428">
          <cell r="A1428" t="str">
            <v>C12121</v>
          </cell>
          <cell r="B1428" t="str">
            <v>Organization</v>
          </cell>
          <cell r="C1428" t="str">
            <v>METROCHEM (INDIA)</v>
          </cell>
          <cell r="D1428" t="str">
            <v>30</v>
          </cell>
        </row>
        <row r="1429">
          <cell r="A1429" t="str">
            <v>C12122</v>
          </cell>
          <cell r="B1429" t="str">
            <v>Organization</v>
          </cell>
          <cell r="C1429" t="str">
            <v>MFPL FLUORINE PRODUCTS LTD.</v>
          </cell>
          <cell r="D1429" t="str">
            <v>60</v>
          </cell>
        </row>
        <row r="1430">
          <cell r="A1430" t="str">
            <v>C12124</v>
          </cell>
          <cell r="B1430" t="str">
            <v>Organization</v>
          </cell>
          <cell r="C1430" t="str">
            <v>MOHAN MUTHA EXPORTS PVT. LTD</v>
          </cell>
          <cell r="D1430" t="str">
            <v>7</v>
          </cell>
        </row>
        <row r="1431">
          <cell r="A1431" t="str">
            <v>C12125</v>
          </cell>
          <cell r="B1431" t="str">
            <v>Organization</v>
          </cell>
          <cell r="C1431" t="str">
            <v>MOTHERSON AUTOMOTIVE &amp; ENGINEERS</v>
          </cell>
          <cell r="D1431" t="str">
            <v>1</v>
          </cell>
        </row>
        <row r="1432">
          <cell r="A1432" t="str">
            <v>C12126</v>
          </cell>
          <cell r="B1432" t="str">
            <v>Organization</v>
          </cell>
          <cell r="C1432" t="str">
            <v>MR. RAJENDRAN</v>
          </cell>
          <cell r="D1432" t="str">
            <v>1</v>
          </cell>
        </row>
        <row r="1433">
          <cell r="A1433" t="str">
            <v>C12127</v>
          </cell>
          <cell r="B1433" t="str">
            <v>Organization</v>
          </cell>
          <cell r="C1433" t="str">
            <v>MR. A. SURESH KUMAR</v>
          </cell>
          <cell r="D1433" t="str">
            <v>7</v>
          </cell>
        </row>
        <row r="1434">
          <cell r="A1434" t="str">
            <v>C12128</v>
          </cell>
          <cell r="B1434" t="str">
            <v>Organization</v>
          </cell>
          <cell r="C1434" t="str">
            <v>MR. A.T. PILLAI</v>
          </cell>
          <cell r="D1434" t="str">
            <v>7</v>
          </cell>
        </row>
        <row r="1435">
          <cell r="A1435" t="str">
            <v>C12129</v>
          </cell>
          <cell r="B1435" t="str">
            <v>Organization</v>
          </cell>
          <cell r="C1435" t="str">
            <v>MR.C.R.SUDHARSANAM</v>
          </cell>
          <cell r="D1435" t="str">
            <v>1</v>
          </cell>
        </row>
        <row r="1436">
          <cell r="A1436" t="str">
            <v>C12130</v>
          </cell>
          <cell r="B1436" t="str">
            <v>Organization</v>
          </cell>
          <cell r="C1436" t="str">
            <v>MR.GNYANA SAHARAN</v>
          </cell>
          <cell r="D1436" t="str">
            <v>1</v>
          </cell>
        </row>
        <row r="1437">
          <cell r="A1437" t="str">
            <v>C12131</v>
          </cell>
          <cell r="B1437" t="str">
            <v>Organization</v>
          </cell>
          <cell r="C1437" t="str">
            <v>MR. K.V.L.L. SHARMA</v>
          </cell>
          <cell r="D1437" t="str">
            <v>1</v>
          </cell>
        </row>
        <row r="1438">
          <cell r="A1438" t="str">
            <v>C12132</v>
          </cell>
          <cell r="B1438" t="str">
            <v>Organization</v>
          </cell>
          <cell r="C1438" t="str">
            <v>MR. RAJAGOPAL</v>
          </cell>
          <cell r="D1438" t="str">
            <v>1</v>
          </cell>
        </row>
        <row r="1439">
          <cell r="A1439" t="str">
            <v>C12133</v>
          </cell>
          <cell r="B1439" t="str">
            <v>Organization</v>
          </cell>
          <cell r="C1439" t="str">
            <v>MR.RAMLINGAM</v>
          </cell>
          <cell r="D1439" t="str">
            <v>90</v>
          </cell>
        </row>
        <row r="1440">
          <cell r="A1440" t="str">
            <v>C12134</v>
          </cell>
          <cell r="B1440" t="str">
            <v>Organization</v>
          </cell>
          <cell r="C1440" t="str">
            <v>MR. S.CHIDAMBARAM, DY, TAHILDAR</v>
          </cell>
          <cell r="D1440" t="str">
            <v>1</v>
          </cell>
        </row>
        <row r="1441">
          <cell r="A1441" t="str">
            <v>C12136</v>
          </cell>
          <cell r="B1441" t="str">
            <v>Organization</v>
          </cell>
          <cell r="C1441" t="str">
            <v>MURRAY &amp; CO</v>
          </cell>
          <cell r="D1441" t="str">
            <v>1</v>
          </cell>
        </row>
        <row r="1442">
          <cell r="A1442" t="str">
            <v>C12137</v>
          </cell>
          <cell r="B1442" t="str">
            <v>Organization</v>
          </cell>
          <cell r="C1442" t="str">
            <v>N C H INDIA LIMITED</v>
          </cell>
          <cell r="D1442" t="str">
            <v>60</v>
          </cell>
        </row>
        <row r="1443">
          <cell r="A1443" t="str">
            <v>C12138</v>
          </cell>
          <cell r="B1443" t="str">
            <v>Organization</v>
          </cell>
          <cell r="C1443" t="str">
            <v>N. RAMANLAL &amp; BROS.</v>
          </cell>
          <cell r="D1443" t="str">
            <v>1</v>
          </cell>
        </row>
        <row r="1444">
          <cell r="A1444" t="str">
            <v>C12141</v>
          </cell>
          <cell r="B1444" t="str">
            <v>Organization</v>
          </cell>
          <cell r="C1444" t="str">
            <v>NAMASTE EXPORTS LTD.,</v>
          </cell>
          <cell r="D1444" t="str">
            <v>7</v>
          </cell>
        </row>
        <row r="1445">
          <cell r="A1445" t="str">
            <v>C12142</v>
          </cell>
          <cell r="B1445" t="str">
            <v>Organization</v>
          </cell>
          <cell r="C1445" t="str">
            <v>NAPTHA RESINS AND CHEMICALS PVT. LTD.</v>
          </cell>
          <cell r="D1445" t="str">
            <v>1</v>
          </cell>
        </row>
        <row r="1446">
          <cell r="A1446" t="str">
            <v>C12143</v>
          </cell>
          <cell r="B1446" t="str">
            <v>Organization</v>
          </cell>
          <cell r="C1446" t="str">
            <v>NATHAN INDUSTRIES</v>
          </cell>
          <cell r="D1446" t="str">
            <v>1</v>
          </cell>
        </row>
        <row r="1447">
          <cell r="A1447" t="str">
            <v>C12145</v>
          </cell>
          <cell r="B1447" t="str">
            <v>Organization</v>
          </cell>
          <cell r="C1447" t="str">
            <v>NATURAL BIOENERGY LIMITED</v>
          </cell>
          <cell r="D1447" t="str">
            <v>1</v>
          </cell>
        </row>
        <row r="1448">
          <cell r="A1448" t="str">
            <v>C12146</v>
          </cell>
          <cell r="B1448" t="str">
            <v>Organization</v>
          </cell>
          <cell r="C1448" t="str">
            <v>NEC ENGINEERS PRIVATE LIMITED</v>
          </cell>
          <cell r="D1448" t="str">
            <v>7</v>
          </cell>
        </row>
        <row r="1449">
          <cell r="A1449" t="str">
            <v>C12147</v>
          </cell>
          <cell r="B1449" t="str">
            <v>Organization</v>
          </cell>
          <cell r="C1449" t="str">
            <v>NETAFIM IRRIGATION INDIA PVT. LTD.,</v>
          </cell>
          <cell r="D1449" t="str">
            <v>1</v>
          </cell>
        </row>
        <row r="1450">
          <cell r="A1450" t="str">
            <v>C12149</v>
          </cell>
          <cell r="B1450" t="str">
            <v>Organization</v>
          </cell>
          <cell r="C1450" t="str">
            <v>NEW AMBADI ESTATES PVT. LIMITED - CHENNAI</v>
          </cell>
          <cell r="D1450" t="str">
            <v>7</v>
          </cell>
        </row>
        <row r="1451">
          <cell r="A1451" t="str">
            <v>C12150</v>
          </cell>
          <cell r="B1451" t="str">
            <v>Organization</v>
          </cell>
          <cell r="C1451" t="str">
            <v>NEW RUSI AGRO FOODS PVT. LTD..,</v>
          </cell>
          <cell r="D1451" t="str">
            <v>30</v>
          </cell>
        </row>
        <row r="1452">
          <cell r="A1452" t="str">
            <v>C12151</v>
          </cell>
          <cell r="B1452" t="str">
            <v>Organization</v>
          </cell>
          <cell r="C1452" t="str">
            <v>NICHOLAS PIRAMAL (I) LTD.</v>
          </cell>
          <cell r="D1452" t="str">
            <v>30</v>
          </cell>
        </row>
        <row r="1453">
          <cell r="A1453" t="str">
            <v>C12152</v>
          </cell>
          <cell r="B1453" t="str">
            <v>Organization</v>
          </cell>
          <cell r="C1453" t="str">
            <v>NOBLE CHEMMO ORGANIC PVT. LTD..</v>
          </cell>
          <cell r="D1453" t="str">
            <v>7</v>
          </cell>
        </row>
        <row r="1454">
          <cell r="A1454" t="str">
            <v>C12153</v>
          </cell>
          <cell r="B1454" t="str">
            <v>Organization</v>
          </cell>
          <cell r="C1454" t="str">
            <v>NOVEON DIAMALT PVT. LTD.</v>
          </cell>
          <cell r="D1454" t="str">
            <v>1</v>
          </cell>
        </row>
        <row r="1455">
          <cell r="A1455" t="str">
            <v>C12154</v>
          </cell>
          <cell r="B1455" t="str">
            <v>Organization</v>
          </cell>
          <cell r="C1455" t="str">
            <v>NOVO AGRITECH LIMITED</v>
          </cell>
          <cell r="D1455" t="str">
            <v>30</v>
          </cell>
        </row>
        <row r="1456">
          <cell r="A1456" t="str">
            <v>C12155</v>
          </cell>
          <cell r="B1456" t="str">
            <v>Organization</v>
          </cell>
          <cell r="C1456" t="str">
            <v>NUTRINE CONFECTIONERY COMPANY LTD.</v>
          </cell>
          <cell r="D1456" t="str">
            <v>30</v>
          </cell>
        </row>
        <row r="1457">
          <cell r="A1457" t="str">
            <v>C12156</v>
          </cell>
          <cell r="B1457" t="str">
            <v>Organization</v>
          </cell>
          <cell r="C1457" t="str">
            <v>ODDS &amp; ENDS</v>
          </cell>
          <cell r="D1457" t="str">
            <v>7</v>
          </cell>
        </row>
        <row r="1458">
          <cell r="A1458" t="str">
            <v>C12157</v>
          </cell>
          <cell r="B1458" t="str">
            <v>Organization</v>
          </cell>
          <cell r="C1458" t="str">
            <v>OILFIELD SUPPLIES &amp; SERVICES</v>
          </cell>
          <cell r="D1458" t="str">
            <v>15</v>
          </cell>
        </row>
        <row r="1459">
          <cell r="A1459" t="str">
            <v>C12158</v>
          </cell>
          <cell r="B1459" t="str">
            <v>Organization</v>
          </cell>
          <cell r="C1459" t="str">
            <v>OKS SPECIALITY LUBRICANTS</v>
          </cell>
          <cell r="D1459" t="str">
            <v>0</v>
          </cell>
        </row>
        <row r="1460">
          <cell r="A1460" t="str">
            <v>C12161</v>
          </cell>
          <cell r="B1460" t="str">
            <v>Organization</v>
          </cell>
          <cell r="C1460" t="str">
            <v>P. SRIDHAR &amp; COMPANY</v>
          </cell>
          <cell r="D1460" t="str">
            <v>1</v>
          </cell>
        </row>
        <row r="1461">
          <cell r="A1461" t="str">
            <v>C12162</v>
          </cell>
          <cell r="B1461" t="str">
            <v>Organization</v>
          </cell>
          <cell r="C1461" t="str">
            <v>PADMA CHEMICALS</v>
          </cell>
          <cell r="D1461" t="str">
            <v>1</v>
          </cell>
        </row>
        <row r="1462">
          <cell r="A1462" t="str">
            <v>C12163</v>
          </cell>
          <cell r="B1462" t="str">
            <v>Organization</v>
          </cell>
          <cell r="C1462" t="str">
            <v>PADMAVATHI POLYMERS PRIVATE LIMITED</v>
          </cell>
          <cell r="D1462" t="str">
            <v>60</v>
          </cell>
        </row>
        <row r="1463">
          <cell r="A1463" t="str">
            <v>C12164</v>
          </cell>
          <cell r="B1463" t="str">
            <v>Organization</v>
          </cell>
          <cell r="C1463" t="str">
            <v>PADMINI AROMATICS PVT. LTD..,</v>
          </cell>
          <cell r="D1463" t="str">
            <v>15</v>
          </cell>
        </row>
        <row r="1464">
          <cell r="A1464" t="str">
            <v>C12166</v>
          </cell>
          <cell r="B1464" t="str">
            <v>Organization</v>
          </cell>
          <cell r="C1464" t="str">
            <v>PAPRIKA OLEO'S (INDIA) LIMITED - VIRUDHUNAGAR</v>
          </cell>
          <cell r="D1464" t="str">
            <v>7</v>
          </cell>
        </row>
        <row r="1465">
          <cell r="A1465" t="str">
            <v>C12167</v>
          </cell>
          <cell r="B1465" t="str">
            <v>Organization</v>
          </cell>
          <cell r="C1465" t="str">
            <v>PARRYS CONFECTIONERY LIMITED - CUDDALORE</v>
          </cell>
          <cell r="D1465" t="str">
            <v>45</v>
          </cell>
        </row>
        <row r="1466">
          <cell r="A1466" t="str">
            <v>C12168</v>
          </cell>
          <cell r="B1466" t="str">
            <v>Organization</v>
          </cell>
          <cell r="C1466" t="str">
            <v>PCS INDUSTRIES PRIVATE LTD.,</v>
          </cell>
          <cell r="D1466" t="str">
            <v>1</v>
          </cell>
        </row>
        <row r="1467">
          <cell r="A1467" t="str">
            <v>C12170</v>
          </cell>
          <cell r="B1467" t="str">
            <v>Organization</v>
          </cell>
          <cell r="C1467" t="str">
            <v>###not to use###PENTAGON LUBRICANTS (INDIA) PRIVATE LIMITED</v>
          </cell>
          <cell r="D1467" t="str">
            <v>0</v>
          </cell>
        </row>
        <row r="1468">
          <cell r="A1468" t="str">
            <v>C12172</v>
          </cell>
          <cell r="B1468" t="str">
            <v>Organization</v>
          </cell>
          <cell r="C1468" t="str">
            <v>PERIYAR LATEX LTD</v>
          </cell>
          <cell r="D1468" t="str">
            <v>1</v>
          </cell>
        </row>
        <row r="1469">
          <cell r="A1469" t="str">
            <v>C12174</v>
          </cell>
          <cell r="B1469" t="str">
            <v>Organization</v>
          </cell>
          <cell r="C1469" t="str">
            <v>PETRO ARALDITE PVT. LTD..  - MANALI</v>
          </cell>
          <cell r="D1469" t="str">
            <v>30</v>
          </cell>
        </row>
        <row r="1470">
          <cell r="A1470" t="str">
            <v>C12175</v>
          </cell>
          <cell r="B1470" t="str">
            <v>Organization</v>
          </cell>
          <cell r="C1470" t="str">
            <v>PETROGEL (INDIA) PVT. LTD ,</v>
          </cell>
          <cell r="D1470" t="str">
            <v>1</v>
          </cell>
        </row>
        <row r="1471">
          <cell r="A1471" t="str">
            <v>C12176</v>
          </cell>
          <cell r="B1471" t="str">
            <v>Organization</v>
          </cell>
          <cell r="C1471" t="str">
            <v>PIDILITE INDUSTRIES LIMITED - BANGALORE</v>
          </cell>
          <cell r="D1471" t="str">
            <v>30</v>
          </cell>
        </row>
        <row r="1472">
          <cell r="A1472" t="str">
            <v>C12179</v>
          </cell>
          <cell r="B1472" t="str">
            <v>Organization</v>
          </cell>
          <cell r="C1472" t="str">
            <v>POLARRTECH INDIA PVT. LTD</v>
          </cell>
          <cell r="D1472" t="str">
            <v>30</v>
          </cell>
        </row>
        <row r="1473">
          <cell r="A1473" t="str">
            <v>C12180</v>
          </cell>
          <cell r="B1473" t="str">
            <v>Organization</v>
          </cell>
          <cell r="C1473" t="str">
            <v>POLJO AGENTS &amp; DISTRIBUTORS,</v>
          </cell>
          <cell r="D1473" t="str">
            <v>1</v>
          </cell>
        </row>
        <row r="1474">
          <cell r="A1474" t="str">
            <v>C12181</v>
          </cell>
          <cell r="B1474" t="str">
            <v>Organization</v>
          </cell>
          <cell r="C1474" t="str">
            <v>POLSON LIMITED</v>
          </cell>
          <cell r="D1474" t="str">
            <v>60</v>
          </cell>
        </row>
        <row r="1475">
          <cell r="A1475" t="str">
            <v>C12182</v>
          </cell>
          <cell r="B1475" t="str">
            <v>Organization</v>
          </cell>
          <cell r="C1475" t="str">
            <v>POLY PLAST</v>
          </cell>
          <cell r="D1475" t="str">
            <v>1</v>
          </cell>
        </row>
        <row r="1476">
          <cell r="A1476" t="str">
            <v>C12183</v>
          </cell>
          <cell r="B1476" t="str">
            <v>Organization</v>
          </cell>
          <cell r="C1476" t="str">
            <v>POLYTOUGH TUBES LTD</v>
          </cell>
          <cell r="D1476" t="str">
            <v>1</v>
          </cell>
        </row>
        <row r="1477">
          <cell r="A1477" t="str">
            <v>C12184</v>
          </cell>
          <cell r="B1477" t="str">
            <v>Organization</v>
          </cell>
          <cell r="C1477" t="str">
            <v>PONDY AGROCHEMICALS PVT. LTD..,</v>
          </cell>
          <cell r="D1477" t="str">
            <v>7</v>
          </cell>
        </row>
        <row r="1478">
          <cell r="A1478" t="str">
            <v>C12185</v>
          </cell>
          <cell r="B1478" t="str">
            <v>Organization</v>
          </cell>
          <cell r="C1478" t="str">
            <v>POORNIMA ENTERPRISES  - THAYAR SAHIB STREET</v>
          </cell>
          <cell r="D1478" t="str">
            <v>1</v>
          </cell>
        </row>
        <row r="1479">
          <cell r="A1479" t="str">
            <v>C12186</v>
          </cell>
          <cell r="B1479" t="str">
            <v>Organization</v>
          </cell>
          <cell r="C1479" t="str">
            <v>POORVAJA ENTERPRISES  - THAMBU CHETTY STREET</v>
          </cell>
          <cell r="D1479" t="str">
            <v>30</v>
          </cell>
        </row>
        <row r="1480">
          <cell r="A1480" t="str">
            <v>C12187</v>
          </cell>
          <cell r="B1480" t="str">
            <v>Organization</v>
          </cell>
          <cell r="C1480" t="str">
            <v>PRADEEP DEO &amp; CO</v>
          </cell>
          <cell r="D1480" t="str">
            <v>7</v>
          </cell>
        </row>
        <row r="1481">
          <cell r="A1481" t="str">
            <v>C12188</v>
          </cell>
          <cell r="B1481" t="str">
            <v>Organization</v>
          </cell>
          <cell r="C1481" t="str">
            <v>PRADEEP DRUG COMPANY LTD.</v>
          </cell>
          <cell r="D1481" t="str">
            <v>7</v>
          </cell>
        </row>
        <row r="1482">
          <cell r="A1482" t="str">
            <v>C12189</v>
          </cell>
          <cell r="B1482" t="str">
            <v>Organization</v>
          </cell>
          <cell r="C1482" t="str">
            <v>PROALGEN BIOTECH LTD.</v>
          </cell>
          <cell r="D1482" t="str">
            <v>1</v>
          </cell>
        </row>
        <row r="1483">
          <cell r="A1483" t="str">
            <v>C12190</v>
          </cell>
          <cell r="B1483" t="str">
            <v>Organization</v>
          </cell>
          <cell r="C1483" t="str">
            <v>PROSEAL CLOSURES LTD (BLVL)</v>
          </cell>
          <cell r="D1483" t="str">
            <v>30</v>
          </cell>
        </row>
        <row r="1484">
          <cell r="A1484" t="str">
            <v>C12191</v>
          </cell>
          <cell r="B1484" t="str">
            <v>Organization</v>
          </cell>
          <cell r="C1484" t="str">
            <v>PROTCHEM INDUSTRIES (INDIA) LTD. - PONDICHERRY</v>
          </cell>
          <cell r="D1484" t="str">
            <v>15</v>
          </cell>
        </row>
        <row r="1485">
          <cell r="A1485" t="str">
            <v>C12192</v>
          </cell>
          <cell r="B1485" t="str">
            <v>Organization</v>
          </cell>
          <cell r="C1485" t="str">
            <v>PROTCHEM INDUSTRIES (INDIA) LTD. - CHENNAI</v>
          </cell>
          <cell r="D1485" t="str">
            <v>0</v>
          </cell>
        </row>
        <row r="1486">
          <cell r="A1486" t="str">
            <v>C12193</v>
          </cell>
          <cell r="B1486" t="str">
            <v>Organization</v>
          </cell>
          <cell r="C1486" t="str">
            <v>PURE CHEM PRODUCTS PVT. LTD.</v>
          </cell>
          <cell r="D1486" t="str">
            <v>30</v>
          </cell>
        </row>
        <row r="1487">
          <cell r="A1487" t="str">
            <v>C12194</v>
          </cell>
          <cell r="B1487" t="str">
            <v>Organization</v>
          </cell>
          <cell r="C1487" t="str">
            <v>PURE CHEMICALS CO.</v>
          </cell>
          <cell r="D1487" t="str">
            <v>0</v>
          </cell>
        </row>
        <row r="1488">
          <cell r="A1488" t="str">
            <v>C12195</v>
          </cell>
          <cell r="B1488" t="str">
            <v>Organization</v>
          </cell>
          <cell r="C1488" t="str">
            <v>PURE ENTERPRISES</v>
          </cell>
          <cell r="D1488" t="str">
            <v>7</v>
          </cell>
        </row>
        <row r="1489">
          <cell r="A1489" t="str">
            <v>C12196</v>
          </cell>
          <cell r="B1489" t="str">
            <v>Organization</v>
          </cell>
          <cell r="C1489" t="str">
            <v>PURE ORGANIC INDUSTRIES</v>
          </cell>
          <cell r="D1489" t="str">
            <v>7</v>
          </cell>
        </row>
        <row r="1490">
          <cell r="A1490" t="str">
            <v>C12197</v>
          </cell>
          <cell r="B1490" t="str">
            <v>Organization</v>
          </cell>
          <cell r="C1490" t="str">
            <v>R V SPECIALITY INGREDIENTS</v>
          </cell>
          <cell r="D1490" t="str">
            <v>15</v>
          </cell>
        </row>
        <row r="1491">
          <cell r="A1491" t="str">
            <v>C12198</v>
          </cell>
          <cell r="B1491" t="str">
            <v>Organization</v>
          </cell>
          <cell r="C1491" t="str">
            <v>RAJ AROMA ENTERPRISES</v>
          </cell>
          <cell r="D1491" t="str">
            <v>1</v>
          </cell>
        </row>
        <row r="1492">
          <cell r="A1492" t="str">
            <v>C12199</v>
          </cell>
          <cell r="B1492" t="str">
            <v>Organization</v>
          </cell>
          <cell r="C1492" t="str">
            <v>RAJ HERBOMATICS PRIVATE LTD.</v>
          </cell>
          <cell r="D1492" t="str">
            <v>1</v>
          </cell>
        </row>
        <row r="1493">
          <cell r="A1493" t="str">
            <v>C12201</v>
          </cell>
          <cell r="B1493" t="str">
            <v>Organization</v>
          </cell>
          <cell r="C1493" t="str">
            <v>RAJ PETRO SPECIALITIES PVT. LTD. - CHENNAI</v>
          </cell>
          <cell r="D1493" t="str">
            <v>30</v>
          </cell>
        </row>
        <row r="1494">
          <cell r="A1494" t="str">
            <v>C12202</v>
          </cell>
          <cell r="B1494" t="str">
            <v>Organization</v>
          </cell>
          <cell r="C1494" t="str">
            <v>RAJAM CHEMICALS</v>
          </cell>
          <cell r="D1494" t="str">
            <v>30</v>
          </cell>
        </row>
        <row r="1495">
          <cell r="A1495" t="str">
            <v>C12203</v>
          </cell>
          <cell r="B1495" t="str">
            <v>Organization</v>
          </cell>
          <cell r="C1495" t="str">
            <v>RAJARAM AND COMPANY</v>
          </cell>
          <cell r="D1495" t="str">
            <v>7</v>
          </cell>
        </row>
        <row r="1496">
          <cell r="A1496" t="str">
            <v>C12205</v>
          </cell>
          <cell r="B1496" t="str">
            <v>Organization</v>
          </cell>
          <cell r="C1496" t="str">
            <v>RAMANI SCREEN</v>
          </cell>
          <cell r="D1496" t="str">
            <v>1</v>
          </cell>
        </row>
        <row r="1497">
          <cell r="A1497" t="str">
            <v>C12206</v>
          </cell>
          <cell r="B1497" t="str">
            <v>Organization</v>
          </cell>
          <cell r="C1497" t="str">
            <v>RAMESH FLOWERS PVT. LTD.</v>
          </cell>
          <cell r="D1497" t="str">
            <v>7</v>
          </cell>
        </row>
        <row r="1498">
          <cell r="A1498" t="str">
            <v>C12207</v>
          </cell>
          <cell r="B1498" t="str">
            <v>Organization</v>
          </cell>
          <cell r="C1498" t="str">
            <v>RANQ REMEDIES PVT. LTD.,</v>
          </cell>
          <cell r="D1498" t="str">
            <v>1</v>
          </cell>
        </row>
        <row r="1499">
          <cell r="A1499" t="str">
            <v>C12208</v>
          </cell>
          <cell r="B1499" t="str">
            <v>Organization</v>
          </cell>
          <cell r="C1499" t="str">
            <v>RENAISSANCE PETROLUBE LTD.</v>
          </cell>
          <cell r="D1499" t="str">
            <v>20</v>
          </cell>
        </row>
        <row r="1500">
          <cell r="A1500" t="str">
            <v>C12210</v>
          </cell>
          <cell r="B1500" t="str">
            <v>Organization</v>
          </cell>
          <cell r="C1500" t="str">
            <v>REVE CHEMISTS OF ASSOCIATES</v>
          </cell>
          <cell r="D1500" t="str">
            <v>1</v>
          </cell>
        </row>
        <row r="1501">
          <cell r="A1501" t="str">
            <v>C12211</v>
          </cell>
          <cell r="B1501" t="str">
            <v>Organization</v>
          </cell>
          <cell r="C1501" t="str">
            <v>REVERTEX-KA LATEX (INDIA) PVT. LTD..</v>
          </cell>
          <cell r="D1501" t="str">
            <v>30</v>
          </cell>
        </row>
        <row r="1502">
          <cell r="A1502" t="str">
            <v>C12212</v>
          </cell>
          <cell r="B1502" t="str">
            <v>Organization</v>
          </cell>
          <cell r="C1502" t="str">
            <v>RG INDUSTRIES</v>
          </cell>
          <cell r="D1502" t="str">
            <v>0</v>
          </cell>
        </row>
        <row r="1503">
          <cell r="A1503" t="str">
            <v>C12213</v>
          </cell>
          <cell r="B1503" t="str">
            <v>Organization</v>
          </cell>
          <cell r="C1503" t="str">
            <v>RIDDHI SIDDHI CLUCO BIOLS LTD.</v>
          </cell>
          <cell r="D1503" t="str">
            <v>90</v>
          </cell>
        </row>
        <row r="1504">
          <cell r="A1504" t="str">
            <v>C12214</v>
          </cell>
          <cell r="B1504" t="str">
            <v>Organization</v>
          </cell>
          <cell r="C1504" t="str">
            <v>ROCHEM (INDIA) PVT. LTD. - CHENNAI</v>
          </cell>
          <cell r="D1504" t="str">
            <v>1</v>
          </cell>
        </row>
        <row r="1505">
          <cell r="A1505" t="str">
            <v>C12215</v>
          </cell>
          <cell r="B1505" t="str">
            <v>Organization</v>
          </cell>
          <cell r="C1505" t="str">
            <v>ROHM AND HAAS (I) PVT. LTD</v>
          </cell>
          <cell r="D1505" t="str">
            <v>0</v>
          </cell>
        </row>
        <row r="1506">
          <cell r="A1506" t="str">
            <v>C12216</v>
          </cell>
          <cell r="B1506" t="str">
            <v>Organization</v>
          </cell>
          <cell r="C1506" t="str">
            <v>ROYEL EMULSIFIERS</v>
          </cell>
          <cell r="D1506" t="str">
            <v>1</v>
          </cell>
        </row>
        <row r="1507">
          <cell r="A1507" t="str">
            <v>C12217</v>
          </cell>
          <cell r="B1507" t="str">
            <v>Organization</v>
          </cell>
          <cell r="C1507" t="str">
            <v>RPG-BTP (INDIA) LTD.</v>
          </cell>
          <cell r="D1507" t="str">
            <v>60</v>
          </cell>
        </row>
        <row r="1508">
          <cell r="A1508" t="str">
            <v>C12218</v>
          </cell>
          <cell r="B1508" t="str">
            <v>Organization</v>
          </cell>
          <cell r="C1508" t="str">
            <v>RR RETORTS FOODS PVT. LTD</v>
          </cell>
          <cell r="D1508" t="str">
            <v>0</v>
          </cell>
        </row>
        <row r="1509">
          <cell r="A1509" t="str">
            <v>C12219</v>
          </cell>
          <cell r="B1509" t="str">
            <v>Organization</v>
          </cell>
          <cell r="C1509" t="str">
            <v>RUPAL LUBRICANTS</v>
          </cell>
          <cell r="D1509" t="str">
            <v>7</v>
          </cell>
        </row>
        <row r="1510">
          <cell r="A1510" t="str">
            <v>C12220</v>
          </cell>
          <cell r="B1510" t="str">
            <v>Organization</v>
          </cell>
          <cell r="C1510" t="str">
            <v>S. AKBARALI HAIDARALI &amp; CO.,</v>
          </cell>
          <cell r="D1510" t="str">
            <v>1</v>
          </cell>
        </row>
        <row r="1511">
          <cell r="A1511" t="str">
            <v>C12221</v>
          </cell>
          <cell r="B1511" t="str">
            <v>Organization</v>
          </cell>
          <cell r="C1511" t="str">
            <v>S. ALBERT &amp; CO</v>
          </cell>
          <cell r="D1511" t="str">
            <v>10</v>
          </cell>
        </row>
        <row r="1512">
          <cell r="A1512" t="str">
            <v>C12222</v>
          </cell>
          <cell r="B1512" t="str">
            <v>Organization</v>
          </cell>
          <cell r="C1512" t="str">
            <v>S.G. CORPORATION</v>
          </cell>
          <cell r="D1512" t="str">
            <v>7</v>
          </cell>
        </row>
        <row r="1513">
          <cell r="A1513" t="str">
            <v>C12224</v>
          </cell>
          <cell r="B1513" t="str">
            <v>Organization</v>
          </cell>
          <cell r="C1513" t="str">
            <v>SAANJU EXPORTS - EKKADUTHANGAL</v>
          </cell>
          <cell r="D1513" t="str">
            <v>15</v>
          </cell>
        </row>
        <row r="1514">
          <cell r="A1514" t="str">
            <v>C12225</v>
          </cell>
          <cell r="B1514" t="str">
            <v>Organization</v>
          </cell>
          <cell r="C1514" t="str">
            <v>SAANJU EXPORTS - CHENNAI</v>
          </cell>
          <cell r="D1514" t="str">
            <v>7</v>
          </cell>
        </row>
        <row r="1515">
          <cell r="A1515" t="str">
            <v>C12226</v>
          </cell>
          <cell r="B1515" t="str">
            <v>Organization</v>
          </cell>
          <cell r="C1515" t="str">
            <v>SAARS EXPORTS</v>
          </cell>
          <cell r="D1515" t="str">
            <v>1</v>
          </cell>
        </row>
        <row r="1516">
          <cell r="A1516" t="str">
            <v>C12227</v>
          </cell>
          <cell r="B1516" t="str">
            <v>Organization</v>
          </cell>
          <cell r="C1516" t="str">
            <v>SACH EXPORTS PRIVATE LIMITED</v>
          </cell>
          <cell r="D1516" t="str">
            <v>30</v>
          </cell>
        </row>
        <row r="1517">
          <cell r="A1517" t="str">
            <v>C12228</v>
          </cell>
          <cell r="B1517" t="str">
            <v>Organization</v>
          </cell>
          <cell r="C1517" t="str">
            <v>SAI MIRRA FINECHEM PRIVATE LIMITED</v>
          </cell>
          <cell r="D1517" t="str">
            <v>30</v>
          </cell>
        </row>
        <row r="1518">
          <cell r="A1518" t="str">
            <v>C12229</v>
          </cell>
          <cell r="B1518" t="str">
            <v>Organization</v>
          </cell>
          <cell r="C1518" t="str">
            <v>SAIBABA PLASTIC</v>
          </cell>
          <cell r="D1518" t="str">
            <v>60</v>
          </cell>
        </row>
        <row r="1519">
          <cell r="A1519" t="str">
            <v>C12230</v>
          </cell>
          <cell r="B1519" t="str">
            <v>Organization</v>
          </cell>
          <cell r="C1519" t="str">
            <v>SANMAR SPECIALITY CHEMICALS LTD.</v>
          </cell>
          <cell r="D1519" t="str">
            <v>30</v>
          </cell>
        </row>
        <row r="1520">
          <cell r="A1520" t="str">
            <v>C12232</v>
          </cell>
          <cell r="B1520" t="str">
            <v>Organization</v>
          </cell>
          <cell r="C1520" t="str">
            <v>SARA LEE HOUSEHOLD &amp; BODY CARE</v>
          </cell>
          <cell r="D1520" t="str">
            <v>1</v>
          </cell>
        </row>
        <row r="1521">
          <cell r="A1521" t="str">
            <v>C12233</v>
          </cell>
          <cell r="B1521" t="str">
            <v>Organization</v>
          </cell>
          <cell r="C1521" t="str">
            <v>SATHYA CASHEW &amp; CHEMICALS (P) LTD.</v>
          </cell>
          <cell r="D1521" t="str">
            <v>15</v>
          </cell>
        </row>
        <row r="1522">
          <cell r="A1522" t="str">
            <v>C12234</v>
          </cell>
          <cell r="B1522" t="str">
            <v>Organization</v>
          </cell>
          <cell r="C1522" t="str">
            <v>SCIENTIFIC FERTILISER CO P LTD</v>
          </cell>
          <cell r="D1522" t="str">
            <v>1</v>
          </cell>
        </row>
        <row r="1523">
          <cell r="A1523" t="str">
            <v>C12235</v>
          </cell>
          <cell r="B1523" t="str">
            <v>Organization</v>
          </cell>
          <cell r="C1523" t="str">
            <v>SEBASE CHEMICALS P LTD.</v>
          </cell>
          <cell r="D1523" t="str">
            <v>1</v>
          </cell>
        </row>
        <row r="1524">
          <cell r="A1524" t="str">
            <v>C12236</v>
          </cell>
          <cell r="B1524" t="str">
            <v>Organization</v>
          </cell>
          <cell r="C1524" t="str">
            <v>SHANTHI</v>
          </cell>
          <cell r="D1524" t="str">
            <v>1</v>
          </cell>
        </row>
        <row r="1525">
          <cell r="A1525" t="str">
            <v>C12237</v>
          </cell>
          <cell r="B1525" t="str">
            <v>Organization</v>
          </cell>
          <cell r="C1525" t="str">
            <v>SHARAVATHY PETRO CHEMICALS PVT. LIMITED</v>
          </cell>
          <cell r="D1525" t="str">
            <v>1</v>
          </cell>
        </row>
        <row r="1526">
          <cell r="A1526" t="str">
            <v>C12240</v>
          </cell>
          <cell r="B1526" t="str">
            <v>Organization</v>
          </cell>
          <cell r="C1526" t="str">
            <v>SHEENLAC PAINTS CORPORATION -III</v>
          </cell>
          <cell r="D1526" t="str">
            <v>30</v>
          </cell>
        </row>
        <row r="1527">
          <cell r="A1527" t="str">
            <v>C12241</v>
          </cell>
          <cell r="B1527" t="str">
            <v>Organization</v>
          </cell>
          <cell r="C1527" t="str">
            <v>SHRI KRISHNA PHARMACEUTICALS</v>
          </cell>
          <cell r="D1527" t="str">
            <v>7</v>
          </cell>
        </row>
        <row r="1528">
          <cell r="A1528" t="str">
            <v>C12245</v>
          </cell>
          <cell r="B1528" t="str">
            <v>Organization</v>
          </cell>
          <cell r="C1528" t="str">
            <v>SIJMAK OILS LIMITED</v>
          </cell>
          <cell r="D1528" t="str">
            <v>0</v>
          </cell>
        </row>
        <row r="1529">
          <cell r="A1529" t="str">
            <v>C12246</v>
          </cell>
          <cell r="B1529" t="str">
            <v>Organization</v>
          </cell>
          <cell r="C1529" t="str">
            <v>SIKA INDIA PRIVATE LIMITED - KANCHIPURAM</v>
          </cell>
          <cell r="D1529" t="str">
            <v>90</v>
          </cell>
        </row>
        <row r="1530">
          <cell r="A1530" t="str">
            <v>C12247</v>
          </cell>
          <cell r="B1530" t="str">
            <v>Organization</v>
          </cell>
          <cell r="C1530" t="str">
            <v>SIKA INDIA PRIVATE LIMITED - NADIA, WEST BENGAL</v>
          </cell>
          <cell r="D1530" t="str">
            <v>90</v>
          </cell>
        </row>
        <row r="1531">
          <cell r="A1531" t="str">
            <v>C12248</v>
          </cell>
          <cell r="B1531" t="str">
            <v>Organization</v>
          </cell>
          <cell r="C1531" t="str">
            <v>SIKA INDIA PVT LTD</v>
          </cell>
          <cell r="D1531" t="str">
            <v>0</v>
          </cell>
        </row>
        <row r="1532">
          <cell r="A1532" t="str">
            <v>C12249</v>
          </cell>
          <cell r="B1532" t="str">
            <v>Organization</v>
          </cell>
          <cell r="C1532" t="str">
            <v>SIP INDUSTRIES LIMITED</v>
          </cell>
          <cell r="D1532" t="str">
            <v>60</v>
          </cell>
        </row>
        <row r="1533">
          <cell r="A1533" t="str">
            <v>C12250</v>
          </cell>
          <cell r="B1533" t="str">
            <v>Organization</v>
          </cell>
          <cell r="C1533" t="str">
            <v>SIRIS CROP SCIENCES LIMITED</v>
          </cell>
          <cell r="D1533" t="str">
            <v>30</v>
          </cell>
        </row>
        <row r="1534">
          <cell r="A1534" t="str">
            <v>C12251</v>
          </cell>
          <cell r="B1534" t="str">
            <v>Organization</v>
          </cell>
          <cell r="C1534" t="str">
            <v>SKM HEALTH &amp; MIND WELFARE CHARITY TRUST</v>
          </cell>
          <cell r="D1534" t="str">
            <v>1</v>
          </cell>
        </row>
        <row r="1535">
          <cell r="A1535" t="str">
            <v>C12252</v>
          </cell>
          <cell r="B1535" t="str">
            <v>Organization</v>
          </cell>
          <cell r="C1535" t="str">
            <v>SKM SIDDH &amp; AYURVEDA</v>
          </cell>
          <cell r="D1535" t="str">
            <v>7</v>
          </cell>
        </row>
        <row r="1536">
          <cell r="A1536" t="str">
            <v>C12253</v>
          </cell>
          <cell r="B1536" t="str">
            <v>Organization</v>
          </cell>
          <cell r="C1536" t="str">
            <v>SMS PHARMACEUTICALS LTD</v>
          </cell>
          <cell r="D1536" t="str">
            <v>7</v>
          </cell>
        </row>
        <row r="1537">
          <cell r="A1537" t="str">
            <v>C12254</v>
          </cell>
          <cell r="B1537" t="str">
            <v>Organization</v>
          </cell>
          <cell r="C1537" t="str">
            <v>SNAP NATURAL &amp;  ALGINATE PRODUCTS LIMITED</v>
          </cell>
          <cell r="D1537" t="str">
            <v>30</v>
          </cell>
        </row>
        <row r="1538">
          <cell r="A1538" t="str">
            <v>C12257</v>
          </cell>
          <cell r="B1538" t="str">
            <v>Organization</v>
          </cell>
          <cell r="C1538" t="str">
            <v>SNOW CHEM ENTERPRISE</v>
          </cell>
          <cell r="D1538" t="str">
            <v>1</v>
          </cell>
        </row>
        <row r="1539">
          <cell r="A1539" t="str">
            <v>C12258</v>
          </cell>
          <cell r="B1539" t="str">
            <v>Organization</v>
          </cell>
          <cell r="C1539" t="str">
            <v>SNOW WHITE INDUSTRIAL CORPORATION</v>
          </cell>
          <cell r="D1539" t="str">
            <v>15</v>
          </cell>
        </row>
        <row r="1540">
          <cell r="A1540" t="str">
            <v>C12260</v>
          </cell>
          <cell r="B1540" t="str">
            <v>Organization</v>
          </cell>
          <cell r="C1540" t="str">
            <v>SONIYA INTERNATIONAL</v>
          </cell>
          <cell r="D1540" t="str">
            <v>7</v>
          </cell>
        </row>
        <row r="1541">
          <cell r="A1541" t="str">
            <v>C12261</v>
          </cell>
          <cell r="B1541" t="str">
            <v>Organization</v>
          </cell>
          <cell r="C1541" t="str">
            <v>SOUTHERN FOTOCHEM (INDIA) LIMITED</v>
          </cell>
          <cell r="D1541" t="str">
            <v>30</v>
          </cell>
        </row>
        <row r="1542">
          <cell r="A1542" t="str">
            <v>C12262</v>
          </cell>
          <cell r="B1542" t="str">
            <v>Organization</v>
          </cell>
          <cell r="C1542" t="str">
            <v>SOUTHERN PETROCHEMICAL INDUSTRIES CORPN.</v>
          </cell>
          <cell r="D1542" t="str">
            <v>1</v>
          </cell>
        </row>
        <row r="1543">
          <cell r="A1543" t="str">
            <v>C12263</v>
          </cell>
          <cell r="B1543" t="str">
            <v>Organization</v>
          </cell>
          <cell r="C1543" t="str">
            <v>SOUTHERN REFINERIES LTD.</v>
          </cell>
          <cell r="D1543" t="str">
            <v>30</v>
          </cell>
        </row>
        <row r="1544">
          <cell r="A1544" t="str">
            <v>C12264</v>
          </cell>
          <cell r="B1544" t="str">
            <v>Organization</v>
          </cell>
          <cell r="C1544" t="str">
            <v>SOUTHERN SYNTHETICS</v>
          </cell>
          <cell r="D1544" t="str">
            <v>1</v>
          </cell>
        </row>
        <row r="1545">
          <cell r="A1545" t="str">
            <v>C12266</v>
          </cell>
          <cell r="B1545" t="str">
            <v>Organization</v>
          </cell>
          <cell r="C1545" t="str">
            <v>SPECTRA AGROCHEM LIMITED</v>
          </cell>
          <cell r="D1545" t="str">
            <v>15</v>
          </cell>
        </row>
        <row r="1546">
          <cell r="A1546" t="str">
            <v>C12267</v>
          </cell>
          <cell r="B1546" t="str">
            <v>Organization</v>
          </cell>
          <cell r="C1546" t="str">
            <v>SPIC LIMITED</v>
          </cell>
          <cell r="D1546" t="str">
            <v>30</v>
          </cell>
        </row>
        <row r="1547">
          <cell r="A1547" t="str">
            <v>C12268</v>
          </cell>
          <cell r="B1547" t="str">
            <v>Organization</v>
          </cell>
          <cell r="C1547" t="str">
            <v>SPIC ORGANICS LTD.</v>
          </cell>
          <cell r="D1547" t="str">
            <v>30</v>
          </cell>
        </row>
        <row r="1548">
          <cell r="A1548" t="str">
            <v>C12269</v>
          </cell>
          <cell r="B1548" t="str">
            <v>Organization</v>
          </cell>
          <cell r="C1548" t="str">
            <v>SPILCARE-O-METACLEN (P) LTD.</v>
          </cell>
          <cell r="D1548" t="str">
            <v>30</v>
          </cell>
        </row>
        <row r="1549">
          <cell r="A1549" t="str">
            <v>C12270</v>
          </cell>
          <cell r="B1549" t="str">
            <v>Organization</v>
          </cell>
          <cell r="C1549" t="str">
            <v>SREE RAYALASEEMA HI-STRENGTH HYPO LIMITED</v>
          </cell>
          <cell r="D1549" t="str">
            <v>90</v>
          </cell>
        </row>
        <row r="1550">
          <cell r="A1550" t="str">
            <v>C12271</v>
          </cell>
          <cell r="B1550" t="str">
            <v>Organization</v>
          </cell>
          <cell r="C1550" t="str">
            <v>SREE RAYALSEEMA ALKALIES &amp; ALLIED - KURNOOL</v>
          </cell>
          <cell r="D1550" t="str">
            <v>90</v>
          </cell>
        </row>
        <row r="1551">
          <cell r="A1551" t="str">
            <v>C12272</v>
          </cell>
          <cell r="B1551" t="str">
            <v>Organization</v>
          </cell>
          <cell r="C1551" t="str">
            <v>SREE RAYALSEEMA ALKALIES AND ALLIED CHEMI - A/C HLL</v>
          </cell>
          <cell r="D1551" t="str">
            <v>1</v>
          </cell>
        </row>
        <row r="1552">
          <cell r="A1552" t="str">
            <v>C12273</v>
          </cell>
          <cell r="B1552" t="str">
            <v>Organization</v>
          </cell>
          <cell r="C1552" t="str">
            <v>SRI BHARANI STEELS &amp; INDUSTRIES(CLOSED)</v>
          </cell>
          <cell r="D1552" t="str">
            <v>1</v>
          </cell>
        </row>
        <row r="1553">
          <cell r="A1553" t="str">
            <v>C12274</v>
          </cell>
          <cell r="B1553" t="str">
            <v>Organization</v>
          </cell>
          <cell r="C1553" t="str">
            <v>SRI CHAKRA LUBES PVT. LTD.</v>
          </cell>
          <cell r="D1553" t="str">
            <v>1</v>
          </cell>
        </row>
        <row r="1554">
          <cell r="A1554" t="str">
            <v>C12275</v>
          </cell>
          <cell r="B1554" t="str">
            <v>Organization</v>
          </cell>
          <cell r="C1554" t="str">
            <v>SRI CHAKRAPANI OIL &amp; RICE MILLS</v>
          </cell>
          <cell r="D1554" t="str">
            <v>7</v>
          </cell>
        </row>
        <row r="1555">
          <cell r="A1555" t="str">
            <v>C12276</v>
          </cell>
          <cell r="B1555" t="str">
            <v>Organization</v>
          </cell>
          <cell r="C1555" t="str">
            <v>SRI CHEMENTOR PVT. LTD</v>
          </cell>
          <cell r="D1555" t="str">
            <v>1</v>
          </cell>
        </row>
        <row r="1556">
          <cell r="A1556" t="str">
            <v>C12277</v>
          </cell>
          <cell r="B1556" t="str">
            <v>Organization</v>
          </cell>
          <cell r="C1556" t="str">
            <v>SRI DEVI PLASTICS</v>
          </cell>
          <cell r="D1556" t="str">
            <v>1</v>
          </cell>
        </row>
        <row r="1557">
          <cell r="A1557" t="str">
            <v>C12278</v>
          </cell>
          <cell r="B1557" t="str">
            <v>Organization</v>
          </cell>
          <cell r="C1557" t="str">
            <v>SRI LAKSHMI PLASTICS</v>
          </cell>
          <cell r="D1557" t="str">
            <v>1</v>
          </cell>
        </row>
        <row r="1558">
          <cell r="A1558" t="str">
            <v>C12279</v>
          </cell>
          <cell r="B1558" t="str">
            <v>Organization</v>
          </cell>
          <cell r="C1558" t="str">
            <v>SRI MAHALAKSHMI SAGO RICE &amp; OIL MILL</v>
          </cell>
          <cell r="D1558" t="str">
            <v>7</v>
          </cell>
        </row>
        <row r="1559">
          <cell r="A1559" t="str">
            <v>C12280</v>
          </cell>
          <cell r="B1559" t="str">
            <v>Organization</v>
          </cell>
          <cell r="C1559" t="str">
            <v>SRI MAHESWARI &amp; CO.</v>
          </cell>
          <cell r="D1559" t="str">
            <v>1</v>
          </cell>
        </row>
        <row r="1560">
          <cell r="A1560" t="str">
            <v>C12281</v>
          </cell>
          <cell r="B1560" t="str">
            <v>Organization</v>
          </cell>
          <cell r="C1560" t="str">
            <v>SRI MANJUNATHA CORPORATION</v>
          </cell>
          <cell r="D1560" t="str">
            <v>1</v>
          </cell>
        </row>
        <row r="1561">
          <cell r="A1561" t="str">
            <v>C12282</v>
          </cell>
          <cell r="B1561" t="str">
            <v>Organization</v>
          </cell>
          <cell r="C1561" t="str">
            <v>SRI MATA BIO SOURCE</v>
          </cell>
          <cell r="D1561" t="str">
            <v>0</v>
          </cell>
        </row>
        <row r="1562">
          <cell r="A1562" t="str">
            <v>C12283</v>
          </cell>
          <cell r="B1562" t="str">
            <v>Organization</v>
          </cell>
          <cell r="C1562" t="str">
            <v>SRI RAMA LUBRICANTS</v>
          </cell>
          <cell r="D1562" t="str">
            <v>30</v>
          </cell>
        </row>
        <row r="1563">
          <cell r="A1563" t="str">
            <v>C12284</v>
          </cell>
          <cell r="B1563" t="str">
            <v>Organization</v>
          </cell>
          <cell r="C1563" t="str">
            <v>SRI SESHADRI SWAMIGAL TRUST</v>
          </cell>
          <cell r="D1563" t="str">
            <v>1</v>
          </cell>
        </row>
        <row r="1564">
          <cell r="A1564" t="str">
            <v>C12286</v>
          </cell>
          <cell r="B1564" t="str">
            <v>Organization</v>
          </cell>
          <cell r="C1564" t="str">
            <v>SRI VIDYA THEERTHA AGENCY</v>
          </cell>
          <cell r="D1564" t="str">
            <v>1</v>
          </cell>
        </row>
        <row r="1565">
          <cell r="A1565" t="str">
            <v>C12287</v>
          </cell>
          <cell r="B1565" t="str">
            <v>Organization</v>
          </cell>
          <cell r="C1565" t="str">
            <v>SRICHAITANYA CHLORIDES PVT. LTD. - HYDERABAD</v>
          </cell>
          <cell r="D1565" t="str">
            <v>60</v>
          </cell>
        </row>
        <row r="1566">
          <cell r="A1566" t="str">
            <v>C12288</v>
          </cell>
          <cell r="B1566" t="str">
            <v>Organization</v>
          </cell>
          <cell r="C1566" t="str">
            <v>SRICHAITANYA CHLORIDES PVT. LTD. - PATTANCHERU</v>
          </cell>
          <cell r="D1566" t="str">
            <v>0</v>
          </cell>
        </row>
        <row r="1567">
          <cell r="A1567" t="str">
            <v>C12289</v>
          </cell>
          <cell r="B1567" t="str">
            <v>Organization</v>
          </cell>
          <cell r="C1567" t="str">
            <v>SRINIVASA CHEMICAL ENTERPRISES</v>
          </cell>
          <cell r="D1567" t="str">
            <v>15</v>
          </cell>
        </row>
        <row r="1568">
          <cell r="A1568" t="str">
            <v>C12290</v>
          </cell>
          <cell r="B1568" t="str">
            <v>Organization</v>
          </cell>
          <cell r="C1568" t="str">
            <v>SRINIVASA CYSTINE LIMITED</v>
          </cell>
          <cell r="D1568" t="str">
            <v>7</v>
          </cell>
        </row>
        <row r="1569">
          <cell r="A1569" t="str">
            <v>C12293</v>
          </cell>
          <cell r="B1569" t="str">
            <v>Organization</v>
          </cell>
          <cell r="C1569" t="str">
            <v>STANPOL DERIMERK (P) LTD</v>
          </cell>
          <cell r="D1569" t="str">
            <v>20</v>
          </cell>
        </row>
        <row r="1570">
          <cell r="A1570" t="str">
            <v>C12294</v>
          </cell>
          <cell r="B1570" t="str">
            <v>Organization</v>
          </cell>
          <cell r="C1570" t="str">
            <v>STAR PRODUCT</v>
          </cell>
          <cell r="D1570" t="str">
            <v>1</v>
          </cell>
        </row>
        <row r="1571">
          <cell r="A1571" t="str">
            <v>C12295</v>
          </cell>
          <cell r="B1571" t="str">
            <v>Organization</v>
          </cell>
          <cell r="C1571" t="str">
            <v>STARCHEM INDUSTRIES LIMITED</v>
          </cell>
          <cell r="D1571" t="str">
            <v>60</v>
          </cell>
        </row>
        <row r="1572">
          <cell r="A1572" t="str">
            <v>C12296</v>
          </cell>
          <cell r="B1572" t="str">
            <v>Organization</v>
          </cell>
          <cell r="C1572" t="str">
            <v>STERLITE INDUSTRIES ( I ) LIMITED</v>
          </cell>
          <cell r="D1572" t="str">
            <v>1</v>
          </cell>
        </row>
        <row r="1573">
          <cell r="A1573" t="str">
            <v>C12297</v>
          </cell>
          <cell r="B1573" t="str">
            <v>Organization</v>
          </cell>
          <cell r="C1573" t="str">
            <v>SUBA ENTERPRISES (C&amp;F A PEPSI COLA INDIA</v>
          </cell>
          <cell r="D1573" t="str">
            <v>7</v>
          </cell>
        </row>
        <row r="1574">
          <cell r="A1574" t="str">
            <v>C12298</v>
          </cell>
          <cell r="B1574" t="str">
            <v>Organization</v>
          </cell>
          <cell r="C1574" t="str">
            <v>SUDHA AGRO OIL &amp; CHEMICAL INDUSTRIES LTD</v>
          </cell>
          <cell r="D1574" t="str">
            <v>30</v>
          </cell>
        </row>
        <row r="1575">
          <cell r="A1575" t="str">
            <v>C12299</v>
          </cell>
          <cell r="B1575" t="str">
            <v>Organization</v>
          </cell>
          <cell r="C1575" t="str">
            <v>SUKHJIT STARCH MILLS</v>
          </cell>
          <cell r="D1575" t="str">
            <v>45</v>
          </cell>
        </row>
        <row r="1576">
          <cell r="A1576" t="str">
            <v>C12300</v>
          </cell>
          <cell r="B1576" t="str">
            <v>Organization</v>
          </cell>
          <cell r="C1576" t="str">
            <v>SUNCO CHEMICALS LIMITED</v>
          </cell>
          <cell r="D1576" t="str">
            <v>1</v>
          </cell>
        </row>
        <row r="1577">
          <cell r="A1577" t="str">
            <v>C12301</v>
          </cell>
          <cell r="B1577" t="str">
            <v>Organization</v>
          </cell>
          <cell r="C1577" t="str">
            <v>SUPER POLY PACKS</v>
          </cell>
          <cell r="D1577" t="str">
            <v>1</v>
          </cell>
        </row>
        <row r="1578">
          <cell r="A1578" t="str">
            <v>C12302</v>
          </cell>
          <cell r="B1578" t="str">
            <v>Organization</v>
          </cell>
          <cell r="C1578" t="str">
            <v>SUPERCOAT INDUSTRIES</v>
          </cell>
          <cell r="D1578" t="str">
            <v>1</v>
          </cell>
        </row>
        <row r="1579">
          <cell r="A1579" t="str">
            <v>C12303</v>
          </cell>
          <cell r="B1579" t="str">
            <v>Organization</v>
          </cell>
          <cell r="C1579" t="str">
            <v>SUPRACHEM INDUSTRIES</v>
          </cell>
          <cell r="D1579" t="str">
            <v>7</v>
          </cell>
        </row>
        <row r="1580">
          <cell r="A1580" t="str">
            <v>C12304</v>
          </cell>
          <cell r="B1580" t="str">
            <v>Organization</v>
          </cell>
          <cell r="C1580" t="str">
            <v>SURFACE COATINGS INDUSTRIES  - POONAMALLEE</v>
          </cell>
          <cell r="D1580" t="str">
            <v>15</v>
          </cell>
        </row>
        <row r="1581">
          <cell r="A1581" t="str">
            <v>C12305</v>
          </cell>
          <cell r="B1581" t="str">
            <v>Organization</v>
          </cell>
          <cell r="C1581" t="str">
            <v>SURFACE COATINGS INDUSTRIES - UNIT II - AMBATTUR</v>
          </cell>
          <cell r="D1581" t="str">
            <v>1</v>
          </cell>
        </row>
        <row r="1582">
          <cell r="A1582" t="str">
            <v>C12306</v>
          </cell>
          <cell r="B1582" t="str">
            <v>Organization</v>
          </cell>
          <cell r="C1582" t="str">
            <v>SURUCHI REFINERY PRIVATE LIMITED</v>
          </cell>
          <cell r="D1582" t="str">
            <v>1</v>
          </cell>
        </row>
        <row r="1583">
          <cell r="A1583" t="str">
            <v>C12308</v>
          </cell>
          <cell r="B1583" t="str">
            <v>Organization</v>
          </cell>
          <cell r="C1583" t="str">
            <v>SWATHI ORGANICS &amp; SPECIALTIES  PVT. LTD.</v>
          </cell>
          <cell r="D1583" t="str">
            <v>30</v>
          </cell>
        </row>
        <row r="1584">
          <cell r="A1584" t="str">
            <v>C12309</v>
          </cell>
          <cell r="B1584" t="str">
            <v>Organization</v>
          </cell>
          <cell r="C1584" t="str">
            <v>SYGENTA INDIA LTD.</v>
          </cell>
          <cell r="D1584" t="str">
            <v>30</v>
          </cell>
        </row>
        <row r="1585">
          <cell r="A1585" t="str">
            <v>C12316</v>
          </cell>
          <cell r="B1585" t="str">
            <v>Organization</v>
          </cell>
          <cell r="C1585" t="str">
            <v>T.K. PATTABHIRAMAN</v>
          </cell>
          <cell r="D1585" t="str">
            <v>1</v>
          </cell>
        </row>
        <row r="1586">
          <cell r="A1586" t="str">
            <v>C12318</v>
          </cell>
          <cell r="B1586" t="str">
            <v>Organization</v>
          </cell>
          <cell r="C1586" t="str">
            <v>TAGROS CHEMICAL (INDIA) LTD. - CUDDALORE</v>
          </cell>
          <cell r="D1586" t="str">
            <v>30</v>
          </cell>
        </row>
        <row r="1587">
          <cell r="A1587" t="str">
            <v>C12319</v>
          </cell>
          <cell r="B1587" t="str">
            <v>Organization</v>
          </cell>
          <cell r="C1587" t="str">
            <v>TAMILNADU PETRO PRODUCTS LIMITED</v>
          </cell>
          <cell r="D1587" t="str">
            <v>0</v>
          </cell>
        </row>
        <row r="1588">
          <cell r="A1588" t="str">
            <v>C12320</v>
          </cell>
          <cell r="B1588" t="str">
            <v>Organization</v>
          </cell>
          <cell r="C1588" t="str">
            <v>TAMILNADU STATE TRANSPORT (VPM) LTD.,</v>
          </cell>
          <cell r="D1588" t="str">
            <v>1</v>
          </cell>
        </row>
        <row r="1589">
          <cell r="A1589" t="str">
            <v>C12323</v>
          </cell>
          <cell r="B1589" t="str">
            <v>Organization</v>
          </cell>
          <cell r="C1589" t="str">
            <v>TEX BIOSCIENCES (P) LIMITED</v>
          </cell>
          <cell r="D1589" t="str">
            <v>30</v>
          </cell>
        </row>
        <row r="1590">
          <cell r="A1590" t="str">
            <v>C12324</v>
          </cell>
          <cell r="B1590" t="str">
            <v>Organization</v>
          </cell>
          <cell r="C1590" t="str">
            <v>TEX CHEM</v>
          </cell>
          <cell r="D1590" t="str">
            <v>1</v>
          </cell>
        </row>
        <row r="1591">
          <cell r="A1591" t="str">
            <v>C12325</v>
          </cell>
          <cell r="B1591" t="str">
            <v>Organization</v>
          </cell>
          <cell r="C1591" t="str">
            <v>TEXCARE PRIVATE LIMITED</v>
          </cell>
          <cell r="D1591" t="str">
            <v>60</v>
          </cell>
        </row>
        <row r="1592">
          <cell r="A1592" t="str">
            <v>C12326</v>
          </cell>
          <cell r="B1592" t="str">
            <v>Organization</v>
          </cell>
          <cell r="C1592" t="str">
            <v>TEXTAN CHEMICALS PVT. LTD.</v>
          </cell>
          <cell r="D1592" t="str">
            <v>60</v>
          </cell>
        </row>
        <row r="1593">
          <cell r="A1593" t="str">
            <v>C12327</v>
          </cell>
          <cell r="B1593" t="str">
            <v>Organization</v>
          </cell>
          <cell r="C1593" t="str">
            <v>TEXTILE DYE-CHEM (P) LTD.,</v>
          </cell>
          <cell r="D1593" t="str">
            <v>1</v>
          </cell>
        </row>
        <row r="1594">
          <cell r="A1594" t="str">
            <v>C12328</v>
          </cell>
          <cell r="B1594" t="str">
            <v>Organization</v>
          </cell>
          <cell r="C1594" t="str">
            <v>TFL LEATHER TECHNIQUE PRIVATE LTD.,</v>
          </cell>
          <cell r="D1594" t="str">
            <v>15</v>
          </cell>
        </row>
        <row r="1595">
          <cell r="A1595" t="str">
            <v>C12329</v>
          </cell>
          <cell r="B1595" t="str">
            <v>Organization</v>
          </cell>
          <cell r="C1595" t="str">
            <v>TFL QUINN INDIA PVT. LTD. - 100% EOU</v>
          </cell>
          <cell r="D1595" t="str">
            <v>90</v>
          </cell>
        </row>
        <row r="1596">
          <cell r="A1596" t="str">
            <v>C12334</v>
          </cell>
          <cell r="B1596" t="str">
            <v>Organization</v>
          </cell>
          <cell r="C1596" t="str">
            <v>THE ANDHRA SUGARS LIMITED</v>
          </cell>
          <cell r="D1596" t="str">
            <v>1</v>
          </cell>
        </row>
        <row r="1597">
          <cell r="A1597" t="str">
            <v>C12335</v>
          </cell>
          <cell r="B1597" t="str">
            <v>Organization</v>
          </cell>
          <cell r="C1597" t="str">
            <v>THE ARYA VAIDYA PHARMACY (COIMBATORE) LTD. - PALAKKAD</v>
          </cell>
          <cell r="D1597" t="str">
            <v>1</v>
          </cell>
        </row>
        <row r="1598">
          <cell r="A1598" t="str">
            <v>C12336</v>
          </cell>
          <cell r="B1598" t="str">
            <v>Organization</v>
          </cell>
          <cell r="C1598" t="str">
            <v>THE ARYA VAIDYA PHARMACY (COIMBATORE) LTD. - CHENNAI</v>
          </cell>
          <cell r="D1598" t="str">
            <v>1</v>
          </cell>
        </row>
        <row r="1599">
          <cell r="A1599" t="str">
            <v>C12338</v>
          </cell>
          <cell r="B1599" t="str">
            <v>Organization</v>
          </cell>
          <cell r="C1599" t="str">
            <v>THE HIMALAYA DRUG COMPANY</v>
          </cell>
          <cell r="D1599" t="str">
            <v>1</v>
          </cell>
        </row>
        <row r="1600">
          <cell r="A1600" t="str">
            <v>C12339</v>
          </cell>
          <cell r="B1600" t="str">
            <v>Organization</v>
          </cell>
          <cell r="C1600" t="str">
            <v>THE RAJAGIRI RUBBER &amp; PRODUCE CO. LTD. - PUNALUR</v>
          </cell>
          <cell r="D1600" t="str">
            <v>45</v>
          </cell>
        </row>
        <row r="1601">
          <cell r="A1601" t="str">
            <v>C12340</v>
          </cell>
          <cell r="B1601" t="str">
            <v>Organization</v>
          </cell>
          <cell r="C1601" t="str">
            <v>THE RAJAGIRI RUBBER &amp; PRODUCE CO. LTD. - ALLEPPEY</v>
          </cell>
          <cell r="D1601" t="str">
            <v>30</v>
          </cell>
        </row>
        <row r="1602">
          <cell r="A1602" t="str">
            <v>C12341</v>
          </cell>
          <cell r="B1602" t="str">
            <v>Organization</v>
          </cell>
          <cell r="C1602" t="str">
            <v>THE SCIENTIFIC FERTILISER COMPANY (P) LTD. - TIRUCHIRAPALLI</v>
          </cell>
          <cell r="D1602" t="str">
            <v>15</v>
          </cell>
        </row>
        <row r="1603">
          <cell r="A1603" t="str">
            <v>C12342</v>
          </cell>
          <cell r="B1603" t="str">
            <v>Organization</v>
          </cell>
          <cell r="C1603" t="str">
            <v>THE SCIENTIFIC FERTILISER COMPANY (P) LTD. - MYSORE</v>
          </cell>
          <cell r="D1603" t="str">
            <v>1</v>
          </cell>
        </row>
        <row r="1604">
          <cell r="A1604" t="str">
            <v>C12344</v>
          </cell>
          <cell r="B1604" t="str">
            <v>Organization</v>
          </cell>
          <cell r="C1604" t="str">
            <v>THE STRUCTURAL WATERPROOFING CO. PVT. LTD.</v>
          </cell>
          <cell r="D1604" t="str">
            <v>30</v>
          </cell>
        </row>
        <row r="1605">
          <cell r="A1605" t="str">
            <v>C12345</v>
          </cell>
          <cell r="B1605" t="str">
            <v>Organization</v>
          </cell>
          <cell r="C1605" t="str">
            <v>THIRUMALAI CHEMICALS LTD.</v>
          </cell>
          <cell r="D1605" t="str">
            <v>60</v>
          </cell>
        </row>
        <row r="1606">
          <cell r="A1606" t="str">
            <v>C12346</v>
          </cell>
          <cell r="B1606" t="str">
            <v>Organization</v>
          </cell>
          <cell r="C1606" t="str">
            <v>THIRUVENSUN BIO-BOTANICA</v>
          </cell>
          <cell r="D1606" t="str">
            <v>1</v>
          </cell>
        </row>
        <row r="1607">
          <cell r="A1607" t="str">
            <v>C12348</v>
          </cell>
          <cell r="B1607" t="str">
            <v>Organization</v>
          </cell>
          <cell r="C1607" t="str">
            <v>TIDE WATER OIL CO. (INDIA) LTD. - ORAGADAM</v>
          </cell>
          <cell r="D1607" t="str">
            <v>30</v>
          </cell>
        </row>
        <row r="1608">
          <cell r="A1608" t="str">
            <v>C12349</v>
          </cell>
          <cell r="B1608" t="str">
            <v>Organization</v>
          </cell>
          <cell r="C1608" t="str">
            <v>TIDE WATER OIL CO. (INDIA) LTD. - ROYAPURAM</v>
          </cell>
          <cell r="D1608" t="str">
            <v>30</v>
          </cell>
        </row>
        <row r="1609">
          <cell r="A1609" t="str">
            <v>C12350</v>
          </cell>
          <cell r="B1609" t="str">
            <v>Organization</v>
          </cell>
          <cell r="C1609" t="str">
            <v>TNEB - KARUNGUZHI</v>
          </cell>
          <cell r="D1609" t="str">
            <v>1</v>
          </cell>
        </row>
        <row r="1610">
          <cell r="A1610" t="str">
            <v>C12351</v>
          </cell>
          <cell r="B1610" t="str">
            <v>Organization</v>
          </cell>
          <cell r="C1610" t="str">
            <v>TRADEWELL INTERNATIONAL PVT. LTD..</v>
          </cell>
          <cell r="D1610" t="str">
            <v>90</v>
          </cell>
        </row>
        <row r="1611">
          <cell r="A1611" t="str">
            <v>C12353</v>
          </cell>
          <cell r="B1611" t="str">
            <v>Organization</v>
          </cell>
          <cell r="C1611" t="str">
            <v>TROPICAL AGRO SYSTEMS INDIA LTD.,</v>
          </cell>
          <cell r="D1611" t="str">
            <v>7</v>
          </cell>
        </row>
        <row r="1612">
          <cell r="A1612" t="str">
            <v>C12354</v>
          </cell>
          <cell r="B1612" t="str">
            <v>Organization</v>
          </cell>
          <cell r="C1612" t="str">
            <v>TTK HEALTHCARE LTD.</v>
          </cell>
          <cell r="D1612" t="str">
            <v>7</v>
          </cell>
        </row>
        <row r="1613">
          <cell r="A1613" t="str">
            <v>C12355</v>
          </cell>
          <cell r="B1613" t="str">
            <v>Organization</v>
          </cell>
          <cell r="C1613" t="str">
            <v>ULTRAMARINE &amp; PIGMENTS LTD.</v>
          </cell>
          <cell r="D1613" t="str">
            <v>60</v>
          </cell>
        </row>
        <row r="1614">
          <cell r="A1614" t="str">
            <v>C12356</v>
          </cell>
          <cell r="B1614" t="str">
            <v>Organization</v>
          </cell>
          <cell r="C1614" t="str">
            <v>UNICHEM TRADING COMPANY</v>
          </cell>
          <cell r="D1614" t="str">
            <v>30</v>
          </cell>
        </row>
        <row r="1615">
          <cell r="A1615" t="str">
            <v>C12359</v>
          </cell>
          <cell r="B1615" t="str">
            <v>Organization</v>
          </cell>
          <cell r="C1615" t="str">
            <v>V.V. PROJECTS AND INVESTMENTS PVT. LTD.</v>
          </cell>
          <cell r="D1615" t="str">
            <v>45</v>
          </cell>
        </row>
        <row r="1616">
          <cell r="A1616" t="str">
            <v>C12360</v>
          </cell>
          <cell r="B1616" t="str">
            <v>Organization</v>
          </cell>
          <cell r="C1616" t="str">
            <v>VAN MELLE INDIA</v>
          </cell>
          <cell r="D1616" t="str">
            <v>7</v>
          </cell>
        </row>
        <row r="1617">
          <cell r="A1617" t="str">
            <v>C12361</v>
          </cell>
          <cell r="B1617" t="str">
            <v>Organization</v>
          </cell>
          <cell r="C1617" t="str">
            <v>VANAVIL DYES AND CHEMICALS LIMITED  - CUDDALORE</v>
          </cell>
          <cell r="D1617" t="str">
            <v>45</v>
          </cell>
        </row>
        <row r="1618">
          <cell r="A1618" t="str">
            <v>C12362</v>
          </cell>
          <cell r="B1618" t="str">
            <v>Organization</v>
          </cell>
          <cell r="C1618" t="str">
            <v>VANAVIL DYES AND CHEMICALS LIMITED  - MUMBAI</v>
          </cell>
          <cell r="D1618" t="str">
            <v>1</v>
          </cell>
        </row>
        <row r="1619">
          <cell r="A1619" t="str">
            <v>C12364</v>
          </cell>
          <cell r="B1619" t="str">
            <v>Organization</v>
          </cell>
          <cell r="C1619" t="str">
            <v>VASU CHEMICALS INDUSTRIES</v>
          </cell>
          <cell r="D1619" t="str">
            <v>45</v>
          </cell>
        </row>
        <row r="1620">
          <cell r="A1620" t="str">
            <v>C12366</v>
          </cell>
          <cell r="B1620" t="str">
            <v>Organization</v>
          </cell>
          <cell r="C1620" t="str">
            <v>VAYUJA CHEMICALS LTD.</v>
          </cell>
          <cell r="D1620" t="str">
            <v>30</v>
          </cell>
        </row>
        <row r="1621">
          <cell r="A1621" t="str">
            <v>C12367</v>
          </cell>
          <cell r="B1621" t="str">
            <v>Organization</v>
          </cell>
          <cell r="C1621" t="str">
            <v>VEENA TEXCHEM INDUSTRIES</v>
          </cell>
          <cell r="D1621" t="str">
            <v>30</v>
          </cell>
        </row>
        <row r="1622">
          <cell r="A1622" t="str">
            <v>C12368</v>
          </cell>
          <cell r="B1622" t="str">
            <v>Organization</v>
          </cell>
          <cell r="C1622" t="str">
            <v>VEMASI CHEMICALS</v>
          </cell>
          <cell r="D1622" t="str">
            <v>7</v>
          </cell>
        </row>
        <row r="1623">
          <cell r="A1623" t="str">
            <v>C12370</v>
          </cell>
          <cell r="B1623" t="str">
            <v>Organization</v>
          </cell>
          <cell r="C1623" t="str">
            <v>VENSBAR CHEMICALS (P) LTD</v>
          </cell>
          <cell r="D1623" t="str">
            <v>60</v>
          </cell>
        </row>
        <row r="1624">
          <cell r="A1624" t="str">
            <v>C12371</v>
          </cell>
          <cell r="B1624" t="str">
            <v>Organization</v>
          </cell>
          <cell r="C1624" t="str">
            <v>VETRI AUTOMOBILES</v>
          </cell>
          <cell r="D1624" t="str">
            <v>1</v>
          </cell>
        </row>
        <row r="1625">
          <cell r="A1625" t="str">
            <v>C12372</v>
          </cell>
          <cell r="B1625" t="str">
            <v>Organization</v>
          </cell>
          <cell r="C1625" t="str">
            <v>VIJAY CONSTRO CHEMICALS (P) LTD.</v>
          </cell>
          <cell r="D1625" t="str">
            <v>1</v>
          </cell>
        </row>
        <row r="1626">
          <cell r="A1626" t="str">
            <v>C12373</v>
          </cell>
          <cell r="B1626" t="str">
            <v>Organization</v>
          </cell>
          <cell r="C1626" t="str">
            <v>VINAROM PRIVATE LIMITED</v>
          </cell>
          <cell r="D1626" t="str">
            <v>1</v>
          </cell>
        </row>
        <row r="1627">
          <cell r="A1627" t="str">
            <v>C12374</v>
          </cell>
          <cell r="B1627" t="str">
            <v>Organization</v>
          </cell>
          <cell r="C1627" t="str">
            <v>VIPAUX ( INDIA) PRIVATE LIMITED</v>
          </cell>
          <cell r="D1627" t="str">
            <v>60</v>
          </cell>
        </row>
        <row r="1628">
          <cell r="A1628" t="str">
            <v>C12375</v>
          </cell>
          <cell r="B1628" t="str">
            <v>Organization</v>
          </cell>
          <cell r="C1628" t="str">
            <v>VITHOGA CHEMICALS PVT. LTD..</v>
          </cell>
          <cell r="D1628" t="str">
            <v>60</v>
          </cell>
        </row>
        <row r="1629">
          <cell r="A1629" t="str">
            <v>C12376</v>
          </cell>
          <cell r="B1629" t="str">
            <v>Organization</v>
          </cell>
          <cell r="C1629" t="str">
            <v>VSM AGENCIES</v>
          </cell>
          <cell r="D1629" t="str">
            <v>75</v>
          </cell>
        </row>
        <row r="1630">
          <cell r="A1630" t="str">
            <v>C12377</v>
          </cell>
          <cell r="B1630" t="str">
            <v>Organization</v>
          </cell>
          <cell r="C1630" t="str">
            <v>WATER SYSTEMS</v>
          </cell>
          <cell r="D1630" t="str">
            <v>1</v>
          </cell>
        </row>
        <row r="1631">
          <cell r="A1631" t="str">
            <v>C12380</v>
          </cell>
          <cell r="B1631" t="str">
            <v>Organization</v>
          </cell>
          <cell r="C1631" t="str">
            <v>WIPRO LIMITED, CONSUMER CARE DIVISION.</v>
          </cell>
          <cell r="D1631" t="str">
            <v>7</v>
          </cell>
        </row>
        <row r="1632">
          <cell r="A1632" t="str">
            <v>C12381</v>
          </cell>
          <cell r="B1632" t="str">
            <v>Organization</v>
          </cell>
          <cell r="C1632" t="str">
            <v>YAG  MAG LABS (P) LTD.       - HYDERABAD</v>
          </cell>
          <cell r="D1632" t="str">
            <v>60</v>
          </cell>
        </row>
        <row r="1633">
          <cell r="A1633" t="str">
            <v>C12383</v>
          </cell>
          <cell r="B1633" t="str">
            <v>Organization</v>
          </cell>
          <cell r="C1633" t="str">
            <v>YUSHIRO BUHMOO INDIA COMPANY PVT LTD.,</v>
          </cell>
          <cell r="D1633" t="str">
            <v>30</v>
          </cell>
        </row>
        <row r="1634">
          <cell r="A1634" t="str">
            <v>C12384</v>
          </cell>
          <cell r="B1634" t="str">
            <v>Organization</v>
          </cell>
          <cell r="C1634" t="str">
            <v>YUVRAJ LUBE &amp; PETROCHEMICAL P LTD</v>
          </cell>
          <cell r="D1634" t="str">
            <v>1</v>
          </cell>
        </row>
        <row r="1635">
          <cell r="A1635" t="str">
            <v>C12385</v>
          </cell>
          <cell r="B1635" t="str">
            <v>Organization</v>
          </cell>
          <cell r="C1635" t="str">
            <v>ZENECA ICI AGROCHEMICALS LTD.</v>
          </cell>
          <cell r="D1635" t="str">
            <v>30</v>
          </cell>
        </row>
        <row r="1636">
          <cell r="A1636" t="str">
            <v>C12386</v>
          </cell>
          <cell r="B1636" t="str">
            <v>Organization</v>
          </cell>
          <cell r="C1636" t="str">
            <v>MEENAKSHI &amp; CO</v>
          </cell>
          <cell r="D1636" t="str">
            <v>7</v>
          </cell>
        </row>
        <row r="1637">
          <cell r="A1637" t="str">
            <v>C12387</v>
          </cell>
          <cell r="B1637" t="str">
            <v>Organization</v>
          </cell>
          <cell r="C1637" t="str">
            <v>MR. AYYAPPAN,</v>
          </cell>
          <cell r="D1637" t="str">
            <v>1</v>
          </cell>
        </row>
        <row r="1638">
          <cell r="A1638" t="str">
            <v>C12388</v>
          </cell>
          <cell r="B1638" t="str">
            <v>Organization</v>
          </cell>
          <cell r="C1638" t="str">
            <v>SRIRAM CHEMICAL SUPPLIERS,</v>
          </cell>
          <cell r="D1638" t="str">
            <v>1</v>
          </cell>
        </row>
        <row r="1639">
          <cell r="A1639" t="str">
            <v>C12389</v>
          </cell>
          <cell r="B1639" t="str">
            <v>Organization</v>
          </cell>
          <cell r="C1639" t="str">
            <v>MOMENTIVE PERFORMANCE MATERIALS (INDIA) PVT. LTD.</v>
          </cell>
          <cell r="D1639" t="str">
            <v>15</v>
          </cell>
        </row>
        <row r="1640">
          <cell r="A1640" t="str">
            <v>C12390</v>
          </cell>
          <cell r="B1640" t="str">
            <v>Organization</v>
          </cell>
          <cell r="C1640" t="str">
            <v>IDEAL CURES PVT. LTD</v>
          </cell>
          <cell r="D1640" t="str">
            <v>30</v>
          </cell>
        </row>
        <row r="1641">
          <cell r="A1641" t="str">
            <v>C12391</v>
          </cell>
          <cell r="B1641" t="str">
            <v>Organization</v>
          </cell>
          <cell r="C1641" t="str">
            <v>LITMUS ORGANICS PVT. LTD.</v>
          </cell>
          <cell r="D1641" t="str">
            <v>30</v>
          </cell>
        </row>
        <row r="1642">
          <cell r="A1642" t="str">
            <v>C12392</v>
          </cell>
          <cell r="B1642" t="str">
            <v>Organization</v>
          </cell>
          <cell r="C1642" t="str">
            <v>MSED CO. LTD</v>
          </cell>
          <cell r="D1642" t="str">
            <v>1</v>
          </cell>
        </row>
        <row r="1643">
          <cell r="A1643" t="str">
            <v>C12393</v>
          </cell>
          <cell r="B1643" t="str">
            <v>Organization</v>
          </cell>
          <cell r="C1643" t="str">
            <v>PEGASUS INDIAN TEXTILES</v>
          </cell>
          <cell r="D1643" t="str">
            <v>30</v>
          </cell>
        </row>
        <row r="1644">
          <cell r="A1644" t="str">
            <v>C12394</v>
          </cell>
          <cell r="B1644" t="str">
            <v>Organization</v>
          </cell>
          <cell r="C1644" t="str">
            <v>RUBAMIN LABORATORIES LTD</v>
          </cell>
          <cell r="D1644" t="str">
            <v>1</v>
          </cell>
        </row>
        <row r="1645">
          <cell r="A1645" t="str">
            <v>C12395</v>
          </cell>
          <cell r="B1645" t="str">
            <v>Organization</v>
          </cell>
          <cell r="C1645" t="str">
            <v>SUBHASH CHEMICALS INDUSTRIES</v>
          </cell>
          <cell r="D1645" t="str">
            <v>1</v>
          </cell>
        </row>
        <row r="1646">
          <cell r="A1646" t="str">
            <v>C12396</v>
          </cell>
          <cell r="B1646" t="str">
            <v>Organization</v>
          </cell>
          <cell r="C1646" t="str">
            <v>VASUDHA PHARMA CHEM LTD - HYDERABAD</v>
          </cell>
          <cell r="D1646" t="str">
            <v>30</v>
          </cell>
        </row>
        <row r="1647">
          <cell r="A1647" t="str">
            <v>C12397</v>
          </cell>
          <cell r="B1647" t="str">
            <v>Organization</v>
          </cell>
          <cell r="C1647" t="str">
            <v>VEEKAY CHEMICALS</v>
          </cell>
          <cell r="D1647" t="str">
            <v>1</v>
          </cell>
        </row>
        <row r="1648">
          <cell r="A1648" t="str">
            <v>C12398</v>
          </cell>
          <cell r="B1648" t="str">
            <v>Organization</v>
          </cell>
          <cell r="C1648" t="str">
            <v>BAN LABS LTD</v>
          </cell>
          <cell r="D1648" t="str">
            <v>1</v>
          </cell>
        </row>
        <row r="1649">
          <cell r="A1649" t="str">
            <v>C12399</v>
          </cell>
          <cell r="B1649" t="str">
            <v>Organization</v>
          </cell>
          <cell r="C1649" t="str">
            <v>JAINICO CHEMTECH PVT. LTD.</v>
          </cell>
          <cell r="D1649" t="str">
            <v>30</v>
          </cell>
        </row>
        <row r="1650">
          <cell r="A1650" t="str">
            <v>C12400</v>
          </cell>
          <cell r="B1650" t="str">
            <v>Organization</v>
          </cell>
          <cell r="C1650" t="str">
            <v>CRIMSON INKS PVT. LTD.</v>
          </cell>
          <cell r="D1650" t="str">
            <v>1</v>
          </cell>
        </row>
        <row r="1651">
          <cell r="A1651" t="str">
            <v>C12401</v>
          </cell>
          <cell r="B1651" t="str">
            <v>Organization</v>
          </cell>
          <cell r="C1651" t="str">
            <v>CICO TECHNOLOGIES LTD. (HARIDWAR)</v>
          </cell>
          <cell r="D1651" t="str">
            <v>0</v>
          </cell>
        </row>
        <row r="1652">
          <cell r="A1652" t="str">
            <v>C12402</v>
          </cell>
          <cell r="B1652" t="str">
            <v>Organization</v>
          </cell>
          <cell r="C1652" t="str">
            <v>CICO TECHNOLOGIES LTD. (N.DELHI)</v>
          </cell>
          <cell r="D1652" t="str">
            <v>0</v>
          </cell>
        </row>
        <row r="1653">
          <cell r="A1653" t="str">
            <v>C12403</v>
          </cell>
          <cell r="B1653" t="str">
            <v>Organization</v>
          </cell>
          <cell r="C1653" t="str">
            <v>FORACE POLYMERS PVT. LTD</v>
          </cell>
          <cell r="D1653" t="str">
            <v>1</v>
          </cell>
        </row>
        <row r="1654">
          <cell r="A1654" t="str">
            <v>C12404</v>
          </cell>
          <cell r="B1654" t="str">
            <v>Organization</v>
          </cell>
          <cell r="C1654" t="str">
            <v>REVEX PLASTICISERS PVT. LTD.</v>
          </cell>
          <cell r="D1654" t="str">
            <v>1</v>
          </cell>
        </row>
        <row r="1655">
          <cell r="A1655" t="str">
            <v>C12405</v>
          </cell>
          <cell r="B1655" t="str">
            <v>Organization</v>
          </cell>
          <cell r="C1655" t="str">
            <v>SARU AIKOH CHEMICALS LTD.</v>
          </cell>
          <cell r="D1655" t="str">
            <v>1</v>
          </cell>
        </row>
        <row r="1656">
          <cell r="A1656" t="str">
            <v>C12406</v>
          </cell>
          <cell r="B1656" t="str">
            <v>Organization</v>
          </cell>
          <cell r="C1656" t="str">
            <v>INDIAN INKS &amp; CHEMICAL INDUSTRIES</v>
          </cell>
          <cell r="D1656" t="str">
            <v>1</v>
          </cell>
        </row>
        <row r="1657">
          <cell r="A1657" t="str">
            <v>C12407</v>
          </cell>
          <cell r="B1657" t="str">
            <v>Organization</v>
          </cell>
          <cell r="C1657" t="str">
            <v>ABHITECH ENERGYCON LTD.</v>
          </cell>
          <cell r="D1657" t="str">
            <v>0</v>
          </cell>
        </row>
        <row r="1658">
          <cell r="A1658" t="str">
            <v>C12408</v>
          </cell>
          <cell r="B1658" t="str">
            <v>Organization</v>
          </cell>
          <cell r="C1658" t="str">
            <v>ISHIKA ENTERPRISES</v>
          </cell>
          <cell r="D1658" t="str">
            <v>1</v>
          </cell>
        </row>
        <row r="1659">
          <cell r="A1659" t="str">
            <v>C12409</v>
          </cell>
          <cell r="B1659" t="str">
            <v>Organization</v>
          </cell>
          <cell r="C1659" t="str">
            <v>AQUA COLOURS</v>
          </cell>
          <cell r="D1659" t="str">
            <v>60</v>
          </cell>
        </row>
        <row r="1660">
          <cell r="A1660" t="str">
            <v>C12410</v>
          </cell>
          <cell r="B1660" t="str">
            <v>Organization</v>
          </cell>
          <cell r="C1660" t="str">
            <v>ZAVENIR DAUBERT INDIA PVT LTD</v>
          </cell>
          <cell r="D1660" t="str">
            <v>60</v>
          </cell>
        </row>
        <row r="1661">
          <cell r="A1661" t="str">
            <v>C12411</v>
          </cell>
          <cell r="B1661" t="str">
            <v>Organization</v>
          </cell>
          <cell r="C1661" t="str">
            <v>DIVERSEY INDIA PVT. LTD. - SOLAN</v>
          </cell>
          <cell r="D1661" t="str">
            <v>60</v>
          </cell>
        </row>
        <row r="1662">
          <cell r="A1662" t="str">
            <v>C12412</v>
          </cell>
          <cell r="B1662" t="str">
            <v>Organization</v>
          </cell>
          <cell r="C1662" t="str">
            <v>NATURAL RESOURCES INDUSTRIES PRIVATE LIMITED</v>
          </cell>
          <cell r="D1662" t="str">
            <v>1</v>
          </cell>
        </row>
        <row r="1663">
          <cell r="A1663" t="str">
            <v>C12413</v>
          </cell>
          <cell r="B1663" t="str">
            <v>Organization</v>
          </cell>
          <cell r="C1663" t="str">
            <v>PIDILITE INDUSTRIES LIMITED - SIRMOUR</v>
          </cell>
          <cell r="D1663" t="str">
            <v>60</v>
          </cell>
        </row>
        <row r="1664">
          <cell r="A1664" t="str">
            <v>C12414</v>
          </cell>
          <cell r="B1664" t="str">
            <v>Organization</v>
          </cell>
          <cell r="C1664" t="str">
            <v>RAJHANS CHEMICALS</v>
          </cell>
          <cell r="D1664" t="str">
            <v>1</v>
          </cell>
        </row>
        <row r="1665">
          <cell r="A1665" t="str">
            <v>C12415</v>
          </cell>
          <cell r="B1665" t="str">
            <v>Organization</v>
          </cell>
          <cell r="C1665" t="str">
            <v>AIROFINE CHEMICALS INDIA</v>
          </cell>
          <cell r="D1665" t="str">
            <v>1</v>
          </cell>
        </row>
        <row r="1666">
          <cell r="A1666" t="str">
            <v>C12416</v>
          </cell>
          <cell r="B1666" t="str">
            <v>Organization</v>
          </cell>
          <cell r="C1666" t="str">
            <v>KARAN PETROLUBES</v>
          </cell>
          <cell r="D1666" t="str">
            <v>1</v>
          </cell>
        </row>
        <row r="1667">
          <cell r="A1667" t="str">
            <v>C12417</v>
          </cell>
          <cell r="B1667" t="str">
            <v>Organization</v>
          </cell>
          <cell r="C1667" t="str">
            <v>NIRMAL INDUSTRIES</v>
          </cell>
          <cell r="D1667" t="str">
            <v>1</v>
          </cell>
        </row>
        <row r="1668">
          <cell r="A1668" t="str">
            <v>C12418</v>
          </cell>
          <cell r="B1668" t="str">
            <v>Organization</v>
          </cell>
          <cell r="C1668" t="str">
            <v>BHARAT PETROLEUM CORPORATION LTD. - LONI GAZIABAD</v>
          </cell>
          <cell r="D1668" t="str">
            <v>30</v>
          </cell>
        </row>
        <row r="1669">
          <cell r="A1669" t="str">
            <v>C12419</v>
          </cell>
          <cell r="B1669" t="str">
            <v>Organization</v>
          </cell>
          <cell r="C1669" t="str">
            <v>INDIAN OIL CORPORATION LTD - MANESAR</v>
          </cell>
          <cell r="D1669" t="str">
            <v>30</v>
          </cell>
        </row>
        <row r="1670">
          <cell r="A1670" t="str">
            <v>C12420</v>
          </cell>
          <cell r="B1670" t="str">
            <v>Organization</v>
          </cell>
          <cell r="C1670" t="str">
            <v>INDIAN OIL CORPORATION LTD - ALLAHABAD</v>
          </cell>
          <cell r="D1670" t="str">
            <v>30</v>
          </cell>
        </row>
        <row r="1671">
          <cell r="A1671" t="str">
            <v>C12421</v>
          </cell>
          <cell r="B1671" t="str">
            <v>Organization</v>
          </cell>
          <cell r="C1671" t="str">
            <v>INDIAN OIL CORPORATION LTD - FARIDABAD</v>
          </cell>
          <cell r="D1671" t="str">
            <v>30</v>
          </cell>
        </row>
        <row r="1672">
          <cell r="A1672" t="str">
            <v>C12422</v>
          </cell>
          <cell r="B1672" t="str">
            <v>Organization</v>
          </cell>
          <cell r="C1672" t="str">
            <v>BALMER LAWRIE &amp; CO. LTD. - ASAOTI</v>
          </cell>
          <cell r="D1672" t="str">
            <v>45</v>
          </cell>
        </row>
        <row r="1673">
          <cell r="A1673" t="str">
            <v>C12423</v>
          </cell>
          <cell r="B1673" t="str">
            <v>Organization</v>
          </cell>
          <cell r="C1673" t="str">
            <v>UNIVERSAL CONTAINERS PVT. LTD. - ANKLESHWAR</v>
          </cell>
          <cell r="D1673" t="str">
            <v>45</v>
          </cell>
        </row>
        <row r="1674">
          <cell r="A1674" t="str">
            <v>C12424</v>
          </cell>
          <cell r="B1674" t="str">
            <v>Organization</v>
          </cell>
          <cell r="C1674" t="str">
            <v>M/S MJL BANGLADESH LIMITED</v>
          </cell>
          <cell r="D1674" t="str">
            <v>30</v>
          </cell>
        </row>
        <row r="1675">
          <cell r="A1675" t="str">
            <v>C12425</v>
          </cell>
          <cell r="B1675" t="str">
            <v>Organization</v>
          </cell>
          <cell r="C1675" t="str">
            <v>DORF KETAL SPECIALITY CATALYST PVT. LTD.</v>
          </cell>
          <cell r="D1675" t="str">
            <v>60</v>
          </cell>
        </row>
        <row r="1676">
          <cell r="A1676" t="str">
            <v>C12426</v>
          </cell>
          <cell r="B1676" t="str">
            <v>Organization</v>
          </cell>
          <cell r="C1676" t="str">
            <v>JRD STEELPAC PRIVATE LTD.</v>
          </cell>
          <cell r="D1676" t="str">
            <v>60</v>
          </cell>
        </row>
        <row r="1677">
          <cell r="A1677" t="str">
            <v>C12427</v>
          </cell>
          <cell r="B1677" t="str">
            <v>Organization</v>
          </cell>
          <cell r="C1677" t="str">
            <v>GOA CONTAINERS PVT.LTD.</v>
          </cell>
          <cell r="D1677" t="str">
            <v>30</v>
          </cell>
        </row>
        <row r="1678">
          <cell r="A1678" t="str">
            <v>C12428</v>
          </cell>
          <cell r="B1678" t="str">
            <v>Organization</v>
          </cell>
          <cell r="C1678" t="str">
            <v>NESTLE INDIA LIMITED</v>
          </cell>
          <cell r="D1678" t="str">
            <v>30</v>
          </cell>
        </row>
        <row r="1679">
          <cell r="A1679" t="str">
            <v>C12429</v>
          </cell>
          <cell r="B1679" t="str">
            <v>Organization</v>
          </cell>
          <cell r="C1679" t="str">
            <v>P.L. AGRO TECHNOLOGIES  LTD.</v>
          </cell>
          <cell r="D1679" t="str">
            <v>30</v>
          </cell>
        </row>
        <row r="1680">
          <cell r="A1680" t="str">
            <v>C12430</v>
          </cell>
          <cell r="B1680" t="str">
            <v>Organization</v>
          </cell>
          <cell r="C1680" t="str">
            <v>S.B.A. TRADING CO.</v>
          </cell>
          <cell r="D1680" t="str">
            <v>7</v>
          </cell>
        </row>
        <row r="1681">
          <cell r="A1681" t="str">
            <v>C12431</v>
          </cell>
          <cell r="B1681" t="str">
            <v>Organization</v>
          </cell>
          <cell r="C1681" t="str">
            <v>VEGE INDUSTRIES PVT. LTD..</v>
          </cell>
          <cell r="D1681" t="str">
            <v>7</v>
          </cell>
        </row>
        <row r="1682">
          <cell r="A1682" t="str">
            <v>C12432</v>
          </cell>
          <cell r="B1682" t="str">
            <v>Organization</v>
          </cell>
          <cell r="C1682" t="str">
            <v>SYNTHITE INDUSTRIES LTD (EOU)</v>
          </cell>
          <cell r="D1682" t="str">
            <v>30</v>
          </cell>
        </row>
        <row r="1683">
          <cell r="A1683" t="str">
            <v>C12434</v>
          </cell>
          <cell r="B1683" t="str">
            <v>Organization</v>
          </cell>
          <cell r="C1683" t="str">
            <v>BALMER LAWRIE &amp; CO. LTD. - SILVASSA</v>
          </cell>
          <cell r="D1683" t="str">
            <v>45</v>
          </cell>
        </row>
        <row r="1684">
          <cell r="A1684" t="str">
            <v>C12435</v>
          </cell>
          <cell r="B1684" t="str">
            <v>Organization</v>
          </cell>
          <cell r="C1684" t="str">
            <v>SALES REVERSAL (YEAR END)</v>
          </cell>
          <cell r="D1684" t="str">
            <v>1</v>
          </cell>
        </row>
        <row r="1685">
          <cell r="A1685" t="str">
            <v>C12436</v>
          </cell>
          <cell r="B1685" t="str">
            <v>Organization</v>
          </cell>
          <cell r="C1685" t="str">
            <v>VALSPAR (INDIA) COATINGS CORPORATION PVT. LTD</v>
          </cell>
          <cell r="D1685" t="str">
            <v>30</v>
          </cell>
        </row>
        <row r="1686">
          <cell r="A1686" t="str">
            <v>C12437</v>
          </cell>
          <cell r="B1686" t="str">
            <v>Organization</v>
          </cell>
          <cell r="C1686" t="str">
            <v>HINDUSTAN COLAS LIMITED - JHANSI</v>
          </cell>
          <cell r="D1686" t="str">
            <v>30</v>
          </cell>
        </row>
        <row r="1687">
          <cell r="A1687" t="str">
            <v>C12447</v>
          </cell>
          <cell r="B1687" t="str">
            <v>Organization</v>
          </cell>
          <cell r="C1687" t="str">
            <v>BALMER LAWRIE &amp; CO. LTD. - SEWREE</v>
          </cell>
          <cell r="D1687" t="str">
            <v>45</v>
          </cell>
        </row>
        <row r="1688">
          <cell r="A1688" t="str">
            <v>C12448</v>
          </cell>
          <cell r="B1688" t="str">
            <v>Organization</v>
          </cell>
          <cell r="C1688" t="str">
            <v>BALMER LAWRIE &amp; CO. LTD -(SILVASA -DO NOT USE)</v>
          </cell>
          <cell r="D1688" t="str">
            <v>45</v>
          </cell>
        </row>
        <row r="1689">
          <cell r="A1689" t="str">
            <v>C12451</v>
          </cell>
          <cell r="B1689" t="str">
            <v>Organization</v>
          </cell>
          <cell r="C1689" t="str">
            <v>ADESH CONTAINERS</v>
          </cell>
          <cell r="D1689" t="str">
            <v>15</v>
          </cell>
        </row>
        <row r="1690">
          <cell r="A1690" t="str">
            <v>C12453</v>
          </cell>
          <cell r="B1690" t="str">
            <v>Organization</v>
          </cell>
          <cell r="C1690" t="str">
            <v>APPLE CORPORATION</v>
          </cell>
          <cell r="D1690" t="str">
            <v>1</v>
          </cell>
        </row>
        <row r="1691">
          <cell r="A1691" t="str">
            <v>C12454</v>
          </cell>
          <cell r="B1691" t="str">
            <v>Organization</v>
          </cell>
          <cell r="C1691" t="str">
            <v>INDIAN ADDITIVES LTD</v>
          </cell>
          <cell r="D1691" t="str">
            <v>30</v>
          </cell>
        </row>
        <row r="1692">
          <cell r="A1692" t="str">
            <v>C12456</v>
          </cell>
          <cell r="B1692" t="str">
            <v>Organization</v>
          </cell>
          <cell r="C1692" t="str">
            <v>BHAVYA CONTAINERS &amp; ESTATE COMPANY(NARODA)</v>
          </cell>
          <cell r="D1692" t="str">
            <v>30</v>
          </cell>
        </row>
        <row r="1693">
          <cell r="A1693" t="str">
            <v>C12457</v>
          </cell>
          <cell r="B1693" t="str">
            <v>Organization</v>
          </cell>
          <cell r="C1693" t="str">
            <v>CHANDRA CONTAINER MANUFACTURERS</v>
          </cell>
          <cell r="D1693" t="str">
            <v>60</v>
          </cell>
        </row>
        <row r="1694">
          <cell r="A1694" t="str">
            <v>C12458</v>
          </cell>
          <cell r="B1694" t="str">
            <v>Organization</v>
          </cell>
          <cell r="C1694" t="str">
            <v>KARTIK BARREL INDUSTRIES</v>
          </cell>
          <cell r="D1694" t="str">
            <v>30</v>
          </cell>
        </row>
        <row r="1695">
          <cell r="A1695" t="str">
            <v>C12459</v>
          </cell>
          <cell r="B1695" t="str">
            <v>Organization</v>
          </cell>
          <cell r="C1695" t="str">
            <v>AXAR CONTAINERS</v>
          </cell>
          <cell r="D1695" t="str">
            <v>30</v>
          </cell>
        </row>
        <row r="1696">
          <cell r="A1696" t="str">
            <v>C12460</v>
          </cell>
          <cell r="B1696" t="str">
            <v>Organization</v>
          </cell>
          <cell r="C1696" t="str">
            <v>PREMIER HOLLOWARES PVT. LTD. - CHINCHPADA</v>
          </cell>
          <cell r="D1696" t="str">
            <v>90</v>
          </cell>
        </row>
        <row r="1697">
          <cell r="A1697" t="str">
            <v>C12462</v>
          </cell>
          <cell r="B1697" t="str">
            <v>Organization</v>
          </cell>
          <cell r="C1697" t="str">
            <v>APOORVA ENTERPRISES</v>
          </cell>
          <cell r="D1697" t="str">
            <v>15</v>
          </cell>
        </row>
        <row r="1698">
          <cell r="A1698" t="str">
            <v>C12463</v>
          </cell>
          <cell r="B1698" t="str">
            <v>Organization</v>
          </cell>
          <cell r="C1698" t="str">
            <v>FIRMENICH AROMATICS (INDIA) PVT. LTD.</v>
          </cell>
          <cell r="D1698" t="str">
            <v>30</v>
          </cell>
        </row>
        <row r="1699">
          <cell r="A1699" t="str">
            <v>C12464</v>
          </cell>
          <cell r="B1699" t="str">
            <v>Organization</v>
          </cell>
          <cell r="C1699" t="str">
            <v>ASHOKA &amp; BROTHERS</v>
          </cell>
          <cell r="D1699" t="str">
            <v>30</v>
          </cell>
        </row>
        <row r="1700">
          <cell r="A1700" t="str">
            <v>C12465</v>
          </cell>
          <cell r="B1700" t="str">
            <v>Organization</v>
          </cell>
          <cell r="C1700" t="str">
            <v>PARAMOUNT AROMACHEM PVT. LTD.</v>
          </cell>
          <cell r="D1700" t="str">
            <v>30</v>
          </cell>
        </row>
        <row r="1701">
          <cell r="A1701" t="str">
            <v>C12467</v>
          </cell>
          <cell r="B1701" t="str">
            <v>Organization</v>
          </cell>
          <cell r="C1701" t="str">
            <v>K.T. KUBAL &amp; CO. PVT. LTD.</v>
          </cell>
          <cell r="D1701" t="str">
            <v>0</v>
          </cell>
        </row>
        <row r="1702">
          <cell r="A1702" t="str">
            <v>C12468</v>
          </cell>
          <cell r="B1702" t="str">
            <v>Organization</v>
          </cell>
          <cell r="C1702" t="str">
            <v>AGROPACK , A/C SYNGENTA INDIA LIMITED</v>
          </cell>
          <cell r="D1702" t="str">
            <v>30</v>
          </cell>
        </row>
        <row r="1703">
          <cell r="A1703" t="str">
            <v>C12469</v>
          </cell>
          <cell r="B1703" t="str">
            <v>Organization</v>
          </cell>
          <cell r="C1703" t="str">
            <v>ALKYL AMINES CHEMICALS LIMITED - KURKUMBH</v>
          </cell>
          <cell r="D1703" t="str">
            <v>30</v>
          </cell>
        </row>
        <row r="1704">
          <cell r="A1704" t="str">
            <v>C12471</v>
          </cell>
          <cell r="B1704" t="str">
            <v>Organization</v>
          </cell>
          <cell r="C1704" t="str">
            <v>LAUGFS LUBRICANTS LIMITED</v>
          </cell>
          <cell r="D1704" t="str">
            <v>0</v>
          </cell>
        </row>
        <row r="1705">
          <cell r="A1705" t="str">
            <v>C12472</v>
          </cell>
          <cell r="B1705" t="str">
            <v>Organization</v>
          </cell>
          <cell r="C1705" t="str">
            <v>DK DRUMS &amp; IRON CO. LTD.</v>
          </cell>
          <cell r="D1705" t="str">
            <v>30</v>
          </cell>
        </row>
        <row r="1706">
          <cell r="A1706" t="str">
            <v>C12475</v>
          </cell>
          <cell r="B1706" t="str">
            <v>Organization</v>
          </cell>
          <cell r="C1706" t="str">
            <v>SIDDHARTHA BHOSALE</v>
          </cell>
          <cell r="D1706" t="str">
            <v>0</v>
          </cell>
        </row>
        <row r="1707">
          <cell r="A1707" t="str">
            <v>C12477</v>
          </cell>
          <cell r="B1707" t="str">
            <v>Organization</v>
          </cell>
          <cell r="C1707" t="str">
            <v>MR. SHAILESH MISTRY</v>
          </cell>
          <cell r="D1707" t="str">
            <v>0</v>
          </cell>
        </row>
        <row r="1708">
          <cell r="A1708" t="str">
            <v>C12479</v>
          </cell>
          <cell r="B1708" t="str">
            <v>Organization</v>
          </cell>
          <cell r="C1708" t="str">
            <v>MR. PATEL</v>
          </cell>
          <cell r="D1708" t="str">
            <v>0</v>
          </cell>
        </row>
        <row r="1709">
          <cell r="A1709" t="str">
            <v>C12480</v>
          </cell>
          <cell r="B1709" t="str">
            <v>Organization</v>
          </cell>
          <cell r="C1709" t="str">
            <v>MR.RAJESH JUTHANI</v>
          </cell>
          <cell r="D1709" t="str">
            <v>0</v>
          </cell>
        </row>
        <row r="1710">
          <cell r="A1710" t="str">
            <v>C12481</v>
          </cell>
          <cell r="B1710" t="str">
            <v>Organization</v>
          </cell>
          <cell r="C1710" t="str">
            <v>TIKI TAR INDUSTRIES INDIA LTD</v>
          </cell>
          <cell r="D1710" t="str">
            <v>0</v>
          </cell>
        </row>
        <row r="1711">
          <cell r="A1711" t="str">
            <v>C12482</v>
          </cell>
          <cell r="B1711" t="str">
            <v>Organization</v>
          </cell>
          <cell r="C1711" t="str">
            <v>PACIFIC CONTINENTAL</v>
          </cell>
          <cell r="D1711" t="str">
            <v>30</v>
          </cell>
        </row>
        <row r="1712">
          <cell r="A1712" t="str">
            <v>C12483</v>
          </cell>
          <cell r="B1712" t="str">
            <v>Organization</v>
          </cell>
          <cell r="C1712" t="str">
            <v>DOW AGROSCIENCES INDIA PVT LTD</v>
          </cell>
          <cell r="D1712" t="str">
            <v>30</v>
          </cell>
        </row>
        <row r="1713">
          <cell r="A1713" t="str">
            <v>C12484</v>
          </cell>
          <cell r="B1713" t="str">
            <v>Organization</v>
          </cell>
          <cell r="C1713" t="str">
            <v>EBULENT PACKAGING PVT LTD</v>
          </cell>
          <cell r="D1713" t="str">
            <v>60</v>
          </cell>
        </row>
        <row r="1714">
          <cell r="A1714" t="str">
            <v>C12485</v>
          </cell>
          <cell r="B1714" t="str">
            <v>Organization</v>
          </cell>
          <cell r="C1714" t="str">
            <v>HINDUSTAN PETROLEUM CORPORATION LTD (MAZGAON)</v>
          </cell>
          <cell r="D1714" t="str">
            <v>30</v>
          </cell>
        </row>
        <row r="1715">
          <cell r="A1715" t="str">
            <v>C12486</v>
          </cell>
          <cell r="B1715" t="str">
            <v>Organization</v>
          </cell>
          <cell r="C1715" t="str">
            <v>LUBECHEM INDUSTRIES</v>
          </cell>
          <cell r="D1715" t="str">
            <v>0</v>
          </cell>
        </row>
        <row r="1716">
          <cell r="A1716" t="str">
            <v>C12487</v>
          </cell>
          <cell r="B1716" t="str">
            <v>Person</v>
          </cell>
          <cell r="C1716" t="str">
            <v>MOHAN MENON</v>
          </cell>
          <cell r="D1716" t="str">
            <v>0</v>
          </cell>
        </row>
        <row r="1717">
          <cell r="A1717" t="str">
            <v>C12488</v>
          </cell>
          <cell r="B1717" t="str">
            <v>Organization</v>
          </cell>
          <cell r="C1717" t="str">
            <v>MOHITE PACKING INDUSTRIES</v>
          </cell>
          <cell r="D1717" t="str">
            <v>0</v>
          </cell>
        </row>
        <row r="1718">
          <cell r="A1718" t="str">
            <v>C12489</v>
          </cell>
          <cell r="B1718" t="str">
            <v>Organization</v>
          </cell>
          <cell r="C1718" t="str">
            <v>P.L.AGRO TECHNOLOGIES LTD</v>
          </cell>
          <cell r="D1718" t="str">
            <v>30</v>
          </cell>
        </row>
        <row r="1719">
          <cell r="A1719" t="str">
            <v>C12490</v>
          </cell>
          <cell r="B1719" t="str">
            <v>Organization</v>
          </cell>
          <cell r="C1719" t="str">
            <v>SHIVA UDYOG BARRELS PVT LTD (PALEJ)</v>
          </cell>
          <cell r="D1719" t="str">
            <v>60</v>
          </cell>
        </row>
        <row r="1720">
          <cell r="A1720" t="str">
            <v>C12491</v>
          </cell>
          <cell r="B1720" t="str">
            <v>Organization</v>
          </cell>
          <cell r="C1720" t="str">
            <v>TRANSMETAL LIMITED</v>
          </cell>
          <cell r="D1720" t="str">
            <v>30</v>
          </cell>
        </row>
        <row r="1721">
          <cell r="A1721" t="str">
            <v>C12492</v>
          </cell>
          <cell r="B1721" t="str">
            <v>Organization</v>
          </cell>
          <cell r="C1721" t="str">
            <v>PEARSON DRUMS &amp; BARRELS P LTD</v>
          </cell>
          <cell r="D1721" t="str">
            <v>90</v>
          </cell>
        </row>
        <row r="1722">
          <cell r="A1722" t="str">
            <v>C12493</v>
          </cell>
          <cell r="B1722" t="str">
            <v>Organization</v>
          </cell>
          <cell r="C1722" t="str">
            <v>AVRA SYNTHESIS PVT LTD</v>
          </cell>
          <cell r="D1722" t="str">
            <v>30</v>
          </cell>
        </row>
        <row r="1723">
          <cell r="A1723" t="str">
            <v>C12494</v>
          </cell>
          <cell r="B1723" t="str">
            <v>Organization</v>
          </cell>
          <cell r="C1723" t="str">
            <v>CONMIX PRO-BUILD INDIA PRIVATE LTD</v>
          </cell>
          <cell r="D1723" t="str">
            <v>0</v>
          </cell>
        </row>
        <row r="1724">
          <cell r="A1724" t="str">
            <v>C12495</v>
          </cell>
          <cell r="B1724" t="str">
            <v>Organization</v>
          </cell>
          <cell r="C1724" t="str">
            <v>DOSHION LIMITED - KATHWADA</v>
          </cell>
          <cell r="D1724" t="str">
            <v>0</v>
          </cell>
        </row>
        <row r="1725">
          <cell r="A1725" t="str">
            <v>C12496</v>
          </cell>
          <cell r="B1725" t="str">
            <v>Organization</v>
          </cell>
          <cell r="C1725" t="str">
            <v>GESHMACK FOOD INGREDIENTS SOLUTION</v>
          </cell>
          <cell r="D1725" t="str">
            <v>0</v>
          </cell>
        </row>
        <row r="1726">
          <cell r="A1726" t="str">
            <v>C12497</v>
          </cell>
          <cell r="B1726" t="str">
            <v>Organization</v>
          </cell>
          <cell r="C1726" t="str">
            <v>HENI CHEMICAL INDUSTRIES</v>
          </cell>
          <cell r="D1726" t="str">
            <v>0</v>
          </cell>
        </row>
        <row r="1727">
          <cell r="A1727" t="str">
            <v>C12498</v>
          </cell>
          <cell r="B1727" t="str">
            <v>Organization</v>
          </cell>
          <cell r="C1727" t="str">
            <v>IDEAL CURES PVT LTD</v>
          </cell>
          <cell r="D1727" t="str">
            <v>0</v>
          </cell>
        </row>
        <row r="1728">
          <cell r="A1728" t="str">
            <v>C12499</v>
          </cell>
          <cell r="B1728" t="str">
            <v>Organization</v>
          </cell>
          <cell r="C1728" t="str">
            <v>KHANDELWAL BIO FERTILIZER</v>
          </cell>
          <cell r="D1728" t="str">
            <v>0</v>
          </cell>
        </row>
        <row r="1729">
          <cell r="A1729" t="str">
            <v>C12500</v>
          </cell>
          <cell r="B1729" t="str">
            <v>Organization</v>
          </cell>
          <cell r="C1729" t="str">
            <v>MOHINI ORGANICS PVT LTD</v>
          </cell>
          <cell r="D1729" t="str">
            <v>30</v>
          </cell>
        </row>
        <row r="1730">
          <cell r="A1730" t="str">
            <v>C12501</v>
          </cell>
          <cell r="B1730" t="str">
            <v>Organization</v>
          </cell>
          <cell r="C1730" t="str">
            <v>NIRJACHEM</v>
          </cell>
          <cell r="D1730" t="str">
            <v>0</v>
          </cell>
        </row>
        <row r="1731">
          <cell r="A1731" t="str">
            <v>C12502</v>
          </cell>
          <cell r="B1731" t="str">
            <v>Organization</v>
          </cell>
          <cell r="C1731" t="str">
            <v>PLATINA OIL FIELD PVT LTD</v>
          </cell>
          <cell r="D1731" t="str">
            <v>0</v>
          </cell>
        </row>
        <row r="1732">
          <cell r="A1732" t="str">
            <v>C12503</v>
          </cell>
          <cell r="B1732" t="str">
            <v>Organization</v>
          </cell>
          <cell r="C1732" t="str">
            <v>SUBODH PETROLEUM PVT LTD</v>
          </cell>
          <cell r="D1732" t="str">
            <v>0</v>
          </cell>
        </row>
        <row r="1733">
          <cell r="A1733" t="str">
            <v>C12504</v>
          </cell>
          <cell r="B1733" t="str">
            <v>Organization</v>
          </cell>
          <cell r="C1733" t="str">
            <v>TASTE MASTER FLAVOURS PRIVATE LTD</v>
          </cell>
          <cell r="D1733" t="str">
            <v>0</v>
          </cell>
        </row>
        <row r="1734">
          <cell r="A1734" t="str">
            <v>C12505</v>
          </cell>
          <cell r="B1734" t="str">
            <v>Organization</v>
          </cell>
          <cell r="C1734" t="str">
            <v>VIRGINIA LUBRICANTS INDIA INC</v>
          </cell>
          <cell r="D1734" t="str">
            <v>0</v>
          </cell>
        </row>
        <row r="1735">
          <cell r="A1735" t="str">
            <v>C12506</v>
          </cell>
          <cell r="B1735" t="str">
            <v>Organization</v>
          </cell>
          <cell r="C1735" t="str">
            <v>SALE OF SAMPLE</v>
          </cell>
          <cell r="D1735" t="str">
            <v>0</v>
          </cell>
        </row>
        <row r="1736">
          <cell r="A1736" t="str">
            <v>C12507</v>
          </cell>
          <cell r="B1736" t="str">
            <v>Organization</v>
          </cell>
          <cell r="C1736" t="str">
            <v>STANLUBES &amp; SPECIALITIES (INDIA) PV</v>
          </cell>
          <cell r="D1736" t="str">
            <v>0</v>
          </cell>
        </row>
        <row r="1737">
          <cell r="A1737" t="str">
            <v>C12508</v>
          </cell>
          <cell r="B1737" t="str">
            <v>Organization</v>
          </cell>
          <cell r="C1737" t="str">
            <v>BHAVYA CONTAINERS &amp; ESTATE COMPANY - V.U.NAGAR</v>
          </cell>
          <cell r="D1737" t="str">
            <v>30</v>
          </cell>
        </row>
        <row r="1738">
          <cell r="A1738" t="str">
            <v>C12509</v>
          </cell>
          <cell r="B1738" t="str">
            <v>Organization</v>
          </cell>
          <cell r="C1738" t="str">
            <v>CHOWGULE CONSTRUCTION CHEMICALS PVT. LTD.</v>
          </cell>
          <cell r="D1738" t="str">
            <v>30</v>
          </cell>
        </row>
        <row r="1739">
          <cell r="A1739" t="str">
            <v>C12510</v>
          </cell>
          <cell r="B1739" t="str">
            <v>Organization</v>
          </cell>
          <cell r="C1739" t="str">
            <v>SHIVAM LUBRICANTS</v>
          </cell>
          <cell r="D1739" t="str">
            <v>30</v>
          </cell>
        </row>
        <row r="1740">
          <cell r="A1740" t="str">
            <v>C12511</v>
          </cell>
          <cell r="B1740" t="str">
            <v>Organization</v>
          </cell>
          <cell r="C1740" t="str">
            <v>LEONID CHEMICALS</v>
          </cell>
          <cell r="D1740" t="str">
            <v>0</v>
          </cell>
        </row>
        <row r="1741">
          <cell r="A1741" t="str">
            <v>C12512</v>
          </cell>
          <cell r="B1741" t="str">
            <v>Organization</v>
          </cell>
          <cell r="C1741" t="str">
            <v>NIPRA PACKAGING PVT. LTD.</v>
          </cell>
          <cell r="D1741" t="str">
            <v>45</v>
          </cell>
        </row>
        <row r="1742">
          <cell r="A1742" t="str">
            <v>C12513</v>
          </cell>
          <cell r="B1742" t="str">
            <v>Organization</v>
          </cell>
          <cell r="C1742" t="str">
            <v>HINDUSTAN COLAS LIMITED (JHANSI)</v>
          </cell>
          <cell r="D1742" t="str">
            <v>0</v>
          </cell>
        </row>
        <row r="1743">
          <cell r="A1743" t="str">
            <v>C12514</v>
          </cell>
          <cell r="B1743" t="str">
            <v>Organization</v>
          </cell>
          <cell r="C1743" t="str">
            <v>COLOSSUS India</v>
          </cell>
          <cell r="D1743" t="str">
            <v>0</v>
          </cell>
        </row>
        <row r="1744">
          <cell r="A1744" t="str">
            <v>C12515</v>
          </cell>
          <cell r="B1744" t="str">
            <v>Organization</v>
          </cell>
          <cell r="C1744" t="str">
            <v>SHALIMAR PAINTS LIMITED</v>
          </cell>
          <cell r="D1744" t="str">
            <v>30</v>
          </cell>
        </row>
        <row r="1745">
          <cell r="A1745" t="str">
            <v>C12516</v>
          </cell>
          <cell r="B1745" t="str">
            <v>Organization</v>
          </cell>
          <cell r="C1745" t="str">
            <v>R R  Oomerbhoy  Pvt Ltd</v>
          </cell>
          <cell r="D1745" t="str">
            <v>0</v>
          </cell>
        </row>
        <row r="1746">
          <cell r="A1746" t="str">
            <v>C12517</v>
          </cell>
          <cell r="B1746" t="str">
            <v>Organization</v>
          </cell>
          <cell r="C1746" t="str">
            <v>MARINE IMPEX</v>
          </cell>
          <cell r="D1746" t="str">
            <v>0</v>
          </cell>
        </row>
        <row r="1747">
          <cell r="A1747" t="str">
            <v>C12518</v>
          </cell>
          <cell r="B1747" t="str">
            <v>Person</v>
          </cell>
          <cell r="C1747" t="str">
            <v>N.S.DHAWLE</v>
          </cell>
          <cell r="D1747" t="str">
            <v>0</v>
          </cell>
        </row>
        <row r="1748">
          <cell r="A1748" t="str">
            <v>C12519</v>
          </cell>
          <cell r="B1748" t="str">
            <v>Organization</v>
          </cell>
          <cell r="C1748" t="str">
            <v>FUCHS LUBRICANTS (INDIA) PVT LTD</v>
          </cell>
          <cell r="D1748" t="str">
            <v>30</v>
          </cell>
        </row>
        <row r="1749">
          <cell r="A1749" t="str">
            <v>C12520</v>
          </cell>
          <cell r="B1749" t="str">
            <v>Organization</v>
          </cell>
          <cell r="C1749" t="str">
            <v>MAHARAJA EXPORT CORPORATION</v>
          </cell>
          <cell r="D1749" t="str">
            <v>0</v>
          </cell>
        </row>
        <row r="1750">
          <cell r="A1750" t="str">
            <v>C12521</v>
          </cell>
          <cell r="B1750" t="str">
            <v>Organization</v>
          </cell>
          <cell r="C1750" t="str">
            <v>KUMAR CONTAINERS PVT.LTD.(ANKLESHWAR)</v>
          </cell>
          <cell r="D1750" t="str">
            <v>60</v>
          </cell>
        </row>
        <row r="1751">
          <cell r="A1751" t="str">
            <v>C12522</v>
          </cell>
          <cell r="B1751" t="str">
            <v>Organization</v>
          </cell>
          <cell r="C1751" t="str">
            <v>SYNERGY SURFACE TECHNOLOGIES</v>
          </cell>
          <cell r="D1751" t="str">
            <v>0</v>
          </cell>
        </row>
        <row r="1752">
          <cell r="A1752" t="str">
            <v>C12523</v>
          </cell>
          <cell r="B1752" t="str">
            <v>Organization</v>
          </cell>
          <cell r="C1752" t="str">
            <v>GENERATION FOUR ENGITECH LIMITED</v>
          </cell>
          <cell r="D1752" t="str">
            <v>0</v>
          </cell>
        </row>
        <row r="1753">
          <cell r="A1753" t="str">
            <v>C12524</v>
          </cell>
          <cell r="B1753" t="str">
            <v>Organization</v>
          </cell>
          <cell r="C1753" t="str">
            <v>AVI-OIL INDIA (P) LTD.</v>
          </cell>
          <cell r="D1753" t="str">
            <v>30</v>
          </cell>
        </row>
        <row r="1754">
          <cell r="A1754" t="str">
            <v>C12525</v>
          </cell>
          <cell r="B1754" t="str">
            <v>Organization</v>
          </cell>
          <cell r="C1754" t="str">
            <v>INDIAN OIL CORPORATION LIMITED</v>
          </cell>
          <cell r="D1754" t="str">
            <v>30</v>
          </cell>
        </row>
        <row r="1755">
          <cell r="A1755" t="str">
            <v>C12526</v>
          </cell>
          <cell r="B1755" t="str">
            <v>Organization</v>
          </cell>
          <cell r="C1755" t="str">
            <v>RICH GRAVISS PRODUCTS P. LTD</v>
          </cell>
          <cell r="D1755" t="str">
            <v>0</v>
          </cell>
        </row>
        <row r="1756">
          <cell r="A1756" t="str">
            <v>C12527</v>
          </cell>
          <cell r="B1756" t="str">
            <v>Organization</v>
          </cell>
          <cell r="C1756" t="str">
            <v>ALTRA PURE CHEM</v>
          </cell>
          <cell r="D1756" t="str">
            <v>1</v>
          </cell>
        </row>
        <row r="1757">
          <cell r="A1757" t="str">
            <v>C12528</v>
          </cell>
          <cell r="B1757" t="str">
            <v>Person</v>
          </cell>
          <cell r="C1757" t="str">
            <v>UMESH PATIL</v>
          </cell>
          <cell r="D1757" t="str">
            <v>0</v>
          </cell>
        </row>
        <row r="1758">
          <cell r="A1758" t="str">
            <v>C12529</v>
          </cell>
          <cell r="B1758" t="str">
            <v>Organization</v>
          </cell>
          <cell r="C1758" t="str">
            <v>ALJOMAIH AND SHELL LUBRICATING OIL COMPANY LIMITED</v>
          </cell>
          <cell r="D1758" t="str">
            <v>15</v>
          </cell>
        </row>
        <row r="1759">
          <cell r="A1759" t="str">
            <v>C12530</v>
          </cell>
          <cell r="B1759" t="str">
            <v>Organization</v>
          </cell>
          <cell r="C1759" t="str">
            <v>QUASAR ENTERPISES</v>
          </cell>
          <cell r="D1759" t="str">
            <v>0</v>
          </cell>
        </row>
        <row r="1760">
          <cell r="A1760" t="str">
            <v>C12531</v>
          </cell>
          <cell r="B1760" t="str">
            <v>Organization</v>
          </cell>
          <cell r="C1760" t="str">
            <v>PRASHANT DYE CHEM INDUSTRIES</v>
          </cell>
          <cell r="D1760" t="str">
            <v>0</v>
          </cell>
        </row>
        <row r="1761">
          <cell r="A1761" t="str">
            <v>C12532</v>
          </cell>
          <cell r="B1761" t="str">
            <v>Organization</v>
          </cell>
          <cell r="C1761" t="str">
            <v>PINNACLE COATE - INKS PVT LTD</v>
          </cell>
          <cell r="D1761" t="str">
            <v>0</v>
          </cell>
        </row>
        <row r="1762">
          <cell r="A1762" t="str">
            <v>C12533</v>
          </cell>
          <cell r="B1762" t="str">
            <v>Organization</v>
          </cell>
          <cell r="C1762" t="str">
            <v>GREIF EASTERN PACKAGING Pte Ltd</v>
          </cell>
          <cell r="D1762" t="str">
            <v>0</v>
          </cell>
        </row>
        <row r="1763">
          <cell r="A1763" t="str">
            <v>C12534</v>
          </cell>
          <cell r="B1763" t="str">
            <v>Organization</v>
          </cell>
          <cell r="C1763" t="str">
            <v>MANSAA STEELS</v>
          </cell>
          <cell r="D1763" t="str">
            <v>1</v>
          </cell>
        </row>
        <row r="1764">
          <cell r="A1764" t="str">
            <v>C12535</v>
          </cell>
          <cell r="B1764" t="str">
            <v>Organization</v>
          </cell>
          <cell r="C1764" t="str">
            <v>ULTRA INTERNATIONAL LIMITED</v>
          </cell>
          <cell r="D1764" t="str">
            <v>30</v>
          </cell>
        </row>
        <row r="1765">
          <cell r="A1765" t="str">
            <v>C12536</v>
          </cell>
          <cell r="B1765" t="str">
            <v>Organization</v>
          </cell>
          <cell r="C1765" t="str">
            <v>JAY CHEMICAL IND. LTD - UNIT V</v>
          </cell>
          <cell r="D1765" t="str">
            <v>0</v>
          </cell>
        </row>
        <row r="1766">
          <cell r="A1766" t="str">
            <v>C12537</v>
          </cell>
          <cell r="B1766" t="str">
            <v>Organization</v>
          </cell>
          <cell r="C1766" t="str">
            <v>DESMO EXPORTS LIMITED</v>
          </cell>
          <cell r="D1766" t="str">
            <v>30</v>
          </cell>
        </row>
        <row r="1767">
          <cell r="A1767" t="str">
            <v>C12538</v>
          </cell>
          <cell r="B1767" t="str">
            <v>Person</v>
          </cell>
          <cell r="C1767" t="str">
            <v>LAXMI PROCESSES</v>
          </cell>
          <cell r="D1767" t="str">
            <v>0</v>
          </cell>
        </row>
        <row r="1768">
          <cell r="A1768" t="str">
            <v>C12539</v>
          </cell>
          <cell r="B1768" t="str">
            <v>Organization</v>
          </cell>
          <cell r="C1768" t="str">
            <v>ALA CHEMICALS</v>
          </cell>
          <cell r="D1768" t="str">
            <v>0</v>
          </cell>
        </row>
        <row r="1769">
          <cell r="A1769" t="str">
            <v>C12540</v>
          </cell>
          <cell r="B1769" t="str">
            <v>Organization</v>
          </cell>
          <cell r="C1769" t="str">
            <v>MELONG SPECIALLITY CHEMICALS PRIVATE LIMITED</v>
          </cell>
          <cell r="D1769" t="str">
            <v>0</v>
          </cell>
        </row>
        <row r="1770">
          <cell r="A1770" t="str">
            <v>C12541</v>
          </cell>
          <cell r="B1770" t="str">
            <v>Organization</v>
          </cell>
          <cell r="C1770" t="str">
            <v>BALMER LAWRIE &amp; CO.LTD,CHITTOOR</v>
          </cell>
          <cell r="D1770" t="str">
            <v>45</v>
          </cell>
        </row>
        <row r="1771">
          <cell r="A1771" t="str">
            <v>C12542</v>
          </cell>
          <cell r="B1771" t="str">
            <v>Organization</v>
          </cell>
          <cell r="C1771" t="str">
            <v>GEKATEK INDIA PVT. LTD.</v>
          </cell>
          <cell r="D1771" t="str">
            <v>7</v>
          </cell>
        </row>
        <row r="1772">
          <cell r="A1772" t="str">
            <v>C12543</v>
          </cell>
          <cell r="B1772" t="str">
            <v>Organization</v>
          </cell>
          <cell r="C1772" t="str">
            <v>YAMUNA LUBRICANTS LTD</v>
          </cell>
          <cell r="D1772" t="str">
            <v>0</v>
          </cell>
        </row>
        <row r="1773">
          <cell r="A1773" t="str">
            <v>C12544</v>
          </cell>
          <cell r="B1773" t="str">
            <v>Organization</v>
          </cell>
          <cell r="C1773" t="str">
            <v>KARTA RAM VINOD KUMAR</v>
          </cell>
          <cell r="D1773" t="str">
            <v>0</v>
          </cell>
        </row>
        <row r="1774">
          <cell r="A1774" t="str">
            <v>c12545</v>
          </cell>
          <cell r="B1774" t="str">
            <v>Organization</v>
          </cell>
          <cell r="C1774" t="str">
            <v>PENSOL INDUSTRIES LTD</v>
          </cell>
          <cell r="D1774" t="str">
            <v>15</v>
          </cell>
        </row>
        <row r="1775">
          <cell r="A1775" t="str">
            <v>C12546</v>
          </cell>
          <cell r="B1775" t="str">
            <v>Organization</v>
          </cell>
          <cell r="C1775" t="str">
            <v>PINNACLE SAND</v>
          </cell>
          <cell r="D1775" t="str">
            <v>0</v>
          </cell>
        </row>
        <row r="1776">
          <cell r="A1776" t="str">
            <v>C12547</v>
          </cell>
          <cell r="B1776" t="str">
            <v>Organization</v>
          </cell>
          <cell r="C1776" t="str">
            <v>HINDUSTAN PETROLEUM CORPN. LTD. - SILVASSA</v>
          </cell>
          <cell r="D1776" t="str">
            <v>30</v>
          </cell>
        </row>
        <row r="1777">
          <cell r="A1777" t="str">
            <v>C12548</v>
          </cell>
          <cell r="B1777" t="str">
            <v>Organization</v>
          </cell>
          <cell r="C1777" t="str">
            <v>SUPARNA CHEMICALS LTD.</v>
          </cell>
          <cell r="D1777" t="str">
            <v>7</v>
          </cell>
        </row>
        <row r="1778">
          <cell r="A1778" t="str">
            <v>C12549</v>
          </cell>
          <cell r="B1778" t="str">
            <v>Organization</v>
          </cell>
          <cell r="C1778" t="str">
            <v>EXON LABORATORIES PVT.LTD.</v>
          </cell>
          <cell r="D1778" t="str">
            <v>30</v>
          </cell>
        </row>
        <row r="1779">
          <cell r="A1779" t="str">
            <v>C12550</v>
          </cell>
          <cell r="B1779" t="str">
            <v>Organization</v>
          </cell>
          <cell r="C1779" t="str">
            <v>UNICORN PETROLEUM INDUSTRIES LTD.</v>
          </cell>
          <cell r="D1779" t="str">
            <v>15</v>
          </cell>
        </row>
        <row r="1780">
          <cell r="A1780" t="str">
            <v>C12551</v>
          </cell>
          <cell r="B1780" t="str">
            <v>Organization</v>
          </cell>
          <cell r="C1780" t="str">
            <v>ASAR LUBRICANTS PVT. LTD.</v>
          </cell>
          <cell r="D1780" t="str">
            <v>0</v>
          </cell>
        </row>
        <row r="1781">
          <cell r="A1781" t="str">
            <v>C12552</v>
          </cell>
          <cell r="B1781" t="str">
            <v>Organization</v>
          </cell>
          <cell r="C1781" t="str">
            <v>SIMBA INTERNATIONAL</v>
          </cell>
          <cell r="D1781" t="str">
            <v>15</v>
          </cell>
        </row>
        <row r="1782">
          <cell r="A1782" t="str">
            <v>C12553</v>
          </cell>
          <cell r="B1782" t="str">
            <v>Organization</v>
          </cell>
          <cell r="C1782" t="str">
            <v>SRF LIMITED</v>
          </cell>
          <cell r="D1782" t="str">
            <v>30</v>
          </cell>
        </row>
        <row r="1783">
          <cell r="A1783" t="str">
            <v>C12554</v>
          </cell>
          <cell r="B1783" t="str">
            <v>Organization</v>
          </cell>
          <cell r="C1783" t="str">
            <v>VB MEDICARE PVT LTD</v>
          </cell>
          <cell r="D1783" t="str">
            <v>0</v>
          </cell>
        </row>
        <row r="1784">
          <cell r="A1784" t="str">
            <v>C12555</v>
          </cell>
          <cell r="B1784" t="str">
            <v>Organization</v>
          </cell>
          <cell r="C1784" t="str">
            <v>INDIAN INSTITUTE OF PACKAGING</v>
          </cell>
          <cell r="D1784" t="str">
            <v>15</v>
          </cell>
        </row>
        <row r="1785">
          <cell r="A1785" t="str">
            <v>C12556</v>
          </cell>
          <cell r="B1785" t="str">
            <v>Organization</v>
          </cell>
          <cell r="C1785" t="str">
            <v>AARTEE CONTAINERS, BARODA</v>
          </cell>
          <cell r="D1785" t="str">
            <v>15</v>
          </cell>
        </row>
        <row r="1786">
          <cell r="A1786" t="str">
            <v>C12557</v>
          </cell>
          <cell r="B1786" t="str">
            <v>Organization</v>
          </cell>
          <cell r="C1786" t="str">
            <v>RAZON ENGINEERING COMPANY PRIVATE LIMITED</v>
          </cell>
          <cell r="D1786" t="str">
            <v>0</v>
          </cell>
        </row>
        <row r="1787">
          <cell r="A1787" t="str">
            <v>C12558</v>
          </cell>
          <cell r="B1787" t="str">
            <v>Organization</v>
          </cell>
          <cell r="C1787" t="str">
            <v>PROTOCHEM INDUSTRIES PVT.LTD.</v>
          </cell>
          <cell r="D1787" t="str">
            <v>30</v>
          </cell>
        </row>
        <row r="1788">
          <cell r="A1788" t="str">
            <v>C12559</v>
          </cell>
          <cell r="B1788" t="str">
            <v>Organization</v>
          </cell>
          <cell r="C1788" t="str">
            <v>TIRUPATI TRADERS</v>
          </cell>
          <cell r="D1788" t="str">
            <v>7</v>
          </cell>
        </row>
        <row r="1789">
          <cell r="A1789" t="str">
            <v>C12560</v>
          </cell>
          <cell r="B1789" t="str">
            <v>Organization</v>
          </cell>
          <cell r="C1789" t="str">
            <v>GUJARAT FLUOROCHEMICALS LTD.</v>
          </cell>
          <cell r="D1789" t="str">
            <v>30</v>
          </cell>
        </row>
        <row r="1790">
          <cell r="A1790" t="str">
            <v>C12561</v>
          </cell>
          <cell r="B1790" t="str">
            <v>Organization</v>
          </cell>
          <cell r="C1790" t="str">
            <v>BHARAT INSECTICIDES LIMITED</v>
          </cell>
          <cell r="D1790" t="str">
            <v>30</v>
          </cell>
        </row>
        <row r="1791">
          <cell r="A1791" t="str">
            <v>C12562</v>
          </cell>
          <cell r="B1791" t="str">
            <v>Organization</v>
          </cell>
          <cell r="C1791" t="str">
            <v>VITAL THERAPEUITCS &amp; FORMULATIONS PVT LTD,</v>
          </cell>
          <cell r="D1791" t="str">
            <v>1</v>
          </cell>
        </row>
        <row r="1792">
          <cell r="A1792" t="str">
            <v>C12563</v>
          </cell>
          <cell r="B1792" t="str">
            <v>Organization</v>
          </cell>
          <cell r="C1792" t="str">
            <v>VITAL THERAPEUITCS PVT LTD</v>
          </cell>
          <cell r="D1792" t="str">
            <v>0</v>
          </cell>
        </row>
        <row r="1793">
          <cell r="A1793" t="str">
            <v>C12564</v>
          </cell>
          <cell r="B1793" t="str">
            <v>Organization</v>
          </cell>
          <cell r="C1793" t="str">
            <v>RECOCHEM (INDIA) PRIVATE LIMITED</v>
          </cell>
          <cell r="D1793" t="str">
            <v>1</v>
          </cell>
        </row>
        <row r="1794">
          <cell r="A1794" t="str">
            <v>C12565</v>
          </cell>
          <cell r="B1794" t="str">
            <v>Organization</v>
          </cell>
          <cell r="C1794" t="str">
            <v>C. P. INTERNATIONAL</v>
          </cell>
          <cell r="D1794" t="str">
            <v>7</v>
          </cell>
        </row>
        <row r="1795">
          <cell r="A1795" t="str">
            <v>C12566</v>
          </cell>
          <cell r="B1795" t="str">
            <v>Organization</v>
          </cell>
          <cell r="C1795" t="str">
            <v>LEO ENTERPRISES</v>
          </cell>
          <cell r="D1795" t="str">
            <v>0</v>
          </cell>
        </row>
        <row r="1796">
          <cell r="A1796" t="str">
            <v>C12567</v>
          </cell>
          <cell r="B1796" t="str">
            <v>Organization</v>
          </cell>
          <cell r="C1796" t="str">
            <v>CHANDULAL T PARIKH</v>
          </cell>
          <cell r="D1796" t="str">
            <v>0</v>
          </cell>
        </row>
        <row r="1797">
          <cell r="A1797" t="str">
            <v>C12568</v>
          </cell>
          <cell r="B1797" t="str">
            <v>Organization</v>
          </cell>
          <cell r="C1797" t="str">
            <v>CEMENTONE [INDIA] PVT.LTD</v>
          </cell>
          <cell r="D1797" t="str">
            <v>0</v>
          </cell>
        </row>
        <row r="1798">
          <cell r="A1798" t="str">
            <v>C12569</v>
          </cell>
          <cell r="B1798" t="str">
            <v>Organization</v>
          </cell>
          <cell r="C1798" t="str">
            <v>SUNNIAREBIA MASJID</v>
          </cell>
          <cell r="D1798" t="str">
            <v>0</v>
          </cell>
        </row>
        <row r="1799">
          <cell r="A1799" t="str">
            <v>c12570</v>
          </cell>
          <cell r="B1799" t="str">
            <v>Organization</v>
          </cell>
          <cell r="C1799" t="str">
            <v>BIJAYA DRUMS PVT.LTD.</v>
          </cell>
          <cell r="D1799" t="str">
            <v>30</v>
          </cell>
        </row>
        <row r="1800">
          <cell r="A1800" t="str">
            <v>C12571</v>
          </cell>
          <cell r="B1800" t="str">
            <v>Organization</v>
          </cell>
          <cell r="C1800" t="str">
            <v>MELOG SPECIALITIES CHEMICALS PVT LTD</v>
          </cell>
          <cell r="D1800" t="str">
            <v>45</v>
          </cell>
        </row>
        <row r="1801">
          <cell r="A1801" t="str">
            <v>C12572</v>
          </cell>
          <cell r="B1801" t="str">
            <v>Organization</v>
          </cell>
          <cell r="C1801" t="str">
            <v>SUPER PAINTS PVT.LTD.</v>
          </cell>
          <cell r="D1801" t="str">
            <v>7</v>
          </cell>
        </row>
        <row r="1802">
          <cell r="A1802" t="str">
            <v>C12573</v>
          </cell>
          <cell r="B1802" t="str">
            <v>Organization</v>
          </cell>
          <cell r="C1802" t="str">
            <v>VAIDIKA POLYFIX PVT.LTD.</v>
          </cell>
          <cell r="D1802" t="str">
            <v>7</v>
          </cell>
        </row>
        <row r="1803">
          <cell r="A1803" t="str">
            <v>C12574</v>
          </cell>
          <cell r="B1803" t="str">
            <v>Organization</v>
          </cell>
          <cell r="C1803" t="str">
            <v>CONSTRUWELL INDUSTRIES</v>
          </cell>
          <cell r="D1803" t="str">
            <v>0</v>
          </cell>
        </row>
        <row r="1804">
          <cell r="A1804" t="str">
            <v>C12575</v>
          </cell>
          <cell r="B1804" t="str">
            <v>Organization</v>
          </cell>
          <cell r="C1804" t="str">
            <v>AMAFHH ENTERPRISES</v>
          </cell>
          <cell r="D1804" t="str">
            <v>1</v>
          </cell>
        </row>
        <row r="1805">
          <cell r="A1805" t="str">
            <v>C12576</v>
          </cell>
          <cell r="B1805" t="str">
            <v>Organization</v>
          </cell>
          <cell r="C1805" t="str">
            <v>GREEN HORN CORPORATION</v>
          </cell>
          <cell r="D1805" t="str">
            <v>0</v>
          </cell>
        </row>
        <row r="1806">
          <cell r="A1806" t="str">
            <v>C12577</v>
          </cell>
          <cell r="B1806" t="str">
            <v>Organization</v>
          </cell>
          <cell r="C1806" t="str">
            <v>KINOL LUBES PVT.LTD.</v>
          </cell>
          <cell r="D1806" t="str">
            <v>0</v>
          </cell>
        </row>
        <row r="1807">
          <cell r="A1807" t="str">
            <v>C12578</v>
          </cell>
          <cell r="B1807" t="str">
            <v>Organization</v>
          </cell>
          <cell r="C1807" t="str">
            <v>BURHANI STEEL CORPORATION</v>
          </cell>
          <cell r="D1807" t="str">
            <v>1</v>
          </cell>
        </row>
        <row r="1808">
          <cell r="A1808" t="str">
            <v>C12579</v>
          </cell>
          <cell r="B1808" t="str">
            <v>Organization</v>
          </cell>
          <cell r="C1808" t="str">
            <v>BALMER LAWRIE &amp; CO.LTD., GREASE CHENNAI</v>
          </cell>
          <cell r="D1808" t="str">
            <v>45</v>
          </cell>
        </row>
        <row r="1809">
          <cell r="A1809" t="str">
            <v>C12580</v>
          </cell>
          <cell r="B1809" t="str">
            <v>Organization</v>
          </cell>
          <cell r="C1809" t="str">
            <v>CIIF LUBRICANTS PVT.LTD.</v>
          </cell>
          <cell r="D1809" t="str">
            <v>15</v>
          </cell>
        </row>
        <row r="1810">
          <cell r="A1810" t="str">
            <v>C12581</v>
          </cell>
          <cell r="B1810" t="str">
            <v>Organization</v>
          </cell>
          <cell r="C1810" t="str">
            <v>FLEETGUARD FILTERS PVT. LTD.</v>
          </cell>
          <cell r="D1810" t="str">
            <v>15</v>
          </cell>
        </row>
        <row r="1811">
          <cell r="A1811" t="str">
            <v>C12582</v>
          </cell>
          <cell r="B1811" t="str">
            <v>Organization</v>
          </cell>
          <cell r="C1811" t="str">
            <v>GARGI HUTTENES ALBERTUS PVT. LTD.</v>
          </cell>
          <cell r="D1811" t="str">
            <v>30</v>
          </cell>
        </row>
        <row r="1812">
          <cell r="A1812" t="str">
            <v>c12583</v>
          </cell>
          <cell r="B1812" t="str">
            <v>Organization</v>
          </cell>
          <cell r="C1812" t="str">
            <v>ELECTRONIC DEVICES WORLDWIDE PVT. LTD.</v>
          </cell>
          <cell r="D1812" t="str">
            <v>1</v>
          </cell>
        </row>
        <row r="1813">
          <cell r="A1813" t="str">
            <v>C12584</v>
          </cell>
          <cell r="B1813" t="str">
            <v>Organization</v>
          </cell>
          <cell r="C1813" t="str">
            <v>ARIES INDUSTRIAL CORPORATION</v>
          </cell>
          <cell r="D1813" t="str">
            <v>0</v>
          </cell>
        </row>
        <row r="1814">
          <cell r="A1814" t="str">
            <v>C12585</v>
          </cell>
          <cell r="B1814" t="str">
            <v>Organization</v>
          </cell>
          <cell r="C1814" t="str">
            <v>MEHER PETRO CHEM PVT. LTD.</v>
          </cell>
          <cell r="D1814" t="str">
            <v>1</v>
          </cell>
        </row>
        <row r="1815">
          <cell r="A1815" t="str">
            <v>C12586</v>
          </cell>
          <cell r="B1815" t="str">
            <v>Organization</v>
          </cell>
          <cell r="C1815" t="str">
            <v>K.T. KUBAL AND COMPANY PVT. LTD.</v>
          </cell>
          <cell r="D1815" t="str">
            <v>7</v>
          </cell>
        </row>
        <row r="1816">
          <cell r="A1816" t="str">
            <v>C12587</v>
          </cell>
          <cell r="B1816" t="str">
            <v>Organization</v>
          </cell>
          <cell r="C1816" t="str">
            <v>SP CONCARE PVT LTD</v>
          </cell>
          <cell r="D1816" t="str">
            <v>0</v>
          </cell>
        </row>
        <row r="1817">
          <cell r="A1817" t="str">
            <v>C12588</v>
          </cell>
          <cell r="B1817" t="str">
            <v>Organization</v>
          </cell>
          <cell r="C1817" t="str">
            <v>CHEMTROL INDUSTRIES LTD</v>
          </cell>
          <cell r="D1817" t="str">
            <v>0</v>
          </cell>
        </row>
        <row r="1818">
          <cell r="A1818" t="str">
            <v>C12589</v>
          </cell>
          <cell r="B1818" t="str">
            <v>Organization</v>
          </cell>
          <cell r="C1818" t="str">
            <v>SAREX OVERSEAS</v>
          </cell>
          <cell r="D1818" t="str">
            <v>0</v>
          </cell>
        </row>
        <row r="1819">
          <cell r="A1819" t="str">
            <v>C12590</v>
          </cell>
          <cell r="B1819" t="str">
            <v>Organization</v>
          </cell>
          <cell r="C1819" t="str">
            <v>CONMIX PRO-BUILD INDIA PVT.LTD</v>
          </cell>
          <cell r="D1819" t="str">
            <v>0</v>
          </cell>
        </row>
        <row r="1820">
          <cell r="A1820" t="str">
            <v>C12591</v>
          </cell>
          <cell r="B1820" t="str">
            <v>Organization</v>
          </cell>
          <cell r="C1820" t="str">
            <v>DYECHEM INTERNATIONAL PVT LTD.</v>
          </cell>
          <cell r="D1820" t="str">
            <v>0</v>
          </cell>
        </row>
        <row r="1821">
          <cell r="A1821" t="str">
            <v>C12592</v>
          </cell>
          <cell r="B1821" t="str">
            <v>Organization</v>
          </cell>
          <cell r="C1821" t="str">
            <v>KUBO CHEMICALS PVT. LTD.</v>
          </cell>
          <cell r="D1821" t="str">
            <v>30</v>
          </cell>
        </row>
        <row r="1822">
          <cell r="A1822" t="str">
            <v>C12593</v>
          </cell>
          <cell r="B1822" t="str">
            <v>Organization</v>
          </cell>
          <cell r="C1822" t="str">
            <v>R. C. TRADING COMPANY</v>
          </cell>
          <cell r="D1822" t="str">
            <v>1</v>
          </cell>
        </row>
        <row r="1823">
          <cell r="A1823" t="str">
            <v>C12594</v>
          </cell>
          <cell r="B1823" t="str">
            <v>Organization</v>
          </cell>
          <cell r="C1823" t="str">
            <v>VIDYA PETROLEUM INDIA PVT LTD</v>
          </cell>
          <cell r="D1823" t="str">
            <v>0</v>
          </cell>
        </row>
        <row r="1824">
          <cell r="A1824" t="str">
            <v>C12595</v>
          </cell>
          <cell r="B1824" t="str">
            <v>Organization</v>
          </cell>
          <cell r="C1824" t="str">
            <v>SANJEEV STEEL DRUMS</v>
          </cell>
          <cell r="D1824" t="str">
            <v>30</v>
          </cell>
        </row>
        <row r="1825">
          <cell r="A1825" t="str">
            <v>C12596</v>
          </cell>
          <cell r="B1825" t="str">
            <v>Organization</v>
          </cell>
          <cell r="C1825" t="str">
            <v>KONVERTOR PACKAGING SOLUTIONS PVT.LTD.</v>
          </cell>
          <cell r="D1825" t="str">
            <v>30</v>
          </cell>
        </row>
        <row r="1826">
          <cell r="A1826" t="str">
            <v>C12597</v>
          </cell>
          <cell r="B1826" t="str">
            <v>Organization</v>
          </cell>
          <cell r="C1826" t="str">
            <v>GAMMA COATINGS PVT. LTD</v>
          </cell>
          <cell r="D1826" t="str">
            <v>0</v>
          </cell>
        </row>
        <row r="1827">
          <cell r="A1827" t="str">
            <v>C12598</v>
          </cell>
          <cell r="B1827" t="str">
            <v>Organization</v>
          </cell>
          <cell r="C1827" t="str">
            <v>MICOLUBE INDIA LIMITED</v>
          </cell>
          <cell r="D1827" t="str">
            <v>0</v>
          </cell>
        </row>
        <row r="1828">
          <cell r="A1828" t="str">
            <v>C12599</v>
          </cell>
          <cell r="B1828" t="str">
            <v>Organization</v>
          </cell>
          <cell r="C1828" t="str">
            <v>SRI SURYA CHAKRA AGRO PRODUCTS PVT. LTD.</v>
          </cell>
          <cell r="D1828" t="str">
            <v>0</v>
          </cell>
        </row>
        <row r="1829">
          <cell r="A1829" t="str">
            <v>C12600</v>
          </cell>
          <cell r="B1829" t="str">
            <v>Organization</v>
          </cell>
          <cell r="C1829" t="str">
            <v>ELOFIC INDUSTRIES LTD.</v>
          </cell>
          <cell r="D1829" t="str">
            <v>0</v>
          </cell>
        </row>
        <row r="1830">
          <cell r="A1830" t="str">
            <v>c12601</v>
          </cell>
          <cell r="B1830" t="str">
            <v>Organization</v>
          </cell>
          <cell r="C1830" t="str">
            <v>Taloja Petrochemicals Pvt.Ltd.</v>
          </cell>
          <cell r="D1830" t="str">
            <v>30</v>
          </cell>
        </row>
        <row r="1831">
          <cell r="A1831" t="str">
            <v>C12602</v>
          </cell>
          <cell r="B1831" t="str">
            <v>Organization</v>
          </cell>
          <cell r="C1831" t="str">
            <v>GREENLEAF EXTRACTIONS PVT LTD</v>
          </cell>
          <cell r="D1831" t="str">
            <v>0</v>
          </cell>
        </row>
        <row r="1832">
          <cell r="A1832" t="str">
            <v>C12603</v>
          </cell>
          <cell r="B1832" t="str">
            <v>Organization</v>
          </cell>
          <cell r="C1832" t="str">
            <v>VIGIROM CHEM PVT.LTD.,BANGALORE</v>
          </cell>
          <cell r="D1832" t="str">
            <v>7</v>
          </cell>
        </row>
        <row r="1833">
          <cell r="A1833" t="str">
            <v>C12604</v>
          </cell>
          <cell r="B1833" t="str">
            <v>Organization</v>
          </cell>
          <cell r="C1833" t="str">
            <v>BHARAT RASAYAN LIMITED (DAHEJ)</v>
          </cell>
          <cell r="D1833" t="str">
            <v>30</v>
          </cell>
        </row>
        <row r="1834">
          <cell r="A1834" t="str">
            <v>C12605</v>
          </cell>
          <cell r="B1834" t="str">
            <v>Organization</v>
          </cell>
          <cell r="C1834" t="str">
            <v>CRYSTAL CORPORATION</v>
          </cell>
          <cell r="D1834" t="str">
            <v>1</v>
          </cell>
        </row>
        <row r="1835">
          <cell r="A1835" t="str">
            <v>C12606</v>
          </cell>
          <cell r="B1835" t="str">
            <v>Organization</v>
          </cell>
          <cell r="C1835" t="str">
            <v>HUNTSMAN INTERNATIONAL (I) PVT. LTD,CHAKAN</v>
          </cell>
          <cell r="D1835" t="str">
            <v>60</v>
          </cell>
        </row>
        <row r="1836">
          <cell r="A1836" t="str">
            <v>C12607</v>
          </cell>
          <cell r="B1836" t="str">
            <v>Organization</v>
          </cell>
          <cell r="C1836" t="str">
            <v>MULTICHEM INDUSTRIES</v>
          </cell>
          <cell r="D1836" t="str">
            <v>30</v>
          </cell>
        </row>
        <row r="1837">
          <cell r="A1837" t="str">
            <v>C12608</v>
          </cell>
          <cell r="B1837" t="str">
            <v>Organization</v>
          </cell>
          <cell r="C1837" t="str">
            <v>PAN ASIA PETROLEUM PVT. LTD. A/C. CHEMOLEUMS INDIA PVT. LTD.</v>
          </cell>
          <cell r="D1837" t="str">
            <v>30</v>
          </cell>
        </row>
        <row r="1838">
          <cell r="A1838" t="str">
            <v>C12609</v>
          </cell>
          <cell r="B1838" t="str">
            <v>Organization</v>
          </cell>
          <cell r="C1838" t="str">
            <v>ADARSH PLANT PROTECT LIMITED,V.UDYOGNAGAR</v>
          </cell>
          <cell r="D1838" t="str">
            <v>60</v>
          </cell>
        </row>
        <row r="1839">
          <cell r="A1839" t="str">
            <v>C12610</v>
          </cell>
          <cell r="B1839" t="str">
            <v>Organization</v>
          </cell>
          <cell r="C1839" t="str">
            <v>CADILA PHARMACEUTICALS LTD (ANKLESHWAR)</v>
          </cell>
          <cell r="D1839" t="str">
            <v>30</v>
          </cell>
        </row>
        <row r="1840">
          <cell r="A1840" t="str">
            <v>C12611</v>
          </cell>
          <cell r="B1840" t="str">
            <v>Organization</v>
          </cell>
          <cell r="C1840" t="str">
            <v>TIN BOX COMPANY (BHIWADI)</v>
          </cell>
          <cell r="D1840" t="str">
            <v>90</v>
          </cell>
        </row>
        <row r="1841">
          <cell r="A1841" t="str">
            <v>C12612</v>
          </cell>
          <cell r="B1841" t="str">
            <v>Organization</v>
          </cell>
          <cell r="C1841" t="str">
            <v>BOSHKEH SAZI FOODLAD SALAFCHEGAN</v>
          </cell>
          <cell r="D1841" t="str">
            <v>45</v>
          </cell>
        </row>
        <row r="1842">
          <cell r="A1842" t="str">
            <v>C12613</v>
          </cell>
          <cell r="B1842" t="str">
            <v>Organization</v>
          </cell>
          <cell r="C1842" t="str">
            <v>BHAGWATI FERRO METALS PVT. LTD.</v>
          </cell>
          <cell r="D1842" t="str">
            <v>1</v>
          </cell>
        </row>
        <row r="1843">
          <cell r="A1843" t="str">
            <v>C12614</v>
          </cell>
          <cell r="B1843" t="str">
            <v>Organization</v>
          </cell>
          <cell r="C1843" t="str">
            <v>PKM FINE FOODS</v>
          </cell>
          <cell r="D1843" t="str">
            <v>0</v>
          </cell>
        </row>
        <row r="1844">
          <cell r="A1844" t="str">
            <v>C12615</v>
          </cell>
          <cell r="B1844" t="str">
            <v>Organization</v>
          </cell>
          <cell r="C1844" t="str">
            <v>GUJARAT CONTAINERS LTD., BHARUCH</v>
          </cell>
          <cell r="D1844" t="str">
            <v>60</v>
          </cell>
        </row>
        <row r="1845">
          <cell r="A1845" t="str">
            <v>C12616</v>
          </cell>
          <cell r="B1845" t="str">
            <v>Organization</v>
          </cell>
          <cell r="C1845" t="str">
            <v>ARTECO COOLANTS INDIA PVT LTD</v>
          </cell>
          <cell r="D1845" t="str">
            <v>30</v>
          </cell>
        </row>
        <row r="1846">
          <cell r="A1846" t="str">
            <v>C12617</v>
          </cell>
          <cell r="B1846" t="str">
            <v>Organization</v>
          </cell>
          <cell r="C1846" t="str">
            <v>VISCOL LUBEX (INDIA) PRIVATE LIMITED</v>
          </cell>
          <cell r="D1846" t="str">
            <v>0</v>
          </cell>
        </row>
        <row r="1847">
          <cell r="A1847" t="str">
            <v>C12618</v>
          </cell>
          <cell r="B1847" t="str">
            <v>Organization</v>
          </cell>
          <cell r="C1847" t="str">
            <v>MHALASA TECHSOL</v>
          </cell>
          <cell r="D1847" t="str">
            <v>30</v>
          </cell>
        </row>
        <row r="1848">
          <cell r="A1848" t="str">
            <v>C12619</v>
          </cell>
          <cell r="B1848" t="str">
            <v>Organization</v>
          </cell>
          <cell r="C1848" t="str">
            <v>M&amp;M ENGINEERS</v>
          </cell>
          <cell r="D1848" t="str">
            <v>30</v>
          </cell>
        </row>
        <row r="1849">
          <cell r="A1849" t="str">
            <v>C12620</v>
          </cell>
          <cell r="B1849" t="str">
            <v>Organization</v>
          </cell>
          <cell r="C1849" t="str">
            <v>INDIAN INDUSTRIES</v>
          </cell>
          <cell r="D1849" t="str">
            <v>7</v>
          </cell>
        </row>
        <row r="1850">
          <cell r="A1850" t="str">
            <v>C12621</v>
          </cell>
          <cell r="B1850" t="str">
            <v>Organization</v>
          </cell>
          <cell r="C1850" t="str">
            <v>RESWI</v>
          </cell>
          <cell r="D1850" t="str">
            <v>0</v>
          </cell>
        </row>
        <row r="1851">
          <cell r="A1851" t="str">
            <v>C12622</v>
          </cell>
          <cell r="B1851" t="str">
            <v>Organization</v>
          </cell>
          <cell r="C1851" t="str">
            <v>K S INCTECH PVT LTD</v>
          </cell>
          <cell r="D1851" t="str">
            <v>30</v>
          </cell>
        </row>
        <row r="1852">
          <cell r="A1852" t="str">
            <v>C12622_044</v>
          </cell>
          <cell r="B1852" t="str">
            <v>Organization</v>
          </cell>
          <cell r="C1852" t="str">
            <v>K S INTECH PVT LTD (CLOSED)</v>
          </cell>
          <cell r="D1852" t="str">
            <v>0</v>
          </cell>
        </row>
        <row r="1853">
          <cell r="A1853" t="str">
            <v>C12623</v>
          </cell>
          <cell r="B1853" t="str">
            <v>Organization</v>
          </cell>
          <cell r="C1853" t="str">
            <v>RIDDHI IRON AND STEEL PVT. LTD.</v>
          </cell>
          <cell r="D1853" t="str">
            <v>0</v>
          </cell>
        </row>
        <row r="1854">
          <cell r="A1854" t="str">
            <v>C12624</v>
          </cell>
          <cell r="B1854" t="str">
            <v>Organization</v>
          </cell>
          <cell r="C1854" t="str">
            <v>DORF KETAL CHEMICALS INDIA PVT.LTD., SILVASSA</v>
          </cell>
          <cell r="D1854" t="str">
            <v>60</v>
          </cell>
        </row>
        <row r="1855">
          <cell r="A1855" t="str">
            <v>C12625</v>
          </cell>
          <cell r="B1855" t="str">
            <v>Organization</v>
          </cell>
          <cell r="C1855" t="str">
            <v>SUPERIOR CANS &amp; PAILS CONTAINERS (PUNE) PVT.LTD.</v>
          </cell>
          <cell r="D1855" t="str">
            <v>7</v>
          </cell>
        </row>
        <row r="1856">
          <cell r="A1856" t="str">
            <v>C12626</v>
          </cell>
          <cell r="B1856" t="str">
            <v>Organization</v>
          </cell>
          <cell r="C1856" t="str">
            <v>APTUS DRUMS AND CONTAINERS</v>
          </cell>
          <cell r="D1856" t="str">
            <v>1</v>
          </cell>
        </row>
        <row r="1857">
          <cell r="A1857" t="str">
            <v>C12627</v>
          </cell>
          <cell r="B1857" t="str">
            <v>Organization</v>
          </cell>
          <cell r="C1857" t="str">
            <v>PROCESS ENTERPRISES</v>
          </cell>
          <cell r="D1857" t="str">
            <v>0</v>
          </cell>
        </row>
        <row r="1858">
          <cell r="A1858" t="str">
            <v>C12628</v>
          </cell>
          <cell r="B1858" t="str">
            <v>Organization</v>
          </cell>
          <cell r="C1858" t="str">
            <v>ARHAM ENTERPRISE</v>
          </cell>
          <cell r="D1858" t="str">
            <v>60</v>
          </cell>
        </row>
        <row r="1859">
          <cell r="A1859" t="str">
            <v>C12629</v>
          </cell>
          <cell r="B1859" t="str">
            <v>Organization</v>
          </cell>
          <cell r="C1859" t="str">
            <v>GLOBE CHEMIE</v>
          </cell>
          <cell r="D1859" t="str">
            <v>0</v>
          </cell>
        </row>
        <row r="1860">
          <cell r="A1860" t="str">
            <v>C12630</v>
          </cell>
          <cell r="B1860" t="str">
            <v>Organization</v>
          </cell>
          <cell r="C1860" t="str">
            <v>KANUNGO FERROMET PVT. LTD.</v>
          </cell>
          <cell r="D1860" t="str">
            <v>0</v>
          </cell>
        </row>
        <row r="1861">
          <cell r="A1861" t="str">
            <v>C12631</v>
          </cell>
          <cell r="B1861" t="str">
            <v>Organization</v>
          </cell>
          <cell r="C1861" t="str">
            <v>DABIR PRECITECH PVT LTD.</v>
          </cell>
          <cell r="D1861" t="str">
            <v>0</v>
          </cell>
        </row>
        <row r="1862">
          <cell r="A1862" t="str">
            <v>C12632</v>
          </cell>
          <cell r="B1862" t="str">
            <v>Organization</v>
          </cell>
          <cell r="C1862" t="str">
            <v>VISHAL ENTERPRISES</v>
          </cell>
          <cell r="D1862" t="str">
            <v>0</v>
          </cell>
        </row>
        <row r="1863">
          <cell r="A1863" t="str">
            <v>C12633</v>
          </cell>
          <cell r="B1863" t="str">
            <v>Organization</v>
          </cell>
          <cell r="C1863" t="str">
            <v>SMK PETROCHEMICALS INDIA PVT LTD</v>
          </cell>
          <cell r="D1863" t="str">
            <v>0</v>
          </cell>
        </row>
        <row r="1864">
          <cell r="A1864" t="str">
            <v>C12634</v>
          </cell>
          <cell r="B1864" t="str">
            <v>Organization</v>
          </cell>
          <cell r="C1864" t="str">
            <v>PANAMA PETROCHEM LTD (DAHEJ)</v>
          </cell>
          <cell r="D1864" t="str">
            <v>7</v>
          </cell>
        </row>
        <row r="1865">
          <cell r="A1865" t="str">
            <v>C12635</v>
          </cell>
          <cell r="B1865" t="str">
            <v>Organization</v>
          </cell>
          <cell r="C1865" t="str">
            <v>INGLOBE EXPORTS</v>
          </cell>
          <cell r="D1865" t="str">
            <v>7</v>
          </cell>
        </row>
        <row r="1866">
          <cell r="A1866" t="str">
            <v>C12636</v>
          </cell>
          <cell r="B1866" t="str">
            <v>Organization</v>
          </cell>
          <cell r="C1866" t="str">
            <v>ATUL ENGINEERING CORPORATION</v>
          </cell>
          <cell r="D1866" t="str">
            <v>0</v>
          </cell>
        </row>
        <row r="1867">
          <cell r="A1867" t="str">
            <v>C12637</v>
          </cell>
          <cell r="B1867" t="str">
            <v>Organization</v>
          </cell>
          <cell r="C1867" t="str">
            <v>DIVYARATNA AGROTECH PVT LTD</v>
          </cell>
          <cell r="D1867" t="str">
            <v>0</v>
          </cell>
        </row>
        <row r="1868">
          <cell r="A1868" t="str">
            <v>C12638</v>
          </cell>
          <cell r="B1868" t="str">
            <v>Organization</v>
          </cell>
          <cell r="C1868" t="str">
            <v>AGARWAL SALES CORPORATION</v>
          </cell>
          <cell r="D1868" t="str">
            <v>0</v>
          </cell>
        </row>
        <row r="1869">
          <cell r="A1869" t="str">
            <v>C12639</v>
          </cell>
          <cell r="B1869" t="str">
            <v>Organization</v>
          </cell>
          <cell r="C1869" t="str">
            <v>FABRICAN</v>
          </cell>
          <cell r="D1869" t="str">
            <v>7</v>
          </cell>
        </row>
        <row r="1870">
          <cell r="A1870" t="str">
            <v>C12640</v>
          </cell>
          <cell r="B1870" t="str">
            <v>Organization</v>
          </cell>
          <cell r="C1870" t="str">
            <v>AVT NATURAL PRODUCTS LIMITED</v>
          </cell>
          <cell r="D1870" t="str">
            <v>30</v>
          </cell>
        </row>
        <row r="1871">
          <cell r="A1871" t="str">
            <v>C12641</v>
          </cell>
          <cell r="B1871" t="str">
            <v>Organization</v>
          </cell>
          <cell r="C1871" t="str">
            <v>KERATECH COCONUT OIL MFG CO PVT LTD</v>
          </cell>
          <cell r="D1871" t="str">
            <v>0</v>
          </cell>
        </row>
        <row r="1872">
          <cell r="A1872" t="str">
            <v>C12642</v>
          </cell>
          <cell r="B1872" t="str">
            <v>Organization</v>
          </cell>
          <cell r="C1872" t="str">
            <v>FLINT GROUP INDIA PVT. LTD</v>
          </cell>
          <cell r="D1872" t="str">
            <v>30</v>
          </cell>
        </row>
        <row r="1873">
          <cell r="A1873" t="str">
            <v>C12643</v>
          </cell>
          <cell r="B1873" t="str">
            <v>Organization</v>
          </cell>
          <cell r="C1873" t="str">
            <v>ARMSTRONG CHEMICALS PVT LTD</v>
          </cell>
          <cell r="D1873" t="str">
            <v>30</v>
          </cell>
        </row>
        <row r="1874">
          <cell r="A1874" t="str">
            <v>C12644</v>
          </cell>
          <cell r="B1874" t="str">
            <v>Organization</v>
          </cell>
          <cell r="C1874" t="str">
            <v>NEOSYM INDUSTRY LIMITED</v>
          </cell>
          <cell r="D1874" t="str">
            <v>0</v>
          </cell>
        </row>
        <row r="1875">
          <cell r="A1875" t="str">
            <v>C12645</v>
          </cell>
          <cell r="B1875" t="str">
            <v>Organization</v>
          </cell>
          <cell r="C1875" t="str">
            <v>SARK SPICE PRODUCTS PVT. LTD.</v>
          </cell>
          <cell r="D1875" t="str">
            <v>30</v>
          </cell>
        </row>
        <row r="1876">
          <cell r="A1876" t="str">
            <v>C12646</v>
          </cell>
          <cell r="B1876" t="str">
            <v>Organization</v>
          </cell>
          <cell r="C1876" t="str">
            <v>MEXICOL LUBRITECH PVT LTD.</v>
          </cell>
          <cell r="D1876" t="str">
            <v>0</v>
          </cell>
        </row>
        <row r="1877">
          <cell r="A1877" t="str">
            <v>C12647</v>
          </cell>
          <cell r="B1877" t="str">
            <v>Organization</v>
          </cell>
          <cell r="C1877" t="str">
            <v>KERALA STATE RUBBER CO-OPERATIVE LTD., RUBCO</v>
          </cell>
          <cell r="D1877" t="str">
            <v>0</v>
          </cell>
        </row>
        <row r="1878">
          <cell r="A1878" t="str">
            <v>C12648</v>
          </cell>
          <cell r="B1878" t="str">
            <v>Organization</v>
          </cell>
          <cell r="C1878" t="str">
            <v>BHOOMI NATURAL PRODUCTS &amp; EXPORT PVT. LTD.</v>
          </cell>
          <cell r="D1878" t="str">
            <v>0</v>
          </cell>
        </row>
        <row r="1879">
          <cell r="A1879" t="str">
            <v>C12649</v>
          </cell>
          <cell r="B1879" t="str">
            <v>Organization</v>
          </cell>
          <cell r="C1879" t="str">
            <v>STERLITE LUBRICANTS PVT. LTD.</v>
          </cell>
          <cell r="D1879" t="str">
            <v>0</v>
          </cell>
        </row>
        <row r="1880">
          <cell r="A1880" t="str">
            <v>C12650</v>
          </cell>
          <cell r="B1880" t="str">
            <v>Organization</v>
          </cell>
          <cell r="C1880" t="str">
            <v>MRT ORGANIC GREEN PRODUCTS</v>
          </cell>
          <cell r="D1880" t="str">
            <v>0</v>
          </cell>
        </row>
        <row r="1881">
          <cell r="A1881" t="str">
            <v>C12651</v>
          </cell>
          <cell r="B1881" t="str">
            <v>Organization</v>
          </cell>
          <cell r="C1881" t="str">
            <v>CLEAN HOME PRODUCT</v>
          </cell>
          <cell r="D1881" t="str">
            <v>30</v>
          </cell>
        </row>
        <row r="1882">
          <cell r="A1882" t="str">
            <v>C12652</v>
          </cell>
          <cell r="B1882" t="str">
            <v>Organization</v>
          </cell>
          <cell r="C1882" t="str">
            <v>HAKIM COMPANY FOR INDUSTRY AND TRADE</v>
          </cell>
          <cell r="D1882" t="str">
            <v>0</v>
          </cell>
        </row>
        <row r="1883">
          <cell r="A1883" t="str">
            <v>C12653</v>
          </cell>
          <cell r="B1883" t="str">
            <v>Organization</v>
          </cell>
          <cell r="C1883" t="str">
            <v>SUPREME CHEMICALS</v>
          </cell>
          <cell r="D1883" t="str">
            <v>0</v>
          </cell>
        </row>
        <row r="1884">
          <cell r="A1884" t="str">
            <v>C12654</v>
          </cell>
          <cell r="B1884" t="str">
            <v>Organization</v>
          </cell>
          <cell r="C1884" t="str">
            <v>AARUSHI SPECIALITY CHEMICALS PVT.LTD.</v>
          </cell>
          <cell r="D1884" t="str">
            <v>7</v>
          </cell>
        </row>
        <row r="1885">
          <cell r="A1885" t="str">
            <v>C12655</v>
          </cell>
          <cell r="B1885" t="str">
            <v>Organization</v>
          </cell>
          <cell r="C1885" t="str">
            <v>SAIKRUPA POLYMERS</v>
          </cell>
          <cell r="D1885" t="str">
            <v>0</v>
          </cell>
        </row>
        <row r="1886">
          <cell r="A1886" t="str">
            <v>C12656</v>
          </cell>
          <cell r="B1886" t="str">
            <v>Organization</v>
          </cell>
          <cell r="C1886" t="str">
            <v>GURUDEV CONTAINERS PVT.LTD.</v>
          </cell>
          <cell r="D1886" t="str">
            <v>7</v>
          </cell>
        </row>
        <row r="1887">
          <cell r="A1887" t="str">
            <v>C12657</v>
          </cell>
          <cell r="B1887" t="str">
            <v>Organization</v>
          </cell>
          <cell r="C1887" t="str">
            <v>VALLABHDAS KANJI LTD.</v>
          </cell>
          <cell r="D1887" t="str">
            <v>0</v>
          </cell>
        </row>
        <row r="1888">
          <cell r="A1888" t="str">
            <v>C12658</v>
          </cell>
          <cell r="B1888" t="str">
            <v>Organization</v>
          </cell>
          <cell r="C1888" t="str">
            <v>RRP GLYCO  TECHNOLOGY PVT. LTD.</v>
          </cell>
          <cell r="D1888" t="str">
            <v>0</v>
          </cell>
        </row>
        <row r="1889">
          <cell r="A1889" t="str">
            <v>C12659</v>
          </cell>
          <cell r="B1889" t="str">
            <v>Organization</v>
          </cell>
          <cell r="C1889" t="str">
            <v>AFLAH STEEL</v>
          </cell>
          <cell r="D1889" t="str">
            <v>0</v>
          </cell>
        </row>
        <row r="1890">
          <cell r="A1890" t="str">
            <v>C12660</v>
          </cell>
          <cell r="B1890" t="str">
            <v>Organization</v>
          </cell>
          <cell r="C1890" t="str">
            <v>R.R.LUBRICANTS</v>
          </cell>
          <cell r="D1890" t="str">
            <v>0</v>
          </cell>
        </row>
        <row r="1891">
          <cell r="A1891" t="str">
            <v>C12661</v>
          </cell>
          <cell r="B1891" t="str">
            <v>Organization</v>
          </cell>
          <cell r="C1891" t="str">
            <v>SHIELD LUBRICANTS &amp; SPECIALITIES PVT LTD</v>
          </cell>
          <cell r="D1891" t="str">
            <v>0</v>
          </cell>
        </row>
        <row r="1892">
          <cell r="A1892" t="str">
            <v>C12662</v>
          </cell>
          <cell r="B1892" t="str">
            <v>Organization</v>
          </cell>
          <cell r="C1892" t="str">
            <v>SYNGENTA CROP PROTECTION PVT LTD</v>
          </cell>
          <cell r="D1892" t="str">
            <v>60</v>
          </cell>
        </row>
        <row r="1893">
          <cell r="A1893" t="str">
            <v>C12663</v>
          </cell>
          <cell r="B1893" t="str">
            <v>Organization</v>
          </cell>
          <cell r="C1893" t="str">
            <v>DR.KAMATS LABOORATORIES PVT LTD</v>
          </cell>
          <cell r="D1893" t="str">
            <v>0</v>
          </cell>
        </row>
        <row r="1894">
          <cell r="A1894" t="str">
            <v>C12664</v>
          </cell>
          <cell r="B1894" t="str">
            <v>Organization</v>
          </cell>
          <cell r="C1894" t="str">
            <v>NPL BLUESKY AUTOMOTIVE PVT LTD.</v>
          </cell>
          <cell r="D1894" t="str">
            <v>30</v>
          </cell>
        </row>
        <row r="1895">
          <cell r="A1895" t="str">
            <v>C12665</v>
          </cell>
          <cell r="B1895" t="str">
            <v>Organization</v>
          </cell>
          <cell r="C1895" t="str">
            <v>SHREE BHAGAVATHI CHEMICALS</v>
          </cell>
          <cell r="D1895" t="str">
            <v>0</v>
          </cell>
        </row>
        <row r="1896">
          <cell r="A1896" t="str">
            <v>C12666</v>
          </cell>
          <cell r="B1896" t="str">
            <v>Organization</v>
          </cell>
          <cell r="C1896" t="str">
            <v>CRUST CRUMB FOOD INGREDIENTS PVT. LTD.</v>
          </cell>
          <cell r="D1896" t="str">
            <v>0</v>
          </cell>
        </row>
        <row r="1897">
          <cell r="A1897" t="str">
            <v>C12667</v>
          </cell>
          <cell r="B1897" t="str">
            <v>Organization</v>
          </cell>
          <cell r="C1897" t="str">
            <v>GREIF HUA I TAIWAN CO LTD</v>
          </cell>
          <cell r="D1897" t="str">
            <v>0</v>
          </cell>
        </row>
        <row r="1898">
          <cell r="A1898" t="str">
            <v>C12668</v>
          </cell>
          <cell r="B1898" t="str">
            <v>Organization</v>
          </cell>
          <cell r="C1898" t="str">
            <v>GEOFLUID PROCESSORS PVT LTD</v>
          </cell>
          <cell r="D1898" t="str">
            <v>0</v>
          </cell>
        </row>
        <row r="1899">
          <cell r="A1899" t="str">
            <v>C12669</v>
          </cell>
          <cell r="B1899" t="str">
            <v>Organization</v>
          </cell>
          <cell r="C1899" t="str">
            <v>QUEBEC PETROLEUM RESOURCES LTD</v>
          </cell>
          <cell r="D1899" t="str">
            <v>7</v>
          </cell>
        </row>
        <row r="1900">
          <cell r="A1900" t="str">
            <v>C12670</v>
          </cell>
          <cell r="B1900" t="str">
            <v>Organization</v>
          </cell>
          <cell r="C1900" t="str">
            <v>KB LUBES PVT. LTD.</v>
          </cell>
          <cell r="D1900" t="str">
            <v>0</v>
          </cell>
        </row>
        <row r="1901">
          <cell r="A1901" t="str">
            <v>C12671</v>
          </cell>
          <cell r="B1901" t="str">
            <v>Organization</v>
          </cell>
          <cell r="C1901" t="str">
            <v>PRASAN SOLUTIONS (INDIA) PVT. LTD.</v>
          </cell>
          <cell r="D1901" t="str">
            <v>0</v>
          </cell>
        </row>
        <row r="1902">
          <cell r="A1902" t="str">
            <v>C12672</v>
          </cell>
          <cell r="B1902" t="str">
            <v>Organization</v>
          </cell>
          <cell r="C1902" t="str">
            <v>ROYAL ENTERPRISES</v>
          </cell>
          <cell r="D1902" t="str">
            <v>0</v>
          </cell>
        </row>
        <row r="1903">
          <cell r="A1903" t="str">
            <v>C12673</v>
          </cell>
          <cell r="B1903" t="str">
            <v>Organization</v>
          </cell>
          <cell r="C1903" t="str">
            <v>IDEMITSU LUBE INDIA PVT. LTD</v>
          </cell>
          <cell r="D1903" t="str">
            <v>30</v>
          </cell>
        </row>
        <row r="1904">
          <cell r="A1904" t="str">
            <v>C12674</v>
          </cell>
          <cell r="B1904" t="str">
            <v>Organization</v>
          </cell>
          <cell r="C1904" t="str">
            <v>MINERVA FLAVOURS AND FRAGRANCE</v>
          </cell>
          <cell r="D1904" t="str">
            <v>0</v>
          </cell>
        </row>
        <row r="1905">
          <cell r="A1905" t="str">
            <v>C12675</v>
          </cell>
          <cell r="B1905" t="str">
            <v>Organization</v>
          </cell>
          <cell r="C1905" t="str">
            <v>SHREE BALAJI CONTAINERS</v>
          </cell>
          <cell r="D1905" t="str">
            <v>7</v>
          </cell>
        </row>
        <row r="1906">
          <cell r="A1906" t="str">
            <v>C12676</v>
          </cell>
          <cell r="B1906" t="str">
            <v>Organization</v>
          </cell>
          <cell r="C1906" t="str">
            <v>RAJESH JUTHANI</v>
          </cell>
          <cell r="D1906" t="str">
            <v>0</v>
          </cell>
        </row>
        <row r="1907">
          <cell r="A1907" t="str">
            <v>C12677</v>
          </cell>
          <cell r="B1907" t="str">
            <v>Organization</v>
          </cell>
          <cell r="C1907" t="str">
            <v>UNIVERSAL CONTAINERS PVT.LTD.(SATARA)</v>
          </cell>
          <cell r="D1907" t="str">
            <v>45</v>
          </cell>
        </row>
        <row r="1908">
          <cell r="A1908" t="str">
            <v>C12678</v>
          </cell>
          <cell r="B1908" t="str">
            <v>Organization</v>
          </cell>
          <cell r="C1908" t="str">
            <v>COATINGS &amp; COATINGS (I) PVT. LTD.</v>
          </cell>
          <cell r="D1908" t="str">
            <v>0</v>
          </cell>
        </row>
        <row r="1909">
          <cell r="A1909" t="str">
            <v>C12679</v>
          </cell>
          <cell r="B1909" t="str">
            <v>Organization</v>
          </cell>
          <cell r="C1909" t="str">
            <v>CENTRAL OIL INDUSTRIES</v>
          </cell>
          <cell r="D1909" t="str">
            <v>0</v>
          </cell>
        </row>
        <row r="1910">
          <cell r="A1910" t="str">
            <v>C12680</v>
          </cell>
          <cell r="B1910" t="str">
            <v>Organization</v>
          </cell>
          <cell r="C1910" t="str">
            <v>PLANT LIPIDS LANKA (PVT) LTD.</v>
          </cell>
          <cell r="D1910" t="str">
            <v>0</v>
          </cell>
        </row>
        <row r="1911">
          <cell r="A1911" t="str">
            <v>C12681</v>
          </cell>
          <cell r="B1911" t="str">
            <v>Organization</v>
          </cell>
          <cell r="C1911" t="str">
            <v>JUBILANT LIFE SCIENCES LTD.(GAJRAULA)</v>
          </cell>
          <cell r="D1911" t="str">
            <v>30</v>
          </cell>
        </row>
        <row r="1912">
          <cell r="A1912" t="str">
            <v>C12682</v>
          </cell>
          <cell r="B1912" t="str">
            <v>Organization</v>
          </cell>
          <cell r="C1912" t="str">
            <v>JEEVAGRAM</v>
          </cell>
          <cell r="D1912" t="str">
            <v>0</v>
          </cell>
        </row>
        <row r="1913">
          <cell r="A1913" t="str">
            <v>C12683</v>
          </cell>
          <cell r="B1913" t="str">
            <v>Organization</v>
          </cell>
          <cell r="C1913" t="str">
            <v>MANKO NATURAL FLAVOURS &amp; EXTRACTS PVT LTD</v>
          </cell>
          <cell r="D1913" t="str">
            <v>0</v>
          </cell>
        </row>
        <row r="1914">
          <cell r="A1914" t="str">
            <v>C12684</v>
          </cell>
          <cell r="B1914" t="str">
            <v>Organization</v>
          </cell>
          <cell r="C1914" t="str">
            <v>NITTA GELATIN INDIA LTD</v>
          </cell>
          <cell r="D1914" t="str">
            <v>0</v>
          </cell>
        </row>
        <row r="1915">
          <cell r="A1915" t="str">
            <v>C12685</v>
          </cell>
          <cell r="B1915" t="str">
            <v>Organization</v>
          </cell>
          <cell r="C1915" t="str">
            <v>JUPITER LEYS PVT. LTD - NAVI MUMBAI</v>
          </cell>
          <cell r="D1915" t="str">
            <v>0</v>
          </cell>
        </row>
        <row r="1916">
          <cell r="A1916" t="str">
            <v>C12686</v>
          </cell>
          <cell r="B1916" t="str">
            <v>Organization</v>
          </cell>
          <cell r="C1916" t="str">
            <v>TECH STEEL PRODUCTS LIMITED.</v>
          </cell>
          <cell r="D1916" t="str">
            <v>0</v>
          </cell>
        </row>
        <row r="1917">
          <cell r="A1917" t="str">
            <v>C12687</v>
          </cell>
          <cell r="B1917" t="str">
            <v>Organization</v>
          </cell>
          <cell r="C1917" t="str">
            <v>STANDARD GREASES &amp; SPECIALITIES  PVT. LTD [MOTUL]</v>
          </cell>
          <cell r="D1917" t="str">
            <v>30</v>
          </cell>
        </row>
        <row r="1918">
          <cell r="A1918" t="str">
            <v>C12688</v>
          </cell>
          <cell r="B1918" t="str">
            <v>Organization</v>
          </cell>
          <cell r="C1918" t="str">
            <v>SUPREME SPECIAL STEELS</v>
          </cell>
          <cell r="D1918" t="str">
            <v>0</v>
          </cell>
        </row>
        <row r="1919">
          <cell r="A1919" t="str">
            <v>C12689</v>
          </cell>
          <cell r="B1919" t="str">
            <v>Organization</v>
          </cell>
          <cell r="C1919" t="str">
            <v>APAR INDUSTRIES LTD. [CONDUCTOR DIV]</v>
          </cell>
          <cell r="D1919" t="str">
            <v>30</v>
          </cell>
        </row>
        <row r="1920">
          <cell r="A1920" t="str">
            <v>C12690</v>
          </cell>
          <cell r="B1920" t="str">
            <v>Organization</v>
          </cell>
          <cell r="C1920" t="str">
            <v>S. R. BARRELS</v>
          </cell>
          <cell r="D1920" t="str">
            <v>45</v>
          </cell>
        </row>
        <row r="1921">
          <cell r="A1921" t="str">
            <v>C12691</v>
          </cell>
          <cell r="B1921" t="str">
            <v>Organization</v>
          </cell>
          <cell r="C1921" t="str">
            <v>GOLECHHA &amp; SONS</v>
          </cell>
          <cell r="D1921" t="str">
            <v>0</v>
          </cell>
        </row>
        <row r="1922">
          <cell r="A1922" t="str">
            <v>C12692</v>
          </cell>
          <cell r="B1922" t="str">
            <v>Organization</v>
          </cell>
          <cell r="C1922" t="str">
            <v>CAR AND HALF.COM PVT LTD.</v>
          </cell>
          <cell r="D1922" t="str">
            <v>0</v>
          </cell>
        </row>
        <row r="1923">
          <cell r="A1923" t="str">
            <v>C12693</v>
          </cell>
          <cell r="B1923" t="str">
            <v>Organization</v>
          </cell>
          <cell r="C1923" t="str">
            <v>KIRTI ENTERPRISES</v>
          </cell>
          <cell r="D1923" t="str">
            <v>30</v>
          </cell>
        </row>
        <row r="1924">
          <cell r="A1924" t="str">
            <v>C12694</v>
          </cell>
          <cell r="B1924" t="str">
            <v>Organization</v>
          </cell>
          <cell r="C1924" t="str">
            <v>GREIF MALAYSIA SDN BHD</v>
          </cell>
          <cell r="D1924" t="str">
            <v>0</v>
          </cell>
        </row>
        <row r="1925">
          <cell r="A1925" t="str">
            <v>C12695</v>
          </cell>
          <cell r="B1925" t="str">
            <v>Organization</v>
          </cell>
          <cell r="C1925" t="str">
            <v>SHAZZM LUBRICANTS PVT. LTD.</v>
          </cell>
          <cell r="D1925" t="str">
            <v>0</v>
          </cell>
        </row>
        <row r="1926">
          <cell r="A1926" t="str">
            <v>C12696</v>
          </cell>
          <cell r="B1926" t="str">
            <v>Organization</v>
          </cell>
          <cell r="C1926" t="str">
            <v>AVANTOR PERFORMANCE MATERIALS INDIA LTD</v>
          </cell>
          <cell r="D1926" t="str">
            <v>60</v>
          </cell>
        </row>
        <row r="1927">
          <cell r="A1927" t="str">
            <v>C12697</v>
          </cell>
          <cell r="B1927" t="str">
            <v>Organization</v>
          </cell>
          <cell r="C1927" t="str">
            <v>MARYAM AHMADI</v>
          </cell>
          <cell r="D1927" t="str">
            <v>1</v>
          </cell>
        </row>
        <row r="1928">
          <cell r="A1928" t="str">
            <v>C12698</v>
          </cell>
          <cell r="B1928" t="str">
            <v>Organization</v>
          </cell>
          <cell r="C1928" t="str">
            <v>SHIV SHAKTI STEEL CORP.</v>
          </cell>
          <cell r="D1928" t="str">
            <v>0</v>
          </cell>
        </row>
        <row r="1929">
          <cell r="A1929" t="str">
            <v>C12699</v>
          </cell>
          <cell r="B1929" t="str">
            <v>Organization</v>
          </cell>
          <cell r="C1929" t="str">
            <v>VENKATAPATHI AROMATICS</v>
          </cell>
          <cell r="D1929" t="str">
            <v>0</v>
          </cell>
        </row>
        <row r="1930">
          <cell r="A1930" t="str">
            <v>C12700</v>
          </cell>
          <cell r="B1930" t="str">
            <v>Organization</v>
          </cell>
          <cell r="C1930" t="str">
            <v>VKL SEASONING PVT. LTD.</v>
          </cell>
          <cell r="D1930" t="str">
            <v>0</v>
          </cell>
        </row>
        <row r="1931">
          <cell r="A1931" t="str">
            <v>C12701</v>
          </cell>
          <cell r="B1931" t="str">
            <v>Organization</v>
          </cell>
          <cell r="C1931" t="str">
            <v>AMBIKA WASTE MANAGEMENT PVT. LTD.</v>
          </cell>
          <cell r="D1931" t="str">
            <v>0</v>
          </cell>
        </row>
        <row r="1932">
          <cell r="A1932" t="str">
            <v>C12702</v>
          </cell>
          <cell r="B1932" t="str">
            <v>Organization</v>
          </cell>
          <cell r="C1932" t="str">
            <v>MEMBA CHEM INDUSTRIES PVT. LTD.</v>
          </cell>
          <cell r="D1932" t="str">
            <v>60</v>
          </cell>
        </row>
        <row r="1933">
          <cell r="A1933" t="str">
            <v>C12703</v>
          </cell>
          <cell r="B1933" t="str">
            <v>Organization</v>
          </cell>
          <cell r="C1933" t="str">
            <v>IAL CONTAINERS</v>
          </cell>
          <cell r="D1933" t="str">
            <v>0</v>
          </cell>
        </row>
        <row r="1934">
          <cell r="A1934" t="str">
            <v>C12704</v>
          </cell>
          <cell r="B1934" t="str">
            <v>Organization</v>
          </cell>
          <cell r="C1934" t="str">
            <v>ADDZOL OIL (INDIA) PVT. LTD</v>
          </cell>
          <cell r="D1934" t="str">
            <v>0</v>
          </cell>
        </row>
        <row r="1935">
          <cell r="A1935" t="str">
            <v>C12705</v>
          </cell>
          <cell r="B1935" t="str">
            <v>Organization</v>
          </cell>
          <cell r="C1935" t="str">
            <v>IMP POWERS LIMITED</v>
          </cell>
        </row>
        <row r="1936">
          <cell r="A1936" t="str">
            <v>C12706</v>
          </cell>
          <cell r="B1936" t="str">
            <v>Organization</v>
          </cell>
          <cell r="C1936" t="str">
            <v>CORE CHEMICALS (MUMBAI) PVT. LTD.</v>
          </cell>
        </row>
        <row r="1937">
          <cell r="A1937" t="str">
            <v>C12707</v>
          </cell>
          <cell r="B1937" t="str">
            <v>Organization</v>
          </cell>
          <cell r="C1937" t="str">
            <v>VASUDHA PHARMA CHEM LTD - VISAKHAPATNAM</v>
          </cell>
          <cell r="D1937" t="str">
            <v>60</v>
          </cell>
        </row>
        <row r="1938">
          <cell r="A1938" t="str">
            <v>C12708</v>
          </cell>
          <cell r="B1938" t="str">
            <v>Organization</v>
          </cell>
          <cell r="C1938" t="str">
            <v>BARKUR SURFACTANTS PVT. LTD.</v>
          </cell>
        </row>
        <row r="1939">
          <cell r="A1939" t="str">
            <v>C12709</v>
          </cell>
          <cell r="B1939" t="str">
            <v>Organization</v>
          </cell>
          <cell r="C1939" t="str">
            <v>OCTAGA GREEN POWER &amp; SUGAR CO LTD.</v>
          </cell>
        </row>
        <row r="1940">
          <cell r="A1940" t="str">
            <v>C12710</v>
          </cell>
          <cell r="B1940" t="str">
            <v>Organization</v>
          </cell>
          <cell r="C1940" t="str">
            <v>SHAGUN CASTING PVT. LTD.</v>
          </cell>
        </row>
        <row r="1941">
          <cell r="A1941" t="str">
            <v>C12711</v>
          </cell>
          <cell r="B1941" t="str">
            <v>Organization</v>
          </cell>
          <cell r="C1941" t="str">
            <v>LSR LUBRICANTS PVT. LTD.</v>
          </cell>
          <cell r="D1941" t="str">
            <v>7</v>
          </cell>
        </row>
        <row r="1942">
          <cell r="A1942" t="str">
            <v>C12712</v>
          </cell>
          <cell r="B1942" t="str">
            <v>Organization</v>
          </cell>
          <cell r="C1942" t="str">
            <v>MERCK LTD.</v>
          </cell>
          <cell r="D1942" t="str">
            <v>60</v>
          </cell>
        </row>
        <row r="1943">
          <cell r="A1943" t="str">
            <v>C12713</v>
          </cell>
          <cell r="B1943" t="str">
            <v>Organization</v>
          </cell>
          <cell r="C1943" t="str">
            <v>NEOGEN CHEMICALS LTD.</v>
          </cell>
        </row>
        <row r="1944">
          <cell r="A1944" t="str">
            <v>C12714</v>
          </cell>
          <cell r="B1944" t="str">
            <v>Organization</v>
          </cell>
          <cell r="C1944" t="str">
            <v>COCHIN CHILD FOUNDATION</v>
          </cell>
        </row>
        <row r="1945">
          <cell r="A1945" t="str">
            <v>C12715</v>
          </cell>
          <cell r="B1945" t="str">
            <v>Organization</v>
          </cell>
          <cell r="C1945" t="str">
            <v>MANGALASSERIL ESSENTIAL OIL</v>
          </cell>
        </row>
        <row r="1946">
          <cell r="A1946" t="str">
            <v>C12716</v>
          </cell>
          <cell r="B1946" t="str">
            <v>Organization</v>
          </cell>
          <cell r="C1946" t="str">
            <v>HOEC BARDAHI INDIA LTD.</v>
          </cell>
        </row>
        <row r="1947">
          <cell r="A1947" t="str">
            <v>C12717</v>
          </cell>
          <cell r="B1947" t="str">
            <v>Organization</v>
          </cell>
          <cell r="C1947" t="str">
            <v>PALLAV CHEMICALS &amp; SOLVENTS PVT. LTD.</v>
          </cell>
        </row>
        <row r="1948">
          <cell r="A1948" t="str">
            <v>C12718</v>
          </cell>
          <cell r="B1948" t="str">
            <v>Organization</v>
          </cell>
          <cell r="C1948" t="str">
            <v>S &amp; S ASSOCIATED</v>
          </cell>
        </row>
        <row r="1949">
          <cell r="A1949" t="str">
            <v>C12719</v>
          </cell>
          <cell r="B1949" t="str">
            <v>Organization</v>
          </cell>
          <cell r="C1949" t="str">
            <v>REAL CHEMSYS PRODUCTS PVT LTD</v>
          </cell>
        </row>
        <row r="1950">
          <cell r="A1950" t="str">
            <v>C12720</v>
          </cell>
          <cell r="B1950" t="str">
            <v>Organization</v>
          </cell>
          <cell r="C1950" t="str">
            <v>RAZA STEEL TRADERS</v>
          </cell>
        </row>
        <row r="1951">
          <cell r="A1951" t="str">
            <v>C12721</v>
          </cell>
          <cell r="B1951" t="str">
            <v>Organization</v>
          </cell>
          <cell r="C1951" t="str">
            <v>IMPERIAL EXTRACTS PVT. LTD.</v>
          </cell>
        </row>
        <row r="1952">
          <cell r="A1952" t="str">
            <v>C12722</v>
          </cell>
          <cell r="B1952" t="str">
            <v>Organization</v>
          </cell>
          <cell r="C1952" t="str">
            <v>JAIN STEEL</v>
          </cell>
        </row>
        <row r="1953">
          <cell r="A1953" t="str">
            <v>C12723</v>
          </cell>
          <cell r="B1953" t="str">
            <v>Organization</v>
          </cell>
          <cell r="C1953" t="str">
            <v>SAENG THAI METAL DRUM CO.LTD. THAILAND</v>
          </cell>
          <cell r="D1953" t="str">
            <v>30</v>
          </cell>
        </row>
        <row r="1954">
          <cell r="A1954" t="str">
            <v>C12724</v>
          </cell>
          <cell r="B1954" t="str">
            <v>Organization</v>
          </cell>
          <cell r="C1954" t="str">
            <v>SUVIDA DRUMS - HOSUR</v>
          </cell>
          <cell r="D1954" t="str">
            <v>60</v>
          </cell>
        </row>
        <row r="1955">
          <cell r="A1955" t="str">
            <v>C12734</v>
          </cell>
          <cell r="B1955" t="str">
            <v>Organization</v>
          </cell>
          <cell r="C1955" t="str">
            <v>BIO BHUTAN</v>
          </cell>
        </row>
        <row r="1956">
          <cell r="A1956" t="str">
            <v>C12735</v>
          </cell>
          <cell r="B1956" t="str">
            <v>Organization</v>
          </cell>
          <cell r="C1956" t="str">
            <v>SYNTHITE INDUSTRIES LTD - ANDRA PRADESH</v>
          </cell>
          <cell r="D1956" t="str">
            <v>30</v>
          </cell>
        </row>
        <row r="1957">
          <cell r="A1957" t="str">
            <v>C12736</v>
          </cell>
          <cell r="B1957" t="str">
            <v>Organization</v>
          </cell>
          <cell r="C1957" t="str">
            <v>JOSEPH AGRICOM</v>
          </cell>
        </row>
        <row r="1958">
          <cell r="A1958" t="str">
            <v>C12737</v>
          </cell>
          <cell r="B1958" t="str">
            <v>Organization</v>
          </cell>
          <cell r="C1958" t="str">
            <v>ASB INTERNATIONAL PVT. LTD.</v>
          </cell>
          <cell r="D1958" t="str">
            <v>30</v>
          </cell>
        </row>
        <row r="1959">
          <cell r="A1959" t="str">
            <v>C12738</v>
          </cell>
          <cell r="B1959" t="str">
            <v>Organization</v>
          </cell>
          <cell r="C1959" t="str">
            <v>MITSUI OIL FIELD PVT. LTD.</v>
          </cell>
          <cell r="D1959" t="str">
            <v>0</v>
          </cell>
        </row>
        <row r="1960">
          <cell r="A1960" t="str">
            <v>C12739</v>
          </cell>
          <cell r="B1960" t="str">
            <v>Organization</v>
          </cell>
          <cell r="C1960" t="str">
            <v>HIMALAYAN BIO TRADE PVT. LTD.</v>
          </cell>
        </row>
        <row r="1961">
          <cell r="A1961" t="str">
            <v>C12740</v>
          </cell>
          <cell r="B1961" t="str">
            <v>Organization</v>
          </cell>
          <cell r="C1961" t="str">
            <v>MAGNUM LUBRICANTS INDIA PVT. LTD.</v>
          </cell>
        </row>
        <row r="1962">
          <cell r="A1962" t="str">
            <v>C12741</v>
          </cell>
          <cell r="B1962" t="str">
            <v>Organization</v>
          </cell>
          <cell r="C1962" t="str">
            <v>SIDDHAKALA BARRELS PVT.LTD.</v>
          </cell>
          <cell r="D1962" t="str">
            <v>7</v>
          </cell>
        </row>
        <row r="1963">
          <cell r="A1963" t="str">
            <v>C12742</v>
          </cell>
          <cell r="B1963" t="str">
            <v>Organization</v>
          </cell>
          <cell r="C1963" t="str">
            <v>ARJUN CHEMICALS PVT. LTD. - GUJARAT</v>
          </cell>
          <cell r="D1963" t="str">
            <v>90</v>
          </cell>
        </row>
        <row r="1964">
          <cell r="A1964" t="str">
            <v>C12743</v>
          </cell>
          <cell r="B1964" t="str">
            <v>Organization</v>
          </cell>
          <cell r="C1964" t="str">
            <v>MYSORE EXIM NATURAL AND FLORAL PRODUCTS</v>
          </cell>
        </row>
        <row r="1965">
          <cell r="A1965" t="str">
            <v>C12744</v>
          </cell>
          <cell r="B1965" t="str">
            <v>Organization</v>
          </cell>
          <cell r="C1965" t="str">
            <v>INNOVATIVE PLASTIC COMPANY</v>
          </cell>
          <cell r="D1965" t="str">
            <v>0</v>
          </cell>
        </row>
        <row r="1966">
          <cell r="A1966" t="str">
            <v>C12745</v>
          </cell>
          <cell r="B1966" t="str">
            <v>Organization</v>
          </cell>
          <cell r="C1966" t="str">
            <v>TRANSASIA PETROCHEM</v>
          </cell>
          <cell r="D1966" t="str">
            <v>0</v>
          </cell>
        </row>
        <row r="1967">
          <cell r="A1967" t="str">
            <v>C12746</v>
          </cell>
          <cell r="B1967" t="str">
            <v>Organization</v>
          </cell>
          <cell r="C1967" t="str">
            <v>BASF INDIA LTD. - BENGALURU</v>
          </cell>
        </row>
        <row r="1968">
          <cell r="A1968" t="str">
            <v>C12747</v>
          </cell>
          <cell r="B1968" t="str">
            <v>Organization</v>
          </cell>
          <cell r="C1968" t="str">
            <v>KENTEE OILS PVT. LTD.</v>
          </cell>
        </row>
        <row r="1969">
          <cell r="A1969" t="str">
            <v>C12748</v>
          </cell>
          <cell r="B1969" t="str">
            <v>Organization</v>
          </cell>
          <cell r="C1969" t="str">
            <v>HERBERT REBEIRO</v>
          </cell>
        </row>
        <row r="1970">
          <cell r="A1970" t="str">
            <v>C12749</v>
          </cell>
          <cell r="B1970" t="str">
            <v>Organization</v>
          </cell>
          <cell r="C1970" t="str">
            <v>MITC ROLLING MILLS PVT. LTD.</v>
          </cell>
        </row>
        <row r="1971">
          <cell r="A1971" t="str">
            <v>C12750</v>
          </cell>
          <cell r="B1971" t="str">
            <v>Organization</v>
          </cell>
          <cell r="C1971" t="str">
            <v>SOUTHGATE INDUSTRIES CO.LTD.</v>
          </cell>
          <cell r="D1971" t="str">
            <v>30</v>
          </cell>
        </row>
        <row r="1972">
          <cell r="A1972" t="str">
            <v>C12751</v>
          </cell>
          <cell r="B1972" t="str">
            <v>Organization</v>
          </cell>
          <cell r="C1972" t="str">
            <v>SAVITA OIL TECHNOLOGIES LIMITED - SILLI</v>
          </cell>
          <cell r="D1972" t="str">
            <v>30</v>
          </cell>
        </row>
        <row r="1973">
          <cell r="A1973" t="str">
            <v>C12752</v>
          </cell>
          <cell r="B1973" t="str">
            <v>Organization</v>
          </cell>
          <cell r="C1973" t="str">
            <v>PRINT-TECH SERVICES</v>
          </cell>
          <cell r="D1973" t="str">
            <v>0</v>
          </cell>
        </row>
        <row r="1974">
          <cell r="A1974" t="str">
            <v>C12753</v>
          </cell>
          <cell r="B1974" t="str">
            <v>Organization</v>
          </cell>
          <cell r="C1974" t="str">
            <v>TRADEWELL FERROMET PVT. LTD.</v>
          </cell>
          <cell r="D1974" t="str">
            <v>0</v>
          </cell>
        </row>
        <row r="1975">
          <cell r="A1975" t="str">
            <v>C12754</v>
          </cell>
          <cell r="B1975" t="str">
            <v>Organization</v>
          </cell>
          <cell r="C1975" t="str">
            <v>APPLIED ENGINEERING COMPANY</v>
          </cell>
          <cell r="D1975" t="str">
            <v>0</v>
          </cell>
        </row>
        <row r="1976">
          <cell r="A1976" t="str">
            <v>C12755</v>
          </cell>
          <cell r="B1976" t="str">
            <v>Organization</v>
          </cell>
          <cell r="C1976" t="str">
            <v>MECHEMCO RESINS PVT. LTD.</v>
          </cell>
          <cell r="D1976" t="str">
            <v>0</v>
          </cell>
        </row>
        <row r="1977">
          <cell r="A1977" t="str">
            <v>C12756</v>
          </cell>
          <cell r="B1977" t="str">
            <v>Organization</v>
          </cell>
          <cell r="C1977" t="str">
            <v>SAI OM PETRO SPECIALITIES LTD</v>
          </cell>
          <cell r="D1977" t="str">
            <v>0</v>
          </cell>
        </row>
        <row r="1978">
          <cell r="A1978" t="str">
            <v>C12757</v>
          </cell>
          <cell r="B1978" t="str">
            <v>Organization</v>
          </cell>
          <cell r="C1978" t="str">
            <v>AUTOCARE LUBRICANTS</v>
          </cell>
        </row>
        <row r="1979">
          <cell r="A1979" t="str">
            <v>C12758</v>
          </cell>
          <cell r="B1979" t="str">
            <v>Organization</v>
          </cell>
          <cell r="C1979" t="str">
            <v>BROADEN TRADING CO.</v>
          </cell>
        </row>
        <row r="1980">
          <cell r="A1980" t="str">
            <v>C12759</v>
          </cell>
          <cell r="B1980" t="str">
            <v>Organization</v>
          </cell>
          <cell r="C1980" t="str">
            <v>SIDDHARTH GREASE &amp; LUBES PRIVATE LIMITED.</v>
          </cell>
          <cell r="D1980" t="str">
            <v>30</v>
          </cell>
        </row>
        <row r="1981">
          <cell r="A1981" t="str">
            <v>C12760</v>
          </cell>
          <cell r="B1981" t="str">
            <v>Organization</v>
          </cell>
          <cell r="C1981" t="str">
            <v>SIGMAPOLYCHEM PVT LTD.</v>
          </cell>
          <cell r="D1981" t="str">
            <v>0</v>
          </cell>
        </row>
        <row r="1982">
          <cell r="A1982" t="str">
            <v>C12761</v>
          </cell>
          <cell r="B1982" t="str">
            <v>Organization</v>
          </cell>
          <cell r="C1982" t="str">
            <v>ANT ENTERPRISES PVT LTD</v>
          </cell>
          <cell r="D1982" t="str">
            <v>0</v>
          </cell>
        </row>
        <row r="1983">
          <cell r="A1983" t="str">
            <v>C12762</v>
          </cell>
          <cell r="B1983" t="str">
            <v>Organization</v>
          </cell>
          <cell r="C1983" t="str">
            <v>IPCA LABORATORIES LIMITED - RAIGAD</v>
          </cell>
          <cell r="D1983" t="str">
            <v>30</v>
          </cell>
        </row>
        <row r="1984">
          <cell r="A1984" t="str">
            <v>C12763</v>
          </cell>
          <cell r="B1984" t="str">
            <v>Organization</v>
          </cell>
          <cell r="C1984" t="str">
            <v>EAST INDIA DRUMS &amp; BARREL MANUFACTURING COMPANY</v>
          </cell>
          <cell r="D1984" t="str">
            <v>0</v>
          </cell>
        </row>
        <row r="1985">
          <cell r="A1985" t="str">
            <v>C12764</v>
          </cell>
          <cell r="B1985" t="str">
            <v>Organization</v>
          </cell>
          <cell r="C1985" t="str">
            <v>CONTINENTAL PETROLEUM LTD.</v>
          </cell>
          <cell r="D1985" t="str">
            <v>30</v>
          </cell>
        </row>
        <row r="1986">
          <cell r="A1986" t="str">
            <v>C12765</v>
          </cell>
          <cell r="B1986" t="str">
            <v>Organization</v>
          </cell>
          <cell r="C1986" t="str">
            <v>METACHEM MANUFACTURING COMPANY PVT. LTD.</v>
          </cell>
          <cell r="D1986" t="str">
            <v>0</v>
          </cell>
        </row>
        <row r="1987">
          <cell r="A1987" t="str">
            <v>C12766</v>
          </cell>
          <cell r="B1987" t="str">
            <v>Organization</v>
          </cell>
          <cell r="C1987" t="str">
            <v>VIDHATA METAL PVT. LTD.</v>
          </cell>
          <cell r="D1987" t="str">
            <v>1</v>
          </cell>
        </row>
        <row r="1988">
          <cell r="A1988" t="str">
            <v>C12767</v>
          </cell>
          <cell r="B1988" t="str">
            <v>Organization</v>
          </cell>
          <cell r="C1988" t="str">
            <v>VIKATMEV CONTAINERS LTD.  - SATARA</v>
          </cell>
          <cell r="D1988" t="str">
            <v>60</v>
          </cell>
        </row>
        <row r="1989">
          <cell r="A1989" t="str">
            <v>C12768</v>
          </cell>
          <cell r="B1989" t="str">
            <v>Organization</v>
          </cell>
          <cell r="C1989" t="str">
            <v>SARA ENTERPRISES</v>
          </cell>
          <cell r="D1989" t="str">
            <v>0</v>
          </cell>
        </row>
        <row r="1990">
          <cell r="A1990" t="str">
            <v>C12769</v>
          </cell>
          <cell r="B1990" t="str">
            <v>Organization</v>
          </cell>
          <cell r="C1990" t="str">
            <v>KANCOR SUZHOU INGREDIENTS LTD.</v>
          </cell>
          <cell r="D1990" t="str">
            <v>0</v>
          </cell>
        </row>
        <row r="1991">
          <cell r="A1991" t="str">
            <v>C12770</v>
          </cell>
          <cell r="B1991" t="str">
            <v>Organization</v>
          </cell>
          <cell r="C1991" t="str">
            <v>BALAJI INDUSTRIAL CORPN.</v>
          </cell>
          <cell r="D1991" t="str">
            <v>0</v>
          </cell>
        </row>
        <row r="1992">
          <cell r="A1992" t="str">
            <v>C12771</v>
          </cell>
          <cell r="B1992" t="str">
            <v>Organization</v>
          </cell>
          <cell r="C1992" t="str">
            <v>AJIT SHAH</v>
          </cell>
          <cell r="D1992" t="str">
            <v>0</v>
          </cell>
        </row>
        <row r="1993">
          <cell r="A1993" t="str">
            <v>C12772</v>
          </cell>
          <cell r="B1993" t="str">
            <v>Organization</v>
          </cell>
          <cell r="C1993" t="str">
            <v>S.K.UPADHYAY FRAGRANCE (P) LTD.</v>
          </cell>
          <cell r="D1993" t="str">
            <v>0</v>
          </cell>
        </row>
        <row r="1994">
          <cell r="A1994" t="str">
            <v>C12773</v>
          </cell>
          <cell r="B1994" t="str">
            <v>Organization</v>
          </cell>
          <cell r="C1994" t="str">
            <v>PETRO-GEM (INDIA)</v>
          </cell>
          <cell r="D1994" t="str">
            <v>0</v>
          </cell>
        </row>
        <row r="1995">
          <cell r="A1995" t="str">
            <v>C12774</v>
          </cell>
          <cell r="B1995" t="str">
            <v>Organization</v>
          </cell>
          <cell r="C1995" t="str">
            <v>EMBASSY PRINTING INKS PVT. LTD.</v>
          </cell>
          <cell r="D1995" t="str">
            <v>0</v>
          </cell>
        </row>
        <row r="1996">
          <cell r="A1996" t="str">
            <v>C12775</v>
          </cell>
          <cell r="B1996" t="str">
            <v>Organization</v>
          </cell>
          <cell r="C1996" t="str">
            <v>CARDAMOM PRODUCTS PVT LTD.</v>
          </cell>
          <cell r="D1996" t="str">
            <v>0</v>
          </cell>
        </row>
        <row r="1997">
          <cell r="A1997" t="str">
            <v>C12776</v>
          </cell>
          <cell r="B1997" t="str">
            <v>Organization</v>
          </cell>
          <cell r="C1997" t="str">
            <v>SHRIRAM FOUNDRY LTD</v>
          </cell>
          <cell r="D1997" t="str">
            <v>0</v>
          </cell>
        </row>
        <row r="1998">
          <cell r="A1998" t="str">
            <v>C12777</v>
          </cell>
          <cell r="B1998" t="str">
            <v>Organization</v>
          </cell>
          <cell r="C1998" t="str">
            <v>SPICERICH SEASONINGS PVT. LTD.</v>
          </cell>
          <cell r="D1998" t="str">
            <v>0</v>
          </cell>
        </row>
        <row r="1999">
          <cell r="A1999" t="str">
            <v>C12778</v>
          </cell>
          <cell r="B1999" t="str">
            <v>Organization</v>
          </cell>
          <cell r="C1999" t="str">
            <v>TMV NATURAL OILS &amp; EXTRACTS PVT LTD.</v>
          </cell>
          <cell r="D1999" t="str">
            <v>0</v>
          </cell>
        </row>
        <row r="2000">
          <cell r="A2000" t="str">
            <v>C12779</v>
          </cell>
          <cell r="B2000" t="str">
            <v>Organization</v>
          </cell>
          <cell r="C2000" t="str">
            <v>ASSOCIATED COCONUT PRODUCTS</v>
          </cell>
          <cell r="D2000" t="str">
            <v>0</v>
          </cell>
        </row>
        <row r="2001">
          <cell r="A2001" t="str">
            <v>C12780</v>
          </cell>
          <cell r="B2001" t="str">
            <v>Organization</v>
          </cell>
          <cell r="C2001" t="str">
            <v>SHAMROCK CHEMIE PVT. LTD.</v>
          </cell>
          <cell r="D2001" t="str">
            <v>0</v>
          </cell>
        </row>
        <row r="2002">
          <cell r="A2002" t="str">
            <v>C12781</v>
          </cell>
          <cell r="B2002" t="str">
            <v>Organization</v>
          </cell>
          <cell r="C2002" t="str">
            <v>MAYAS FRAGRACE SPECIALTIES</v>
          </cell>
          <cell r="D2002" t="str">
            <v>0</v>
          </cell>
        </row>
        <row r="2003">
          <cell r="A2003" t="str">
            <v>C12782</v>
          </cell>
          <cell r="B2003" t="str">
            <v>Organization</v>
          </cell>
          <cell r="C2003" t="str">
            <v>GARMON SOUTH ASIA CHEMICALS PVT LTD.</v>
          </cell>
        </row>
        <row r="2004">
          <cell r="A2004" t="str">
            <v>C12783</v>
          </cell>
          <cell r="B2004" t="str">
            <v>Organization</v>
          </cell>
          <cell r="C2004" t="str">
            <v>SHAKTI APIFOODS PVT. LTD.</v>
          </cell>
        </row>
        <row r="2005">
          <cell r="A2005" t="str">
            <v>C12784</v>
          </cell>
          <cell r="B2005" t="str">
            <v>Organization</v>
          </cell>
          <cell r="C2005" t="str">
            <v>PETRONA LUBRICANTS (I) PVT LTD. - ****NOT TO USE****</v>
          </cell>
        </row>
        <row r="2006">
          <cell r="A2006" t="str">
            <v>C12785</v>
          </cell>
          <cell r="B2006" t="str">
            <v>Organization</v>
          </cell>
          <cell r="C2006" t="str">
            <v>SIDDHIVINAYAK METALS</v>
          </cell>
        </row>
        <row r="2007">
          <cell r="A2007" t="str">
            <v>C12786</v>
          </cell>
          <cell r="B2007" t="str">
            <v>Organization</v>
          </cell>
          <cell r="C2007" t="str">
            <v>SEAL WELL ENTERPRISES</v>
          </cell>
        </row>
        <row r="2008">
          <cell r="A2008" t="str">
            <v>C12787</v>
          </cell>
          <cell r="B2008" t="str">
            <v>Organization</v>
          </cell>
          <cell r="C2008" t="str">
            <v>TRI-SURE CLOSURES SYSTEMS (ZHENJIANG) CO. LTD.</v>
          </cell>
        </row>
        <row r="2009">
          <cell r="A2009" t="str">
            <v>C12788</v>
          </cell>
          <cell r="B2009" t="str">
            <v>Organization</v>
          </cell>
          <cell r="C2009" t="str">
            <v>FABAIR</v>
          </cell>
        </row>
        <row r="2010">
          <cell r="A2010" t="str">
            <v>C12789</v>
          </cell>
          <cell r="B2010" t="str">
            <v>Organization</v>
          </cell>
          <cell r="C2010" t="str">
            <v>CETCON BUILDING TECHNOLOGIES PVT. LTD.</v>
          </cell>
        </row>
        <row r="2011">
          <cell r="A2011" t="str">
            <v>C12790</v>
          </cell>
          <cell r="B2011" t="str">
            <v>Organization</v>
          </cell>
          <cell r="C2011" t="str">
            <v>SUPER-TECH POWER SYSTEMS</v>
          </cell>
        </row>
        <row r="2012">
          <cell r="A2012" t="str">
            <v>C12791</v>
          </cell>
          <cell r="B2012" t="str">
            <v>Organization</v>
          </cell>
          <cell r="C2012" t="str">
            <v>SHREEJI TRADERS</v>
          </cell>
        </row>
        <row r="2013">
          <cell r="A2013" t="str">
            <v>C12792</v>
          </cell>
          <cell r="B2013" t="str">
            <v>Organization</v>
          </cell>
          <cell r="C2013" t="str">
            <v>ASIAN BARRELS PVT. LTD.</v>
          </cell>
          <cell r="D2013" t="str">
            <v>0</v>
          </cell>
        </row>
        <row r="2014">
          <cell r="A2014" t="str">
            <v>C12793</v>
          </cell>
          <cell r="B2014" t="str">
            <v>Organization</v>
          </cell>
          <cell r="C2014" t="str">
            <v>MEENAL CHEM INDUSTRIES</v>
          </cell>
        </row>
        <row r="2015">
          <cell r="A2015" t="str">
            <v>C12794</v>
          </cell>
          <cell r="B2015" t="str">
            <v>Organization</v>
          </cell>
          <cell r="C2015" t="str">
            <v>SHREE BALAJI INDUSTRIES</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Graphs"/>
      <sheetName val="GTS"/>
      <sheetName val="GRF"/>
      <sheetName val="INN"/>
      <sheetName val="PUB"/>
      <sheetName val="COR"/>
      <sheetName val="GTS TB"/>
      <sheetName val="GRF TB"/>
      <sheetName val="INN TB"/>
      <sheetName val="PUB TB"/>
      <sheetName val="COR TB"/>
      <sheetName val="Sales Fcst 101801"/>
      <sheetName val="Fab 5"/>
      <sheetName val="Staffing"/>
      <sheetName val="GRF Labor"/>
      <sheetName val="GRF Summ Labor"/>
      <sheetName val="PUB Labor"/>
      <sheetName val="INN Labor"/>
      <sheetName val="Allo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6Elec"/>
      <sheetName val="S15POL"/>
      <sheetName val="S17power"/>
      <sheetName val="S18EQPplan"/>
      <sheetName val="S19cap"/>
      <sheetName val="S20MSE Items"/>
      <sheetName val="S21Subcon"/>
      <sheetName val="S22PRW"/>
      <sheetName val="chart as per norms"/>
      <sheetName val="Officer"/>
      <sheetName val="staff &amp; DP"/>
      <sheetName val="S23ManNos"/>
      <sheetName val="S24Mancost"/>
      <sheetName val="S25EQPrep"/>
      <sheetName val="S26EQPhire"/>
      <sheetName val="S27EQPlease"/>
      <sheetName val="Working 1"/>
      <sheetName val="S28Rev"/>
      <sheetName val="Prelim-wrk-detail"/>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44 Depriciation"/>
      <sheetName val="S45 Refurbishment Charges"/>
      <sheetName val="Compatibility 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Lead- Schedule"/>
      <sheetName val="SDC-T"/>
      <sheetName val="PCD-T"/>
      <sheetName val="PCD-C"/>
      <sheetName val="PCD-N"/>
      <sheetName val="CWIP-15-16"/>
      <sheetName val="Sale of Assets"/>
      <sheetName val="Sheet1"/>
      <sheetName val="Sheet2"/>
      <sheetName val="Sheet3"/>
    </sheetNames>
    <sheetDataSet>
      <sheetData sheetId="0">
        <row r="11">
          <cell r="U11">
            <v>0</v>
          </cell>
        </row>
      </sheetData>
      <sheetData sheetId="1" refreshError="1"/>
      <sheetData sheetId="2">
        <row r="2">
          <cell r="AE2">
            <v>42460</v>
          </cell>
        </row>
      </sheetData>
      <sheetData sheetId="3">
        <row r="18">
          <cell r="S18">
            <v>11632296</v>
          </cell>
        </row>
      </sheetData>
      <sheetData sheetId="4">
        <row r="339">
          <cell r="Q339">
            <v>7463498</v>
          </cell>
        </row>
      </sheetData>
      <sheetData sheetId="5">
        <row r="9">
          <cell r="K9">
            <v>33567326</v>
          </cell>
        </row>
      </sheetData>
      <sheetData sheetId="6" refreshError="1"/>
      <sheetData sheetId="7" refreshError="1"/>
      <sheetData sheetId="8">
        <row r="1">
          <cell r="B1" t="str">
            <v>Name</v>
          </cell>
          <cell r="C1" t="str">
            <v>Fixed asset number</v>
          </cell>
        </row>
        <row r="2">
          <cell r="B2" t="str">
            <v>Main Factory &amp; Admin. (Consist</v>
          </cell>
          <cell r="C2" t="str">
            <v>BF PCDC PLNT 0001</v>
          </cell>
        </row>
        <row r="3">
          <cell r="B3" t="str">
            <v>Construction Of Shed for regri</v>
          </cell>
          <cell r="C3" t="str">
            <v>BF PCDC PLNT 0002</v>
          </cell>
        </row>
        <row r="4">
          <cell r="B4" t="str">
            <v>TUBE WELL</v>
          </cell>
          <cell r="C4" t="str">
            <v>BF PCDC PLNT 0003</v>
          </cell>
        </row>
        <row r="5">
          <cell r="B5" t="str">
            <v>LEAN TO SHEAD (VALEREX)</v>
          </cell>
          <cell r="C5" t="str">
            <v>BF PCDC PLNT 0004</v>
          </cell>
        </row>
        <row r="6">
          <cell r="B6" t="str">
            <v>ROAD</v>
          </cell>
          <cell r="C6" t="str">
            <v>BF PCDC PLNT 0005</v>
          </cell>
        </row>
        <row r="7">
          <cell r="B7" t="str">
            <v>COMPOUND WALL FACTORY</v>
          </cell>
          <cell r="C7" t="str">
            <v>BF PCDC PLNT 0006</v>
          </cell>
        </row>
        <row r="8">
          <cell r="B8" t="str">
            <v>COMPOUND WALL</v>
          </cell>
          <cell r="C8" t="str">
            <v>BF PCDN PLNT 0001</v>
          </cell>
        </row>
        <row r="9">
          <cell r="B9" t="str">
            <v>FACTORY BUILDING</v>
          </cell>
          <cell r="C9" t="str">
            <v>BF PCDN PLNT 0002</v>
          </cell>
        </row>
        <row r="10">
          <cell r="B10" t="str">
            <v>DEVELOPMENT OF ROAD</v>
          </cell>
          <cell r="C10" t="str">
            <v>BF PCDN PLNT 0003</v>
          </cell>
        </row>
        <row r="11">
          <cell r="B11" t="str">
            <v>BORE WELL</v>
          </cell>
          <cell r="C11" t="str">
            <v>BF PCDN PLNT 0004</v>
          </cell>
        </row>
        <row r="12">
          <cell r="B12" t="str">
            <v>BONDED WAREHOUSE-CONST WORK</v>
          </cell>
          <cell r="C12" t="str">
            <v>BLF PCDT FBV 0006</v>
          </cell>
        </row>
        <row r="13">
          <cell r="B13" t="str">
            <v>CONSTRUCTION OF ROAD</v>
          </cell>
          <cell r="C13" t="str">
            <v>BLF PCDT FBW 0006</v>
          </cell>
        </row>
        <row r="14">
          <cell r="B14" t="str">
            <v>TEE - SECTION 65 * 65 * 6</v>
          </cell>
          <cell r="C14" t="str">
            <v>BLF PCDT FBW 0007</v>
          </cell>
        </row>
        <row r="15">
          <cell r="B15" t="str">
            <v>GARDEN COMPOUND WALL</v>
          </cell>
          <cell r="C15" t="str">
            <v>BLF PCDT FBW 0008</v>
          </cell>
        </row>
        <row r="16">
          <cell r="B16" t="str">
            <v>BUILDING-ROAD</v>
          </cell>
          <cell r="C16" t="str">
            <v>BLF PCDT FBW 0009</v>
          </cell>
        </row>
        <row r="17">
          <cell r="B17" t="str">
            <v>BUILDING-ROAD</v>
          </cell>
          <cell r="C17" t="str">
            <v>BLF PCDT FBW 0010</v>
          </cell>
        </row>
        <row r="18">
          <cell r="B18" t="str">
            <v>TOILET &amp; DRIVERS REST ROOM</v>
          </cell>
          <cell r="C18" t="str">
            <v>BLF PCDT FBW 0011</v>
          </cell>
        </row>
        <row r="19">
          <cell r="B19" t="str">
            <v>RUBBLE WALL IN GARDEN</v>
          </cell>
          <cell r="C19" t="str">
            <v>BLF PCDT FBW 0012</v>
          </cell>
        </row>
        <row r="20">
          <cell r="B20" t="str">
            <v>RUBBLE WALL IN GARDEN</v>
          </cell>
          <cell r="C20" t="str">
            <v>BLF PCDT FBW 0013</v>
          </cell>
        </row>
        <row r="21">
          <cell r="B21" t="str">
            <v>RUBBLE WALL IN GARDEN</v>
          </cell>
          <cell r="C21" t="str">
            <v>BLF PCDT FBW 0014</v>
          </cell>
        </row>
        <row r="22">
          <cell r="B22" t="str">
            <v>BUILDING</v>
          </cell>
          <cell r="C22" t="str">
            <v>BLF PCDT FCV 0001</v>
          </cell>
        </row>
        <row r="23">
          <cell r="B23" t="str">
            <v>BUILDING</v>
          </cell>
          <cell r="C23" t="str">
            <v>BLF PCDT FCV 0002</v>
          </cell>
        </row>
        <row r="24">
          <cell r="B24" t="str">
            <v>BUILDING</v>
          </cell>
          <cell r="C24" t="str">
            <v>BLF PCDT FCW 0003</v>
          </cell>
        </row>
        <row r="25">
          <cell r="B25" t="str">
            <v>DESPATCH ROOM-FLOORING WORK</v>
          </cell>
          <cell r="C25" t="str">
            <v>BLF PCDT FDV 0003</v>
          </cell>
        </row>
        <row r="26">
          <cell r="B26" t="str">
            <v>BUILDING-LEAN TO SHED</v>
          </cell>
          <cell r="C26" t="str">
            <v>BLF PCDT FLW 0001</v>
          </cell>
        </row>
        <row r="27">
          <cell r="B27" t="str">
            <v>SINTEX WATER TANK - 20 KL CAP</v>
          </cell>
          <cell r="C27" t="str">
            <v>BLF PCDT FOW 0005</v>
          </cell>
        </row>
        <row r="28">
          <cell r="B28" t="str">
            <v>ROAD-CONSTRUCTION</v>
          </cell>
          <cell r="C28" t="str">
            <v>BLF PCDT FRW 0004</v>
          </cell>
        </row>
        <row r="29">
          <cell r="B29" t="str">
            <v>STORE ROOM-CONSTRUCTION WORK</v>
          </cell>
          <cell r="C29" t="str">
            <v>BLF PCDT FSV 0004</v>
          </cell>
        </row>
        <row r="30">
          <cell r="B30" t="str">
            <v>STORE ROOM-CONSTRUCTION WORK</v>
          </cell>
          <cell r="C30" t="str">
            <v>BLF PCDT FSV 0005</v>
          </cell>
        </row>
        <row r="31">
          <cell r="B31" t="str">
            <v>BUILDING-DROP TEST AREA</v>
          </cell>
          <cell r="C31" t="str">
            <v>BLF PCDT FTW 0002</v>
          </cell>
        </row>
        <row r="32">
          <cell r="B32" t="str">
            <v>BUILDING HT</v>
          </cell>
          <cell r="C32" t="str">
            <v>BLF PCDTFHC 0001</v>
          </cell>
        </row>
        <row r="33">
          <cell r="B33" t="str">
            <v>FLOORING</v>
          </cell>
          <cell r="C33" t="str">
            <v>BLF PCDTFOC 0002</v>
          </cell>
        </row>
        <row r="34">
          <cell r="B34" t="str">
            <v>CANTEEN BUILDING - CIVIL WORK</v>
          </cell>
          <cell r="C34" t="str">
            <v>BLF PCDTFOC 0003</v>
          </cell>
        </row>
        <row r="35">
          <cell r="B35" t="str">
            <v>FRP MOULD RADIAL EXHAUST</v>
          </cell>
          <cell r="C35" t="str">
            <v>BF SDCT PLNT-0 01</v>
          </cell>
        </row>
        <row r="36">
          <cell r="B36" t="str">
            <v>FRP MOULD RADIAL EXHAUST</v>
          </cell>
          <cell r="C36" t="str">
            <v>BF SDCT PLNT-0 02</v>
          </cell>
        </row>
        <row r="37">
          <cell r="B37" t="str">
            <v>CORPORATE OFFICE</v>
          </cell>
          <cell r="C37" t="str">
            <v>BF SDCT PLNT-0 03</v>
          </cell>
        </row>
        <row r="38">
          <cell r="B38" t="str">
            <v>FACTORY - SDC</v>
          </cell>
          <cell r="C38" t="str">
            <v>BF SDCT PLNT-0 04</v>
          </cell>
        </row>
        <row r="39">
          <cell r="B39" t="str">
            <v>CONSTRUCTION OF SEPTIC TANK &amp;</v>
          </cell>
          <cell r="C39" t="str">
            <v>BF SDCT PLNT-0 05</v>
          </cell>
        </row>
        <row r="40">
          <cell r="B40" t="str">
            <v>ALUMINUM CABIN(NEAR CANTEEN) W</v>
          </cell>
          <cell r="C40" t="str">
            <v>BF SDCT PLNT-0 06</v>
          </cell>
        </row>
        <row r="41">
          <cell r="B41" t="str">
            <v>PRODUCTION/PLATING/QC/TOOL CRI</v>
          </cell>
          <cell r="C41" t="str">
            <v>BF SDCT PLNT-0 07</v>
          </cell>
        </row>
        <row r="42">
          <cell r="B42" t="str">
            <v>BOREWELL DRILLING CHARGES</v>
          </cell>
          <cell r="C42" t="str">
            <v>BF SDCT PLNT-0 08</v>
          </cell>
        </row>
        <row r="43">
          <cell r="B43" t="str">
            <v>WARE HOUSE CONSTRUCTION</v>
          </cell>
          <cell r="C43" t="str">
            <v>BF SDCT PLNT-0 09</v>
          </cell>
        </row>
        <row r="44">
          <cell r="B44" t="str">
            <v>ETP SHED</v>
          </cell>
          <cell r="C44" t="str">
            <v>BF SDCT PLNT-0 10</v>
          </cell>
        </row>
        <row r="45">
          <cell r="B45" t="str">
            <v>ROAD CONSTRUCTION &amp; KERB STONE</v>
          </cell>
          <cell r="C45" t="str">
            <v>BF SDCT PLNT-0 11</v>
          </cell>
        </row>
        <row r="46">
          <cell r="B46" t="str">
            <v>WEIGH BRIDGE CONSTRUCTION</v>
          </cell>
          <cell r="C46" t="str">
            <v>BF SDCT PLNT-0 12</v>
          </cell>
        </row>
        <row r="47">
          <cell r="B47" t="str">
            <v>SECURITY CABIN</v>
          </cell>
          <cell r="C47" t="str">
            <v>BF SDCT PLNT-0 13</v>
          </cell>
        </row>
        <row r="48">
          <cell r="B48" t="str">
            <v>PC/AT 486 DX 2. NOS PRINTER EP</v>
          </cell>
          <cell r="C48" t="str">
            <v>CO PCDC COMP 0001</v>
          </cell>
        </row>
        <row r="49">
          <cell r="B49" t="str">
            <v xml:space="preserve"> 1KVA UPS SYSTEM</v>
          </cell>
          <cell r="C49" t="str">
            <v>CO PCDC COMP 0002</v>
          </cell>
        </row>
        <row r="50">
          <cell r="B50" t="str">
            <v>COMPUTER/MONITER/PRINTER 3 SET</v>
          </cell>
          <cell r="C50" t="str">
            <v>CO PCDC COMP 0003</v>
          </cell>
        </row>
        <row r="51">
          <cell r="B51" t="str">
            <v>COLOUR MONITER 2 NOS.&amp; UPS 1.N</v>
          </cell>
          <cell r="C51" t="str">
            <v>CO PCDC COMP 0004</v>
          </cell>
        </row>
        <row r="52">
          <cell r="B52" t="str">
            <v>CD WRITER AND UPS</v>
          </cell>
          <cell r="C52" t="str">
            <v>CO PCDC COMP 0005</v>
          </cell>
        </row>
        <row r="53">
          <cell r="B53" t="str">
            <v>STABILISERS 2 NOS.</v>
          </cell>
          <cell r="C53" t="str">
            <v>CO PCDC COMP 0006</v>
          </cell>
        </row>
        <row r="54">
          <cell r="B54" t="str">
            <v>PC 486   ____ MB ____ @ CHENNA</v>
          </cell>
          <cell r="C54" t="str">
            <v>CO PCDC COMP 0007</v>
          </cell>
        </row>
        <row r="55">
          <cell r="B55" t="str">
            <v>LASER PRINTER MAKE ____ MODEL</v>
          </cell>
          <cell r="C55" t="str">
            <v>CO PCDC COMP 0008</v>
          </cell>
        </row>
        <row r="56">
          <cell r="B56" t="str">
            <v>FROM : CALISYS TECHNOLOGY PVT</v>
          </cell>
          <cell r="C56" t="str">
            <v>CO PCDC COMP 0009</v>
          </cell>
        </row>
        <row r="57">
          <cell r="B57" t="str">
            <v>LENOVA  300 H 8823 3 AQ DESKTO</v>
          </cell>
          <cell r="C57" t="str">
            <v>CO PCDC COMP 0010</v>
          </cell>
        </row>
        <row r="58">
          <cell r="B58" t="str">
            <v>D LINK 600 VA UPS</v>
          </cell>
          <cell r="C58" t="str">
            <v>CO PCDC COMP 0011</v>
          </cell>
        </row>
        <row r="59">
          <cell r="B59" t="str">
            <v>LENOVA PENTIUM 1.73 GHZ 256 MB</v>
          </cell>
          <cell r="C59" t="str">
            <v>CO PCDC COMP 0012</v>
          </cell>
        </row>
        <row r="60">
          <cell r="B60" t="str">
            <v>RE 220 COPIER PRINTER</v>
          </cell>
          <cell r="C60" t="str">
            <v>CO PCDC COMP 0013</v>
          </cell>
        </row>
        <row r="61">
          <cell r="B61" t="str">
            <v>LAPTOP COMPUTER FOR GM  FINANC</v>
          </cell>
          <cell r="C61" t="str">
            <v>CO PCDC COMP 0014</v>
          </cell>
        </row>
        <row r="62">
          <cell r="B62" t="str">
            <v>TVS PRINTER MSP 345 FROM CENTU</v>
          </cell>
          <cell r="C62" t="str">
            <v>CO PCDC COMP 0015</v>
          </cell>
        </row>
        <row r="63">
          <cell r="B63" t="str">
            <v>DNT 100</v>
          </cell>
          <cell r="C63" t="str">
            <v>CO PCDC COMP 0016</v>
          </cell>
        </row>
        <row r="64">
          <cell r="B64" t="str">
            <v>P Dual Core 2 PC 2MB  1GB RAM</v>
          </cell>
          <cell r="C64" t="str">
            <v>CO PCDC COMP 0017</v>
          </cell>
        </row>
        <row r="65">
          <cell r="B65" t="str">
            <v>Wipro DS5235 HD Printer</v>
          </cell>
          <cell r="C65" t="str">
            <v>CO PCDC COMP 0018</v>
          </cell>
        </row>
        <row r="66">
          <cell r="B66" t="str">
            <v>DESKTOP PC-</v>
          </cell>
          <cell r="C66" t="str">
            <v>CO PCDC COMP 0020</v>
          </cell>
        </row>
        <row r="67">
          <cell r="B67" t="str">
            <v>DESKTOP PC- CORE 2 DUO</v>
          </cell>
          <cell r="C67" t="str">
            <v>CO PCDC COMP 0021</v>
          </cell>
        </row>
        <row r="68">
          <cell r="B68" t="str">
            <v>LAPTOP COMPUTER DELL (MARKETIN</v>
          </cell>
          <cell r="C68" t="str">
            <v>CO PCDC COMP 0022</v>
          </cell>
        </row>
        <row r="69">
          <cell r="B69" t="str">
            <v>HP PRINTER CN99B5Z23B</v>
          </cell>
          <cell r="C69" t="str">
            <v>CO PCDN PLNT 0001</v>
          </cell>
        </row>
        <row r="70">
          <cell r="B70" t="str">
            <v>PRINTER- HPM 1136</v>
          </cell>
          <cell r="C70" t="str">
            <v>CO PCDN PLNT 0002</v>
          </cell>
        </row>
        <row r="71">
          <cell r="B71" t="str">
            <v>3NOS OF PC PURCHASE AT D'DIN</v>
          </cell>
          <cell r="C71" t="str">
            <v>CO PCDN PLNT 0003</v>
          </cell>
        </row>
        <row r="72">
          <cell r="B72" t="str">
            <v>TVS  MSP 455XL CLASSIC, UPS, I</v>
          </cell>
          <cell r="C72" t="str">
            <v>CO PCDN PLNT 0004</v>
          </cell>
        </row>
        <row r="73">
          <cell r="B73" t="str">
            <v>MICROTEK- 1 KVA ONLINE UPS</v>
          </cell>
          <cell r="C73" t="str">
            <v>CO PCDN PLNT 0005</v>
          </cell>
        </row>
        <row r="74">
          <cell r="B74" t="str">
            <v>UPS BATTRIES 3 NOS -26AH</v>
          </cell>
          <cell r="C74" t="str">
            <v>CO PCDN PLNT 0006</v>
          </cell>
        </row>
        <row r="75">
          <cell r="C75" t="str">
            <v>CO PCDN PLNT 0007</v>
          </cell>
        </row>
        <row r="76">
          <cell r="B76" t="str">
            <v>HP PRINTER</v>
          </cell>
          <cell r="C76" t="str">
            <v>CO PCDN PLNT 0008</v>
          </cell>
        </row>
        <row r="77">
          <cell r="B77" t="str">
            <v>DESKTOP COMPUTER &amp; PRINTER (ST</v>
          </cell>
          <cell r="C77" t="str">
            <v>CO PCDN PLNT 0009</v>
          </cell>
        </row>
        <row r="78">
          <cell r="B78" t="str">
            <v>LAPTOP (  )</v>
          </cell>
          <cell r="C78" t="str">
            <v>CO PCDN PLNT 0010</v>
          </cell>
        </row>
        <row r="79">
          <cell r="B79" t="str">
            <v>UPS FOR DESKTOP (ST)</v>
          </cell>
          <cell r="C79" t="str">
            <v>CO PCDN PLNT 0011</v>
          </cell>
        </row>
        <row r="80">
          <cell r="B80" t="str">
            <v>PC FROM VARUN</v>
          </cell>
          <cell r="C80" t="str">
            <v>CO PCDT DTC 0001</v>
          </cell>
        </row>
        <row r="81">
          <cell r="B81" t="str">
            <v>PC FROM VARUN</v>
          </cell>
          <cell r="C81" t="str">
            <v>CO PCDT DTC 0002</v>
          </cell>
        </row>
        <row r="82">
          <cell r="B82" t="str">
            <v>PC FROM PIONEER</v>
          </cell>
          <cell r="C82" t="str">
            <v>CO PCDT DTC 0003</v>
          </cell>
        </row>
        <row r="83">
          <cell r="B83" t="str">
            <v>PC FROM PIONEER</v>
          </cell>
          <cell r="C83" t="str">
            <v>CO PCDT DTC 0004</v>
          </cell>
        </row>
        <row r="84">
          <cell r="B84" t="str">
            <v>PC FROM PIONEER</v>
          </cell>
          <cell r="C84" t="str">
            <v>CO PCDT DTC 0005</v>
          </cell>
        </row>
        <row r="85">
          <cell r="B85" t="str">
            <v>PC FROM PIONEER</v>
          </cell>
          <cell r="C85" t="str">
            <v>CO PCDT DTC 0006</v>
          </cell>
        </row>
        <row r="86">
          <cell r="B86" t="str">
            <v>PC FROM PIONEER</v>
          </cell>
          <cell r="C86" t="str">
            <v>CO PCDT DTC 0007</v>
          </cell>
        </row>
        <row r="87">
          <cell r="B87" t="str">
            <v>PC FROM PIONEER EDP 05</v>
          </cell>
          <cell r="C87" t="str">
            <v>CO PCDT DTC 0008</v>
          </cell>
        </row>
        <row r="88">
          <cell r="B88" t="str">
            <v>PC FROM PIONEER</v>
          </cell>
          <cell r="C88" t="str">
            <v>CO PCDT DTC 0009</v>
          </cell>
        </row>
        <row r="89">
          <cell r="B89" t="str">
            <v>MONITOR 15 COLOUR (LG/SAMSUNG"</v>
          </cell>
          <cell r="C89" t="str">
            <v>CO PCDT DTC 0010</v>
          </cell>
        </row>
        <row r="90">
          <cell r="B90" t="str">
            <v>PC-486</v>
          </cell>
          <cell r="C90" t="str">
            <v>CO PCDT DTV 0001</v>
          </cell>
        </row>
        <row r="91">
          <cell r="B91" t="str">
            <v>COMPUTER</v>
          </cell>
          <cell r="C91" t="str">
            <v>CO PCDT DTV 0002</v>
          </cell>
        </row>
        <row r="92">
          <cell r="B92" t="str">
            <v>DESKTOPS WITH AOC 17 SQ MONIT"</v>
          </cell>
          <cell r="C92" t="str">
            <v>CO PCDT DTV 0003</v>
          </cell>
        </row>
        <row r="93">
          <cell r="B93" t="str">
            <v>3 HARD DISKS- SD/SS/KP</v>
          </cell>
          <cell r="C93" t="str">
            <v>CO PCDT DTV 0004</v>
          </cell>
        </row>
        <row r="94">
          <cell r="B94" t="str">
            <v>13 HARD DISKS- SS</v>
          </cell>
          <cell r="C94" t="str">
            <v>CO PCDT DTV 0005</v>
          </cell>
        </row>
        <row r="95">
          <cell r="B95" t="str">
            <v>PENTAUM 2GB (MKTG) HO CN NO.6</v>
          </cell>
          <cell r="C95" t="str">
            <v>CO PCDT DTV 0006</v>
          </cell>
        </row>
        <row r="96">
          <cell r="B96" t="str">
            <v>COMPUTER HARDWARE/ PRINTER</v>
          </cell>
          <cell r="C96" t="str">
            <v>CO PCDT DTV 0007</v>
          </cell>
        </row>
        <row r="97">
          <cell r="B97" t="str">
            <v>IBM THINK PAD = SR.NO.AA-FMAWP</v>
          </cell>
          <cell r="C97" t="str">
            <v>CO PCDT DTV 0008</v>
          </cell>
        </row>
        <row r="98">
          <cell r="B98" t="str">
            <v>COMPUTERISED ATTANDANCE SYSTEM</v>
          </cell>
          <cell r="C98" t="str">
            <v>CO PCDT DTV 0009</v>
          </cell>
        </row>
        <row r="99">
          <cell r="B99" t="str">
            <v>PENTIUM P III 800 MHZ,64 MB 20</v>
          </cell>
          <cell r="C99" t="str">
            <v>CO PCDT DTV 0010</v>
          </cell>
        </row>
        <row r="100">
          <cell r="B100" t="str">
            <v>PENTIUM P III 800 MHZ,64 MB 20</v>
          </cell>
          <cell r="C100" t="str">
            <v>CO PCDT DTV 0011</v>
          </cell>
        </row>
        <row r="101">
          <cell r="B101" t="str">
            <v>PENTIUM PIV 256MB, 49 GB DATE</v>
          </cell>
          <cell r="C101" t="str">
            <v>CO PCDT DTV 0012</v>
          </cell>
        </row>
        <row r="102">
          <cell r="B102" t="str">
            <v>COLOUR MONITOR-LG- SIZE 15 DA"</v>
          </cell>
          <cell r="C102" t="str">
            <v>CO PCDT DTV 0013</v>
          </cell>
        </row>
        <row r="103">
          <cell r="B103" t="str">
            <v>INTEL PIV 2.26GHZ CPU -PENTIUM</v>
          </cell>
          <cell r="C103" t="str">
            <v>CO PCDT DTV 0014</v>
          </cell>
        </row>
        <row r="104">
          <cell r="B104" t="str">
            <v>PENTIUM PIV 256MB, 49 GB DATE</v>
          </cell>
          <cell r="C104" t="str">
            <v>CO PCDT DTV 0015</v>
          </cell>
        </row>
        <row r="105">
          <cell r="B105" t="str">
            <v>INTEL P4 256 MB RAM/1.44FDD/40</v>
          </cell>
          <cell r="C105" t="str">
            <v>CO PCDT DTV 0016</v>
          </cell>
        </row>
        <row r="106">
          <cell r="B106" t="str">
            <v>INTEL P-IV COMPUTER DDR 512</v>
          </cell>
          <cell r="C106" t="str">
            <v>CO PCDT DTV 0017</v>
          </cell>
        </row>
        <row r="107">
          <cell r="B107" t="str">
            <v>P.C. COMPUTERS- INTEL P4 - 2 N</v>
          </cell>
          <cell r="C107" t="str">
            <v>CO PCDT DTV 0018</v>
          </cell>
        </row>
        <row r="108">
          <cell r="B108" t="str">
            <v>19 TFT MONITOR - DKG"</v>
          </cell>
          <cell r="C108" t="str">
            <v>CO PCDT DTV 0019</v>
          </cell>
        </row>
        <row r="109">
          <cell r="B109" t="str">
            <v>COMPUTER-GM-O, AP, MNT, DESP,</v>
          </cell>
          <cell r="C109" t="str">
            <v>CO PCDT DTV 0020</v>
          </cell>
        </row>
        <row r="110">
          <cell r="B110" t="str">
            <v>COMP-INTEK P4-ISSUR, CHARU, SA</v>
          </cell>
          <cell r="C110" t="str">
            <v>CO PCDT DTV 0021</v>
          </cell>
        </row>
        <row r="111">
          <cell r="B111" t="str">
            <v>COMP-INTEL P4-MALIK ARJUN</v>
          </cell>
          <cell r="C111" t="str">
            <v>CO PCDT DTV 0022</v>
          </cell>
        </row>
        <row r="112">
          <cell r="B112" t="str">
            <v>COMPUTER 1 NO</v>
          </cell>
          <cell r="C112" t="str">
            <v>CO PCDT DTV 0023</v>
          </cell>
        </row>
        <row r="113">
          <cell r="B113" t="str">
            <v>COMPUTER 2 NOS</v>
          </cell>
          <cell r="C113" t="str">
            <v>CO PCDT DTV 0024</v>
          </cell>
        </row>
        <row r="114">
          <cell r="B114" t="str">
            <v>SOFT LINK SYSTEM - COMPUTER</v>
          </cell>
          <cell r="C114" t="str">
            <v>CO PCDT DTV 0025</v>
          </cell>
        </row>
        <row r="115">
          <cell r="B115" t="str">
            <v>COMPUTER PURCHASED S.Y. GHADHI</v>
          </cell>
          <cell r="C115" t="str">
            <v>CO PCDT DTV 0026</v>
          </cell>
        </row>
        <row r="116">
          <cell r="B116" t="str">
            <v>DESKTOP COMPUTERS  (4 NOS) CON</v>
          </cell>
          <cell r="C116" t="str">
            <v>CO PCDT DTV 0027</v>
          </cell>
        </row>
        <row r="117">
          <cell r="B117" t="str">
            <v>SVGA COLOUR MONITOR</v>
          </cell>
          <cell r="C117" t="str">
            <v>CO PCDT DTW 0001</v>
          </cell>
        </row>
        <row r="118">
          <cell r="B118" t="str">
            <v>WIPRO LAND MARK</v>
          </cell>
          <cell r="C118" t="str">
            <v>CO PCDT LTV 0001</v>
          </cell>
        </row>
        <row r="119">
          <cell r="B119" t="str">
            <v>NET GEAR WG 102 - PCI CAD FOR</v>
          </cell>
          <cell r="C119" t="str">
            <v>CO PCDT LTV 0002</v>
          </cell>
        </row>
        <row r="120">
          <cell r="B120" t="str">
            <v>COMPACQ PRESARIO M2002 - LAPTO</v>
          </cell>
          <cell r="C120" t="str">
            <v>CO PCDT LTV 0003</v>
          </cell>
        </row>
        <row r="121">
          <cell r="B121" t="str">
            <v>LAPTOPS 3 MSW 7 PROF (OEM) (SK</v>
          </cell>
          <cell r="C121" t="str">
            <v>CO PCDT LTV 0004</v>
          </cell>
        </row>
        <row r="122">
          <cell r="B122" t="str">
            <v>LAPTOP</v>
          </cell>
          <cell r="C122" t="str">
            <v>CO PCDT LTV 0005</v>
          </cell>
        </row>
        <row r="123">
          <cell r="B123" t="str">
            <v>LAPTOP ACER ASPIRE 5738Z  ONE</v>
          </cell>
          <cell r="C123" t="str">
            <v>CO PCDT LTV 0006</v>
          </cell>
        </row>
        <row r="124">
          <cell r="B124" t="str">
            <v>PRINTER DOT MATRIX EPSON</v>
          </cell>
          <cell r="C124" t="str">
            <v>CO PCDT OTC 0001</v>
          </cell>
        </row>
        <row r="125">
          <cell r="B125" t="str">
            <v>PRINTER DOT MATRIX EPSON</v>
          </cell>
          <cell r="C125" t="str">
            <v>CO PCDT OTC 0002</v>
          </cell>
        </row>
        <row r="126">
          <cell r="B126" t="str">
            <v>FES - COMPUTER ANIL PAL</v>
          </cell>
          <cell r="C126" t="str">
            <v>CO PCDT OTC 0005</v>
          </cell>
        </row>
        <row r="127">
          <cell r="B127" t="str">
            <v>LCD DISPLAY 5.7 GRAPHOC STN"</v>
          </cell>
          <cell r="C127" t="str">
            <v>CO PCDT OTC 0006</v>
          </cell>
        </row>
        <row r="128">
          <cell r="B128" t="str">
            <v>PLC PROGRAMING SOFTWARE</v>
          </cell>
          <cell r="C128" t="str">
            <v>CO PCDT OTV 0001</v>
          </cell>
        </row>
        <row r="129">
          <cell r="B129" t="str">
            <v>ATTENDANCE SYSTEM</v>
          </cell>
          <cell r="C129" t="str">
            <v>CO PCDT OTV 0002</v>
          </cell>
        </row>
        <row r="130">
          <cell r="B130" t="str">
            <v>SOFTWARE FOR WEIGHING SCALE</v>
          </cell>
          <cell r="C130" t="str">
            <v>CO PCDT OTV 0003</v>
          </cell>
        </row>
        <row r="131">
          <cell r="B131" t="str">
            <v>EPSON PRINTER</v>
          </cell>
          <cell r="C131" t="str">
            <v>CO PCDT OTV 0004</v>
          </cell>
        </row>
        <row r="132">
          <cell r="B132" t="str">
            <v>COMPUTER PRINTER</v>
          </cell>
          <cell r="C132" t="str">
            <v>CO PCDT OTV 0005</v>
          </cell>
        </row>
        <row r="133">
          <cell r="B133" t="str">
            <v>NOVELL NET 4110 USER</v>
          </cell>
          <cell r="C133" t="str">
            <v>CO PCDT OTV 0006</v>
          </cell>
        </row>
        <row r="134">
          <cell r="B134" t="str">
            <v>EX- 1050 PRINTER-SR. NO.EG7100</v>
          </cell>
          <cell r="C134" t="str">
            <v>CO PCDT OTV 0007</v>
          </cell>
        </row>
        <row r="135">
          <cell r="B135" t="str">
            <v>HP DESKJET PRINTER- 670 C (SSD</v>
          </cell>
          <cell r="C135" t="str">
            <v>CO PCDT OTV 0008</v>
          </cell>
        </row>
        <row r="136">
          <cell r="B136" t="str">
            <v>WIPRO VOYAGER - MW1 SYSTMS-CHE</v>
          </cell>
          <cell r="C136" t="str">
            <v>CO PCDT OTV 0009</v>
          </cell>
        </row>
        <row r="137">
          <cell r="B137" t="str">
            <v>HP - SCANNER</v>
          </cell>
          <cell r="C137" t="str">
            <v>CO PCDT OTV 0010</v>
          </cell>
        </row>
        <row r="138">
          <cell r="B138" t="str">
            <v>IBM X220 Server</v>
          </cell>
          <cell r="C138" t="str">
            <v>CO PCDT OTV 0011</v>
          </cell>
        </row>
        <row r="139">
          <cell r="B139" t="str">
            <v>PRINTER DOT MATRIX EPSON DATE</v>
          </cell>
          <cell r="C139" t="str">
            <v>CO PCDT OTV 0012</v>
          </cell>
        </row>
        <row r="140">
          <cell r="B140" t="str">
            <v>TOSHIBA MM PROJECTOR TLP 261 D</v>
          </cell>
          <cell r="C140" t="str">
            <v>CO PCDT OTV 0013</v>
          </cell>
        </row>
        <row r="141">
          <cell r="B141" t="str">
            <v>EPSON LQ-1150 DOT MATRIX PRINT</v>
          </cell>
          <cell r="C141" t="str">
            <v>CO PCDT OTV 0014</v>
          </cell>
        </row>
        <row r="142">
          <cell r="B142" t="str">
            <v>PRINTER BUBBLE JETPRINTER DATE</v>
          </cell>
          <cell r="C142" t="str">
            <v>CO PCDT OTV 0015</v>
          </cell>
        </row>
        <row r="143">
          <cell r="B143" t="str">
            <v>NET GEAR WG 102 - PCI CAD FOR</v>
          </cell>
          <cell r="C143" t="str">
            <v>CO PCDT OTV 0016</v>
          </cell>
        </row>
        <row r="144">
          <cell r="B144" t="str">
            <v>U P S FOR COMPUTER</v>
          </cell>
          <cell r="C144" t="str">
            <v>CO PCDT OTV 0017</v>
          </cell>
        </row>
        <row r="145">
          <cell r="B145" t="str">
            <v>EPSON LX 300 PRINTER</v>
          </cell>
          <cell r="C145" t="str">
            <v>CO PCDT OTV 0018</v>
          </cell>
        </row>
        <row r="146">
          <cell r="B146" t="str">
            <v>SERVER &amp; OTHER HARDWARE ITEM C</v>
          </cell>
          <cell r="C146" t="str">
            <v>CO PCDT OTV 0019</v>
          </cell>
        </row>
        <row r="147">
          <cell r="B147" t="str">
            <v>COMPUTERS -O BLOCK</v>
          </cell>
          <cell r="C147" t="str">
            <v>CO SDCT COMPTR 01</v>
          </cell>
        </row>
        <row r="148">
          <cell r="B148" t="str">
            <v>AQSA ELECTRONICS - COMPUTER -W</v>
          </cell>
          <cell r="C148" t="str">
            <v>CO SDCT COMPTR 02</v>
          </cell>
        </row>
        <row r="149">
          <cell r="B149" t="str">
            <v>COMPUTER - SHIVA PRASAD</v>
          </cell>
          <cell r="C149" t="str">
            <v>CO SDCT COMPTR 03</v>
          </cell>
        </row>
        <row r="150">
          <cell r="B150" t="str">
            <v>SOFT LINK SYSTEMS - COMPUTER M</v>
          </cell>
          <cell r="C150" t="str">
            <v>CO SDCT COMPTR 04</v>
          </cell>
        </row>
        <row r="151">
          <cell r="B151" t="str">
            <v>SOFT LINK SYSTEMS - INTEL CORE</v>
          </cell>
          <cell r="C151" t="str">
            <v>CO SDCT COMPTR 05</v>
          </cell>
        </row>
        <row r="152">
          <cell r="B152" t="str">
            <v>GALA PRINT SOLUTION - COMPUTER</v>
          </cell>
          <cell r="C152" t="str">
            <v>CO SDCT COMPTR 06</v>
          </cell>
        </row>
        <row r="153">
          <cell r="B153" t="str">
            <v>LAPTOP</v>
          </cell>
          <cell r="C153" t="str">
            <v>CO SDCT COMPTR 07</v>
          </cell>
        </row>
        <row r="154">
          <cell r="B154" t="str">
            <v>LAPTOP</v>
          </cell>
          <cell r="C154" t="str">
            <v>CO SDCT COMPTR 08</v>
          </cell>
        </row>
        <row r="155">
          <cell r="B155" t="str">
            <v>LAPTOP</v>
          </cell>
          <cell r="C155" t="str">
            <v>CO SDCT COMPTR 09</v>
          </cell>
        </row>
        <row r="156">
          <cell r="B156" t="str">
            <v>PC</v>
          </cell>
          <cell r="C156" t="str">
            <v>CO SDCT COMPTR 10</v>
          </cell>
        </row>
        <row r="157">
          <cell r="B157" t="str">
            <v>PC - U R RANE</v>
          </cell>
          <cell r="C157" t="str">
            <v>CO SDCT COMPTR 11</v>
          </cell>
        </row>
        <row r="158">
          <cell r="B158" t="str">
            <v>PC - R. KAMBLE</v>
          </cell>
          <cell r="C158" t="str">
            <v>CO SDCT COMPTR 12</v>
          </cell>
        </row>
        <row r="159">
          <cell r="B159" t="str">
            <v>LAPTOP</v>
          </cell>
          <cell r="C159" t="str">
            <v>CO SDCT COMPTR 13</v>
          </cell>
        </row>
        <row r="160">
          <cell r="B160" t="str">
            <v>FES - PC-SUNIL KUMAR (HCL 3GB</v>
          </cell>
          <cell r="C160" t="str">
            <v>CO SDCTCOMPTR 14</v>
          </cell>
        </row>
        <row r="161">
          <cell r="B161" t="str">
            <v>SERVER ( IBM X3500 M2,TOWER MO</v>
          </cell>
          <cell r="C161" t="str">
            <v>CO SDCTCOMPTR 15</v>
          </cell>
        </row>
        <row r="162">
          <cell r="B162" t="str">
            <v>DESKTOP WITH AOC 17Sq.MONITOR"</v>
          </cell>
          <cell r="C162" t="str">
            <v>CO SDCTCOMPTR 16</v>
          </cell>
        </row>
        <row r="163">
          <cell r="B163" t="str">
            <v>LAPTOP FOR K.MURALI - ACER ASP</v>
          </cell>
          <cell r="C163" t="str">
            <v>CO SDCTCOMPTR 17</v>
          </cell>
        </row>
        <row r="164">
          <cell r="B164" t="str">
            <v>INTEL CORE 2 DUO 2.93 GHZ/INTE</v>
          </cell>
          <cell r="C164" t="str">
            <v>CO SDCTCOMPTR 18</v>
          </cell>
        </row>
        <row r="165">
          <cell r="B165" t="str">
            <v>FES- COMPUTER -K.MURALI</v>
          </cell>
          <cell r="C165" t="str">
            <v>CO SDCTCOMPTR 19</v>
          </cell>
        </row>
        <row r="166">
          <cell r="B166" t="str">
            <v>PROJECTOR (LCD) MODEL INFOCUS</v>
          </cell>
          <cell r="C166" t="str">
            <v>CO SDCTCOMPTR 20</v>
          </cell>
        </row>
        <row r="167">
          <cell r="B167" t="str">
            <v>FES- LAPTOP  -V.D.PALKAR</v>
          </cell>
          <cell r="C167" t="str">
            <v>CO SDCTCOMPTR 21</v>
          </cell>
        </row>
        <row r="168">
          <cell r="B168" t="str">
            <v>MICROSOFT DYNAMICS AXAPTA 2009</v>
          </cell>
          <cell r="C168" t="str">
            <v>CO SDCTCOMPTR 22</v>
          </cell>
        </row>
        <row r="169">
          <cell r="B169" t="str">
            <v>FORTIGATE FIREWALL FG-80C WITH</v>
          </cell>
          <cell r="C169" t="str">
            <v>CO SDCTCOMPTR 23</v>
          </cell>
        </row>
        <row r="170">
          <cell r="B170" t="str">
            <v>CITRIX XENAPP FUNDAMENTAL WITH</v>
          </cell>
          <cell r="C170" t="str">
            <v>CO SDCTCOMPTR 24</v>
          </cell>
        </row>
        <row r="171">
          <cell r="B171" t="str">
            <v>INSTALLATION,IMPLEMENTATION &amp;</v>
          </cell>
          <cell r="C171" t="str">
            <v>CO SDCTCOMPTR 25</v>
          </cell>
        </row>
        <row r="172">
          <cell r="B172" t="str">
            <v>ELECTRICAL CABLES</v>
          </cell>
          <cell r="C172" t="str">
            <v>EAO PCDT TUR 0001</v>
          </cell>
        </row>
        <row r="173">
          <cell r="B173" t="str">
            <v>EXPRESS FEEDER</v>
          </cell>
          <cell r="C173" t="str">
            <v>EAO PCDT TUR 0002</v>
          </cell>
        </row>
        <row r="174">
          <cell r="B174" t="str">
            <v>AIR CONDITIONER MACHINE</v>
          </cell>
          <cell r="C174" t="str">
            <v>FF PCDC AIRC 0706</v>
          </cell>
        </row>
        <row r="175">
          <cell r="B175" t="str">
            <v>FAX MACHINE</v>
          </cell>
          <cell r="C175" t="str">
            <v>FF PCDC AIRC 0707</v>
          </cell>
        </row>
        <row r="176">
          <cell r="B176" t="str">
            <v>DINING TABLE WITH 6 CHAIRS</v>
          </cell>
          <cell r="C176" t="str">
            <v>FF PCDC GUST 0201</v>
          </cell>
        </row>
        <row r="177">
          <cell r="B177" t="str">
            <v>SOFA SET 1NO.</v>
          </cell>
          <cell r="C177" t="str">
            <v>FF PCDC GUST 0202</v>
          </cell>
        </row>
        <row r="178">
          <cell r="B178" t="str">
            <v>DINING TABLE WITH 4 CHAIRS</v>
          </cell>
          <cell r="C178" t="str">
            <v>FF PCDC GUST 0203</v>
          </cell>
        </row>
        <row r="179">
          <cell r="B179" t="str">
            <v>AIR COOLAR VIDEOCON 1NO.</v>
          </cell>
          <cell r="C179" t="str">
            <v>FF PCDC GUST 0204</v>
          </cell>
        </row>
        <row r="180">
          <cell r="B180" t="str">
            <v>COTS WITH MATRESS 8 SETS.</v>
          </cell>
          <cell r="C180" t="str">
            <v>FF PCDC GUST 0205</v>
          </cell>
        </row>
        <row r="181">
          <cell r="B181" t="str">
            <v>CEILLING FAN</v>
          </cell>
          <cell r="C181" t="str">
            <v>FF PCDC GUST 0206</v>
          </cell>
        </row>
        <row r="182">
          <cell r="B182" t="str">
            <v>PHILLIPS MAKE CTV FOR GUEST HO</v>
          </cell>
          <cell r="C182" t="str">
            <v>FF PCDC GUST 0207</v>
          </cell>
        </row>
        <row r="183">
          <cell r="B183" t="str">
            <v>REFRIGRETOR GODREJ 165LTR. 1NO</v>
          </cell>
          <cell r="C183" t="str">
            <v>FF PCDC PLNT 0101</v>
          </cell>
        </row>
        <row r="184">
          <cell r="B184" t="str">
            <v>STEEL ALMIRAH 4 NOS.</v>
          </cell>
          <cell r="C184" t="str">
            <v>FF PCDC PLNT 0104</v>
          </cell>
        </row>
        <row r="185">
          <cell r="B185" t="str">
            <v>STEEL CHAIRS WITH ARM 5 NOS.</v>
          </cell>
          <cell r="C185" t="str">
            <v>FF PCDC PLNT 0105</v>
          </cell>
        </row>
        <row r="186">
          <cell r="B186" t="str">
            <v>STEEL CHAIRS WITHOUT ARM 5 NOS</v>
          </cell>
          <cell r="C186" t="str">
            <v>FF PCDC PLNT 0106</v>
          </cell>
        </row>
        <row r="187">
          <cell r="B187" t="str">
            <v>STEEL TABLE WITH DOUBLE DRAWER</v>
          </cell>
          <cell r="C187" t="str">
            <v>FF PCDC PLNT 0107</v>
          </cell>
        </row>
        <row r="188">
          <cell r="B188" t="str">
            <v>STEEL TABLE WITH 3 DRAWER 5 NO</v>
          </cell>
          <cell r="C188" t="str">
            <v>FF PCDC PLNT 0108</v>
          </cell>
        </row>
        <row r="189">
          <cell r="B189" t="str">
            <v>CEILLING FAN  1NO.</v>
          </cell>
          <cell r="C189" t="str">
            <v>FF PCDC PLNT 0109</v>
          </cell>
        </row>
        <row r="190">
          <cell r="B190" t="str">
            <v>TABLE &amp; RACKS IN FACTORY OFFIC</v>
          </cell>
          <cell r="C190" t="str">
            <v>FF PCDC PLNT 1002</v>
          </cell>
        </row>
        <row r="191">
          <cell r="B191" t="str">
            <v>REFRIGRETOR 100 LTRS GODREJ 1N</v>
          </cell>
          <cell r="C191" t="str">
            <v>FF PCDC PLNT 1003</v>
          </cell>
        </row>
        <row r="192">
          <cell r="B192" t="str">
            <v>STEEL RAC 2NOS.</v>
          </cell>
          <cell r="C192" t="str">
            <v>FF PCDC PLNT 1010</v>
          </cell>
        </row>
        <row r="193">
          <cell r="B193" t="str">
            <v>HIGH BACK CHAIRS WITH PU ARMS</v>
          </cell>
          <cell r="C193" t="str">
            <v>FF PCDC PLNT 1011</v>
          </cell>
        </row>
        <row r="194">
          <cell r="B194" t="str">
            <v>LOW BACK CHAIRS WITH ARMS 2 NO</v>
          </cell>
          <cell r="C194" t="str">
            <v>FF PCDC PLNT 1012</v>
          </cell>
        </row>
        <row r="195">
          <cell r="B195" t="str">
            <v>VISITORS CHAIRS  18 NOS.</v>
          </cell>
          <cell r="C195" t="str">
            <v>FF PCDC PLNT 1013</v>
          </cell>
        </row>
        <row r="196">
          <cell r="B196" t="str">
            <v>24 PADESTAL FAN 2NOS."</v>
          </cell>
          <cell r="C196" t="str">
            <v>FF PCDC PLNT 1014</v>
          </cell>
        </row>
        <row r="197">
          <cell r="B197" t="str">
            <v>PADESTAL FAN 1 NO.</v>
          </cell>
          <cell r="C197" t="str">
            <v>FF PCDC PLNT 1015</v>
          </cell>
        </row>
        <row r="198">
          <cell r="B198" t="str">
            <v>REVOLVING CHAIRS 2NO.</v>
          </cell>
          <cell r="C198" t="str">
            <v>FF PCDC PLNT 1016</v>
          </cell>
        </row>
        <row r="199">
          <cell r="B199" t="str">
            <v>RACKS &amp; PARTITION</v>
          </cell>
          <cell r="C199" t="str">
            <v>FF PCDC PLNT 1017</v>
          </cell>
        </row>
        <row r="200">
          <cell r="B200" t="str">
            <v>GODREJ MAKE CASH SAFE BOX OF S</v>
          </cell>
          <cell r="C200" t="str">
            <v>FF PCDC PLNT 1018</v>
          </cell>
        </row>
        <row r="201">
          <cell r="B201" t="str">
            <v>WOODEN COT 2 NOS  FOR GUEST HO</v>
          </cell>
          <cell r="C201" t="str">
            <v>FF PCDC PLNT 1019</v>
          </cell>
        </row>
        <row r="202">
          <cell r="B202" t="str">
            <v>VIRBRATOY MACHINE TRFD FROM GA</v>
          </cell>
          <cell r="C202" t="str">
            <v>FF PCDC PLNT 1020</v>
          </cell>
        </row>
        <row r="203">
          <cell r="B203" t="str">
            <v>WASHING M/C TRFD FROM GAL</v>
          </cell>
          <cell r="C203" t="str">
            <v>FF PCDC PLNT 1021</v>
          </cell>
        </row>
        <row r="204">
          <cell r="B204" t="str">
            <v>EUREKA 1806 MED BACK ABS EXE.</v>
          </cell>
          <cell r="C204" t="str">
            <v>FF PCDC PLNT 1022</v>
          </cell>
        </row>
        <row r="205">
          <cell r="B205" t="str">
            <v>EUREKA NFC 010 NETTED EXE. CHA</v>
          </cell>
          <cell r="C205" t="str">
            <v>FF PCDC PLNT 1023</v>
          </cell>
        </row>
        <row r="206">
          <cell r="B206" t="str">
            <v>EUREKA 1901 MILANO HI- BACK EX</v>
          </cell>
          <cell r="C206" t="str">
            <v>FF PCDC PLNT 1024</v>
          </cell>
        </row>
        <row r="207">
          <cell r="B207" t="str">
            <v>EXECUTIVE OFFICE TABLE( SIZE 6</v>
          </cell>
          <cell r="C207" t="str">
            <v>FF PCDC PLNT 1025</v>
          </cell>
        </row>
        <row r="208">
          <cell r="B208" t="str">
            <v>FANS ( CROMPTON MAKE) FOR GUES</v>
          </cell>
          <cell r="C208" t="str">
            <v>FF PCDC PLNT 1026</v>
          </cell>
        </row>
        <row r="209">
          <cell r="B209" t="str">
            <v>ADDITIONAL CHARGES OF CHANGE</v>
          </cell>
          <cell r="C209" t="str">
            <v>FF PCDC PLNT 1027</v>
          </cell>
        </row>
        <row r="210">
          <cell r="B210" t="str">
            <v>WEIGHING MACHINE 30 KG CAPACIT</v>
          </cell>
          <cell r="C210" t="str">
            <v>FF PCDC PLNT 1028</v>
          </cell>
        </row>
        <row r="211">
          <cell r="B211" t="str">
            <v>FAN 1 NO. FROM KANCHI TRADERS</v>
          </cell>
          <cell r="C211" t="str">
            <v>FF PCDC PLNT 1029</v>
          </cell>
        </row>
        <row r="212">
          <cell r="B212" t="str">
            <v>CROMPTON FAN 2 NOS FOR GUEST H</v>
          </cell>
          <cell r="C212" t="str">
            <v>FF PCDC PLNT 1030</v>
          </cell>
        </row>
        <row r="213">
          <cell r="B213" t="str">
            <v>TABLES 2 NOS FOR CASH SAFE &amp; P</v>
          </cell>
          <cell r="C213" t="str">
            <v>FF PCDC PLNT 1031</v>
          </cell>
        </row>
        <row r="214">
          <cell r="B214" t="str">
            <v>MOBILE PHONE FOR MR. TPJ</v>
          </cell>
          <cell r="C214" t="str">
            <v>FF PCDC PLNT 1032</v>
          </cell>
        </row>
        <row r="215">
          <cell r="B215" t="str">
            <v>FURNITURE WORK IN OFFICE - CUP</v>
          </cell>
          <cell r="C215" t="str">
            <v>FF PCDC PLNT 1033</v>
          </cell>
        </row>
        <row r="216">
          <cell r="C216" t="str">
            <v>FF PCDC PLNT 1034</v>
          </cell>
        </row>
        <row r="217">
          <cell r="B217" t="str">
            <v>RACKS (NILKAMAL MAKE FOR PRODN</v>
          </cell>
          <cell r="C217" t="str">
            <v>FF PCDC PLNT 1035</v>
          </cell>
        </row>
        <row r="218">
          <cell r="B218" t="str">
            <v>PEDESTAL FAN 30 (ALMONARD MAK"</v>
          </cell>
          <cell r="C218" t="str">
            <v>FF PCDC PLNT 1036</v>
          </cell>
        </row>
        <row r="219">
          <cell r="B219" t="str">
            <v>BAG CLOSING MACHINE (REVO MODE</v>
          </cell>
          <cell r="C219" t="str">
            <v>FF PCDC PLNT 1037</v>
          </cell>
        </row>
        <row r="220">
          <cell r="B220" t="str">
            <v>STEEL CUP BOARD 6.5 FT</v>
          </cell>
          <cell r="C220" t="str">
            <v>FF PCDC PLNT 1038</v>
          </cell>
        </row>
        <row r="221">
          <cell r="B221" t="str">
            <v>SOFA SET SINGLE -5</v>
          </cell>
          <cell r="C221" t="str">
            <v>FF PCDC PLNT 1039</v>
          </cell>
        </row>
        <row r="222">
          <cell r="B222" t="str">
            <v>FILE CUPBOARD (WOODEN)</v>
          </cell>
          <cell r="C222" t="str">
            <v>FF PCDC PLNT 1040</v>
          </cell>
        </row>
        <row r="223">
          <cell r="B223" t="str">
            <v>ELECTRICL FANS (8)</v>
          </cell>
          <cell r="C223" t="str">
            <v>FF PCDC PLNT 1041</v>
          </cell>
        </row>
        <row r="224">
          <cell r="B224" t="str">
            <v>TROLLEY</v>
          </cell>
          <cell r="C224" t="str">
            <v>FF PCDC PLNT 1042</v>
          </cell>
        </row>
        <row r="225">
          <cell r="B225" t="str">
            <v xml:space="preserve"> DOUBLE BED  6 X 6</v>
          </cell>
          <cell r="C225" t="str">
            <v>FF PCDN GUST 0001</v>
          </cell>
        </row>
        <row r="226">
          <cell r="B226" t="str">
            <v xml:space="preserve"> SINGLE BED  6 X 3</v>
          </cell>
          <cell r="C226" t="str">
            <v>FF PCDN GUST 0002</v>
          </cell>
        </row>
        <row r="227">
          <cell r="B227" t="str">
            <v xml:space="preserve"> L G COLOUR TV SET</v>
          </cell>
          <cell r="C227" t="str">
            <v>FF PCDN GUST 0003</v>
          </cell>
        </row>
        <row r="228">
          <cell r="B228" t="str">
            <v xml:space="preserve"> SOFA SET</v>
          </cell>
          <cell r="C228" t="str">
            <v>FF PCDN GUST 0004</v>
          </cell>
        </row>
        <row r="229">
          <cell r="B229" t="str">
            <v xml:space="preserve"> CENTRE TABLE</v>
          </cell>
          <cell r="C229" t="str">
            <v>FF PCDN GUST 0005</v>
          </cell>
        </row>
        <row r="230">
          <cell r="B230" t="str">
            <v xml:space="preserve"> DINING SET 6 SEATERS</v>
          </cell>
          <cell r="C230" t="str">
            <v>FF PCDN GUST 0006</v>
          </cell>
        </row>
        <row r="231">
          <cell r="B231" t="str">
            <v xml:space="preserve"> L G FRIDGE</v>
          </cell>
          <cell r="C231" t="str">
            <v>FF PCDN GUST 0007</v>
          </cell>
        </row>
        <row r="232">
          <cell r="B232" t="str">
            <v xml:space="preserve"> SINGLE BED</v>
          </cell>
          <cell r="C232" t="str">
            <v>FF PCDN GUST 0008</v>
          </cell>
        </row>
        <row r="233">
          <cell r="B233" t="str">
            <v xml:space="preserve"> MIXI</v>
          </cell>
          <cell r="C233" t="str">
            <v>FF PCDN GUST 0009</v>
          </cell>
        </row>
        <row r="234">
          <cell r="B234" t="str">
            <v xml:space="preserve"> CABINET</v>
          </cell>
          <cell r="C234" t="str">
            <v>FF PCDN PLNT 0001</v>
          </cell>
        </row>
        <row r="235">
          <cell r="B235" t="str">
            <v xml:space="preserve"> TABLE 2' X 3'  X 30"	Tangible	Yes	No	1.00	Yes_x000D_FF PCDN"</v>
          </cell>
          <cell r="C235" t="str">
            <v>FF PCDN PLNT 0002</v>
          </cell>
        </row>
        <row r="236">
          <cell r="B236" t="str">
            <v xml:space="preserve"> ALMANOLD PEDESTAL FAN</v>
          </cell>
          <cell r="C236" t="str">
            <v>FF PCDN PLNT 0004</v>
          </cell>
        </row>
        <row r="237">
          <cell r="B237" t="str">
            <v>FURNITURE - CUP BOARD, TABLE,</v>
          </cell>
          <cell r="C237" t="str">
            <v>FF PCDN PLNT 0005</v>
          </cell>
        </row>
        <row r="238">
          <cell r="B238" t="str">
            <v>BAJAJ MAKE COOLER  01NOs. FOR</v>
          </cell>
          <cell r="C238" t="str">
            <v>FF PCDN PLNT 0006</v>
          </cell>
        </row>
        <row r="239">
          <cell r="B239" t="str">
            <v>02 NOS. OF VOLTAS SPLIT 1.5 TR</v>
          </cell>
          <cell r="C239" t="str">
            <v>FF PCDN PLNT 0007</v>
          </cell>
        </row>
        <row r="240">
          <cell r="B240" t="str">
            <v>0</v>
          </cell>
          <cell r="C240" t="str">
            <v>FF PCDN PLNT 0008</v>
          </cell>
        </row>
        <row r="241">
          <cell r="B241" t="str">
            <v>02 Nos. CHAIR, 01 No. TABLE, 0</v>
          </cell>
          <cell r="C241" t="str">
            <v>FF PCDN PLNT 0009</v>
          </cell>
        </row>
        <row r="242">
          <cell r="B242" t="str">
            <v>CONFRNCE HALL TABLE 01Nos,CHAI</v>
          </cell>
          <cell r="C242" t="str">
            <v>FF PCDN PLNT 0010</v>
          </cell>
        </row>
        <row r="243">
          <cell r="B243" t="str">
            <v>WALL WATCH QTY. 03</v>
          </cell>
          <cell r="C243" t="str">
            <v>FF PCDN PLNT 0011</v>
          </cell>
        </row>
        <row r="244">
          <cell r="B244" t="str">
            <v>EXHAUST FAN QTY. 01</v>
          </cell>
          <cell r="C244" t="str">
            <v>FF PCDN PLNT 0012</v>
          </cell>
        </row>
        <row r="245">
          <cell r="B245" t="str">
            <v>COMPUTER TABLE WOODEN (SMALL)</v>
          </cell>
          <cell r="C245" t="str">
            <v>FF PCDN PLNT 0013</v>
          </cell>
        </row>
        <row r="246">
          <cell r="B246" t="str">
            <v>CEILING FAN, HEATER &amp; EXHAUST</v>
          </cell>
          <cell r="C246" t="str">
            <v>FF PCDN PLNT 0014</v>
          </cell>
        </row>
        <row r="247">
          <cell r="B247" t="str">
            <v>SAMSUNG-1410 GURU MOBILE - 01</v>
          </cell>
          <cell r="C247" t="str">
            <v>FF PCDN PLNT 0015</v>
          </cell>
        </row>
        <row r="248">
          <cell r="B248" t="str">
            <v>VERTICAL BLIND IN OFFICE</v>
          </cell>
          <cell r="C248" t="str">
            <v>FF PCDN PLNT 0016</v>
          </cell>
        </row>
        <row r="249">
          <cell r="B249" t="str">
            <v>VERTICAL BLIND IN OFFICE</v>
          </cell>
          <cell r="C249" t="str">
            <v>FF PCDN PLNT 0017</v>
          </cell>
        </row>
        <row r="250">
          <cell r="B250" t="str">
            <v>600 VA UPS</v>
          </cell>
          <cell r="C250" t="str">
            <v>FF PCDN PLNT 0018</v>
          </cell>
        </row>
        <row r="251">
          <cell r="B251" t="str">
            <v>LG REFRIGERATOR MODEL NO. 185T</v>
          </cell>
          <cell r="C251" t="str">
            <v>FF PCDN PLNT 0019</v>
          </cell>
        </row>
        <row r="252">
          <cell r="B252" t="str">
            <v>QC LAB FURNITURE &amp; OFFICE U SH</v>
          </cell>
          <cell r="C252" t="str">
            <v>FF PCDN PLNT 0020</v>
          </cell>
        </row>
        <row r="253">
          <cell r="B253" t="str">
            <v>SOFT BOARD &amp; BOARD STAND</v>
          </cell>
          <cell r="C253" t="str">
            <v>FF PCDN PLNT 0021</v>
          </cell>
        </row>
        <row r="254">
          <cell r="B254" t="str">
            <v>4 NOS CHAIRS</v>
          </cell>
          <cell r="C254" t="str">
            <v>FF PCDN PLNT 0022</v>
          </cell>
        </row>
        <row r="255">
          <cell r="B255" t="str">
            <v>3 NOS CUPBOARD</v>
          </cell>
          <cell r="C255" t="str">
            <v>FF PCDN PLNT 0023</v>
          </cell>
        </row>
        <row r="256">
          <cell r="B256" t="str">
            <v>TABLE</v>
          </cell>
          <cell r="C256" t="str">
            <v>FF PCDN PLNT 0024</v>
          </cell>
        </row>
        <row r="257">
          <cell r="B257" t="str">
            <v>CHAIRS</v>
          </cell>
          <cell r="C257" t="str">
            <v>FF PCDN PLNT 0025</v>
          </cell>
        </row>
        <row r="258">
          <cell r="B258" t="str">
            <v>CASH BOX GODREJ</v>
          </cell>
          <cell r="C258" t="str">
            <v>FF PCDN PLNT 0026</v>
          </cell>
        </row>
        <row r="259">
          <cell r="B259" t="str">
            <v>INVERTER (GH)</v>
          </cell>
          <cell r="C259" t="str">
            <v>FF PCDN PLNT 0027</v>
          </cell>
        </row>
        <row r="260">
          <cell r="B260" t="str">
            <v>WATER PURIFIER</v>
          </cell>
          <cell r="C260" t="str">
            <v>FF PCDN PLNT 0028</v>
          </cell>
        </row>
        <row r="261">
          <cell r="B261" t="str">
            <v>PADESTAL FAN</v>
          </cell>
          <cell r="C261" t="str">
            <v>FF PCDN PLNT 0029</v>
          </cell>
        </row>
        <row r="262">
          <cell r="B262" t="str">
            <v>FES - CSM</v>
          </cell>
          <cell r="C262" t="str">
            <v>FF PCDT FEC 0001</v>
          </cell>
        </row>
        <row r="263">
          <cell r="B263" t="str">
            <v>FES- WATER PURIFIER/TOASTMAKER</v>
          </cell>
          <cell r="C263" t="str">
            <v>FF PCDT FEC 0002</v>
          </cell>
        </row>
        <row r="264">
          <cell r="B264" t="str">
            <v>FES- GILNA HOB- MODEL- GST4B (</v>
          </cell>
          <cell r="C264" t="str">
            <v>FF PCDT FEC 0003</v>
          </cell>
        </row>
        <row r="265">
          <cell r="B265" t="str">
            <v>FES- WINDOW A/C UNDER - YKS</v>
          </cell>
          <cell r="C265" t="str">
            <v>FF PCDT FEC 0004</v>
          </cell>
        </row>
        <row r="266">
          <cell r="B266" t="str">
            <v>DIGITAL DSS CONSOLE (60 DSS) -</v>
          </cell>
          <cell r="C266" t="str">
            <v>FF PCDT FFC 0060</v>
          </cell>
        </row>
        <row r="267">
          <cell r="B267" t="str">
            <v>PEDESTAL FANS</v>
          </cell>
          <cell r="C267" t="str">
            <v>FF PCDT FFC 0061</v>
          </cell>
        </row>
        <row r="268">
          <cell r="B268" t="str">
            <v>BLUESTAR STAINLESS STEEL WATER</v>
          </cell>
          <cell r="C268" t="str">
            <v>FF PCDT FFC 0062</v>
          </cell>
        </row>
        <row r="269">
          <cell r="B269" t="str">
            <v>LOCKERS WITH STAND  FOR WORKER</v>
          </cell>
          <cell r="C269" t="str">
            <v>FF PCDT FFC 0063</v>
          </cell>
        </row>
        <row r="270">
          <cell r="B270" t="str">
            <v>KITCHEN CABINATES, SHUTTERS</v>
          </cell>
          <cell r="C270" t="str">
            <v>FF PCDT FFC 0064</v>
          </cell>
        </row>
        <row r="271">
          <cell r="B271" t="str">
            <v>EXECUTIVE DESKS</v>
          </cell>
          <cell r="C271" t="str">
            <v>FF PCDT FFV 0001</v>
          </cell>
        </row>
        <row r="272">
          <cell r="B272" t="str">
            <v>FILING UNIT</v>
          </cell>
          <cell r="C272" t="str">
            <v>FF PCDT FFV 0002</v>
          </cell>
        </row>
        <row r="273">
          <cell r="B273" t="str">
            <v>FAX MACHINE</v>
          </cell>
          <cell r="C273" t="str">
            <v>FF PCDT FFV 0003</v>
          </cell>
        </row>
        <row r="274">
          <cell r="B274" t="str">
            <v>DOUBLE DOOR INDUSTRIAL LOCKER</v>
          </cell>
          <cell r="C274" t="str">
            <v>FF PCDT FFV 0004</v>
          </cell>
        </row>
        <row r="275">
          <cell r="B275" t="str">
            <v>AUTOMATIC EMERGENCY LIGHT</v>
          </cell>
          <cell r="C275" t="str">
            <v>FF PCDT FFV 0005</v>
          </cell>
        </row>
        <row r="276">
          <cell r="B276" t="str">
            <v>TABLE</v>
          </cell>
          <cell r="C276" t="str">
            <v>FF PCDT FFV 0006</v>
          </cell>
        </row>
        <row r="277">
          <cell r="B277" t="str">
            <v>CHAIR</v>
          </cell>
          <cell r="C277" t="str">
            <v>FF PCDT FFV 0007</v>
          </cell>
        </row>
        <row r="278">
          <cell r="B278" t="str">
            <v>CHAIRS</v>
          </cell>
          <cell r="C278" t="str">
            <v>FF PCDT FFV 0008</v>
          </cell>
        </row>
        <row r="279">
          <cell r="B279" t="str">
            <v>STOREWEL</v>
          </cell>
          <cell r="C279" t="str">
            <v>FF PCDT FFV 0009</v>
          </cell>
        </row>
        <row r="280">
          <cell r="B280" t="str">
            <v>FIRE EXTINGUISHER</v>
          </cell>
          <cell r="C280" t="str">
            <v>FF PCDT FFV 0010</v>
          </cell>
        </row>
        <row r="281">
          <cell r="B281" t="str">
            <v>FIRE EXTINGUISHER</v>
          </cell>
          <cell r="C281" t="str">
            <v>FF PCDT FFV 0011</v>
          </cell>
        </row>
        <row r="282">
          <cell r="B282" t="str">
            <v>FIRE EXTINGUISHER</v>
          </cell>
          <cell r="C282" t="str">
            <v>FF PCDT FFV 0012</v>
          </cell>
        </row>
        <row r="283">
          <cell r="B283" t="str">
            <v>REFRIGERATOR</v>
          </cell>
          <cell r="C283" t="str">
            <v>FF PCDT FFV 0013</v>
          </cell>
        </row>
        <row r="284">
          <cell r="B284" t="str">
            <v>RACKS FOR STORAGE SYSTEM</v>
          </cell>
          <cell r="C284" t="str">
            <v>FF PCDT FFV 0014</v>
          </cell>
        </row>
        <row r="285">
          <cell r="B285" t="str">
            <v>SCREEN CLEANING TABLE</v>
          </cell>
          <cell r="C285" t="str">
            <v>FF PCDT FFV 0015</v>
          </cell>
        </row>
        <row r="286">
          <cell r="B286" t="str">
            <v>CHAIR CUM DESK</v>
          </cell>
          <cell r="C286" t="str">
            <v>FF PCDT FFV 0016</v>
          </cell>
        </row>
        <row r="287">
          <cell r="B287" t="str">
            <v>2 DRAWER INDUSTRIAL LOCKER</v>
          </cell>
          <cell r="C287" t="str">
            <v>FF PCDT FFV 0017</v>
          </cell>
        </row>
        <row r="288">
          <cell r="B288" t="str">
            <v>COMPUTER TABLE</v>
          </cell>
          <cell r="C288" t="str">
            <v>FF PCDT FFV 0021</v>
          </cell>
        </row>
        <row r="289">
          <cell r="B289" t="str">
            <v>PRINTER TABLES</v>
          </cell>
          <cell r="C289" t="str">
            <v>FF PCDT FFV 0022</v>
          </cell>
        </row>
        <row r="290">
          <cell r="B290" t="str">
            <v>EXECUTIVE DESK</v>
          </cell>
          <cell r="C290" t="str">
            <v>FF PCDT FFV 0023</v>
          </cell>
        </row>
        <row r="291">
          <cell r="B291" t="str">
            <v>CREDENZA</v>
          </cell>
          <cell r="C291" t="str">
            <v>FF PCDT FFV 0024</v>
          </cell>
        </row>
        <row r="292">
          <cell r="B292" t="str">
            <v>OFFICERS TABLES</v>
          </cell>
          <cell r="C292" t="str">
            <v>FF PCDT FFV 0025</v>
          </cell>
        </row>
        <row r="293">
          <cell r="B293" t="str">
            <v>LOCKERS FOR OFFICERS</v>
          </cell>
          <cell r="C293" t="str">
            <v>FF PCDT FFV 0026</v>
          </cell>
        </row>
        <row r="294">
          <cell r="B294" t="str">
            <v>WORK COUNTER</v>
          </cell>
          <cell r="C294" t="str">
            <v>FF PCDT FFV 0027</v>
          </cell>
        </row>
        <row r="295">
          <cell r="B295" t="str">
            <v>GODREJ TABLE</v>
          </cell>
          <cell r="C295" t="str">
            <v>FF PCDT FFV 0028</v>
          </cell>
        </row>
        <row r="296">
          <cell r="B296" t="str">
            <v>INDUSTRIAL LOCKER</v>
          </cell>
          <cell r="C296" t="str">
            <v>FF PCDT FFV 0029</v>
          </cell>
        </row>
        <row r="297">
          <cell r="B297" t="str">
            <v>FILING CABINET</v>
          </cell>
          <cell r="C297" t="str">
            <v>FF PCDT FFV 0030</v>
          </cell>
        </row>
        <row r="298">
          <cell r="B298" t="str">
            <v>FILING CABINET</v>
          </cell>
          <cell r="C298" t="str">
            <v>FF PCDT FFV 0031</v>
          </cell>
        </row>
        <row r="299">
          <cell r="B299" t="str">
            <v>CHAIRS PLASTIC MOULDED</v>
          </cell>
          <cell r="C299" t="str">
            <v>FF PCDT FFV 0032</v>
          </cell>
        </row>
        <row r="300">
          <cell r="B300" t="str">
            <v>FILING CABINET</v>
          </cell>
          <cell r="C300" t="str">
            <v>FF PCDT FFV 0033</v>
          </cell>
        </row>
        <row r="301">
          <cell r="B301" t="str">
            <v>LOCKERS FOR WORKERS</v>
          </cell>
          <cell r="C301" t="str">
            <v>FF PCDT FFV 0034</v>
          </cell>
        </row>
        <row r="302">
          <cell r="B302" t="str">
            <v>TOP STORAGE 1 NO</v>
          </cell>
          <cell r="C302" t="str">
            <v>FF PCDT FFV 0035</v>
          </cell>
        </row>
        <row r="303">
          <cell r="B303" t="str">
            <v>CUP BOARD 1 NO</v>
          </cell>
          <cell r="C303" t="str">
            <v>FF PCDT FFV 0036</v>
          </cell>
        </row>
        <row r="304">
          <cell r="B304" t="str">
            <v>CUP BOARD 1 NO</v>
          </cell>
          <cell r="C304" t="str">
            <v>FF PCDT FFV 0037</v>
          </cell>
        </row>
        <row r="305">
          <cell r="B305" t="str">
            <v>EXECUTIVE DESK 1 NO</v>
          </cell>
          <cell r="C305" t="str">
            <v>FF PCDT FFV 0038</v>
          </cell>
        </row>
        <row r="306">
          <cell r="B306" t="str">
            <v>SIDE CREDENZA 4 NOS</v>
          </cell>
          <cell r="C306" t="str">
            <v>FF PCDT FFV 0039</v>
          </cell>
        </row>
        <row r="307">
          <cell r="B307" t="str">
            <v>CHALKLESS BOARD</v>
          </cell>
          <cell r="C307" t="str">
            <v>FF PCDT FFV 0040</v>
          </cell>
        </row>
        <row r="308">
          <cell r="B308" t="str">
            <v>SECRETARY DESK 2 NOS</v>
          </cell>
          <cell r="C308" t="str">
            <v>FF PCDT FFV 0041</v>
          </cell>
        </row>
        <row r="309">
          <cell r="B309" t="str">
            <v>WORK BENCH 1 NO</v>
          </cell>
          <cell r="C309" t="str">
            <v>FF PCDT FFV 0042</v>
          </cell>
        </row>
        <row r="310">
          <cell r="B310" t="str">
            <v>EXE. DESK 2 NOS</v>
          </cell>
          <cell r="C310" t="str">
            <v>FF PCDT FFV 0043</v>
          </cell>
        </row>
        <row r="311">
          <cell r="B311" t="str">
            <v>CREDENZA 1 NO</v>
          </cell>
          <cell r="C311" t="str">
            <v>FF PCDT FFV 0044</v>
          </cell>
        </row>
        <row r="312">
          <cell r="B312" t="str">
            <v>STAFF TABLES 3 NOS</v>
          </cell>
          <cell r="C312" t="str">
            <v>FF PCDT FFV 0045</v>
          </cell>
        </row>
        <row r="313">
          <cell r="B313" t="str">
            <v>EXECUTIVE CHAIR 1 NO</v>
          </cell>
          <cell r="C313" t="str">
            <v>FF PCDT FFV 0046</v>
          </cell>
        </row>
        <row r="314">
          <cell r="B314" t="str">
            <v>CHAIRS ORDINARY 21 NOS</v>
          </cell>
          <cell r="C314" t="str">
            <v>FF PCDT FFV 0047</v>
          </cell>
        </row>
        <row r="315">
          <cell r="B315" t="str">
            <v>SOFA SET</v>
          </cell>
          <cell r="C315" t="str">
            <v>FF PCDT FFV 0048</v>
          </cell>
        </row>
        <row r="316">
          <cell r="B316" t="str">
            <v>SIDE TABLE 3 NO</v>
          </cell>
          <cell r="C316" t="str">
            <v>FF PCDT FFV 0049</v>
          </cell>
        </row>
        <row r="317">
          <cell r="B317" t="str">
            <v>REVOLVING CHAIRS 3 NOS</v>
          </cell>
          <cell r="C317" t="str">
            <v>FF PCDT FFV 0050</v>
          </cell>
        </row>
        <row r="318">
          <cell r="B318" t="str">
            <v>CHAIRS 4 NOS</v>
          </cell>
          <cell r="C318" t="str">
            <v>FF PCDT FFV 0051</v>
          </cell>
        </row>
        <row r="319">
          <cell r="B319" t="str">
            <v>LOW FILING UNIT 1 NO</v>
          </cell>
          <cell r="C319" t="str">
            <v>FF PCDT FFV 0052</v>
          </cell>
        </row>
        <row r="320">
          <cell r="B320" t="str">
            <v>FILING UNIT 1 NO</v>
          </cell>
          <cell r="C320" t="str">
            <v>FF PCDT FFV 0053</v>
          </cell>
        </row>
        <row r="321">
          <cell r="B321" t="str">
            <v>COMPUTER TABLES 6 NOS</v>
          </cell>
          <cell r="C321" t="str">
            <v>FF PCDT FFV 0054</v>
          </cell>
        </row>
        <row r="322">
          <cell r="B322" t="str">
            <v>TABLE FOR WEIGHING SCALE 1 NO</v>
          </cell>
          <cell r="C322" t="str">
            <v>FF PCDT FFV 0055</v>
          </cell>
        </row>
        <row r="323">
          <cell r="B323" t="str">
            <v>CHAIR WITH ARMS 3 NOS</v>
          </cell>
          <cell r="C323" t="str">
            <v>FF PCDT FFV 0056</v>
          </cell>
        </row>
        <row r="324">
          <cell r="B324" t="str">
            <v>EXECUTIVE CHAIR 1 NO</v>
          </cell>
          <cell r="C324" t="str">
            <v>FF PCDT FFV 0057</v>
          </cell>
        </row>
        <row r="325">
          <cell r="B325" t="str">
            <v>BOOK CASE 1 NO</v>
          </cell>
          <cell r="C325" t="str">
            <v>FF PCDT FFV 0058</v>
          </cell>
        </row>
        <row r="326">
          <cell r="B326" t="str">
            <v>PLASTIC CHAIRS</v>
          </cell>
          <cell r="C326" t="str">
            <v>FF PCDT FFV 0059</v>
          </cell>
        </row>
        <row r="327">
          <cell r="B327" t="str">
            <v>EXECUTIVE DESK IN MARINE PLY 6</v>
          </cell>
          <cell r="C327" t="str">
            <v>FF PCDT FFV 0065</v>
          </cell>
        </row>
        <row r="328">
          <cell r="B328" t="str">
            <v>SIDE CRDENZACAPEX</v>
          </cell>
          <cell r="C328" t="str">
            <v>FF PCDT FFV 0066</v>
          </cell>
        </row>
        <row r="329">
          <cell r="B329" t="str">
            <v>VISITORS CHAIRS ONGC</v>
          </cell>
          <cell r="C329" t="str">
            <v>FF PCDT FFV 0067</v>
          </cell>
        </row>
        <row r="330">
          <cell r="B330" t="str">
            <v>EXECUTIVE CHAIRS, REVOLVING</v>
          </cell>
          <cell r="C330" t="str">
            <v>FF PCDT FFV 0068</v>
          </cell>
        </row>
        <row r="331">
          <cell r="B331" t="str">
            <v>SINTEX  WATER STORAGE TANK</v>
          </cell>
          <cell r="C331" t="str">
            <v>FF PCDT FFV 0069</v>
          </cell>
        </row>
        <row r="332">
          <cell r="B332" t="str">
            <v>COOLING TOWER MODEL - CM2/6C/2</v>
          </cell>
          <cell r="C332" t="str">
            <v>FF PCDT FFV 0070</v>
          </cell>
        </row>
        <row r="333">
          <cell r="B333" t="str">
            <v>OFFICE CHAIRS -GODREJ MAKE</v>
          </cell>
          <cell r="C333" t="str">
            <v>FF PCDT FFV 0071</v>
          </cell>
        </row>
        <row r="334">
          <cell r="B334" t="str">
            <v>OFFICE CHAIRS - GODREJ MAKE</v>
          </cell>
          <cell r="C334" t="str">
            <v>FF PCDT FFV 0072</v>
          </cell>
        </row>
        <row r="335">
          <cell r="B335" t="str">
            <v>WATER PURIFIER</v>
          </cell>
          <cell r="C335" t="str">
            <v>FF PCDT FFV 0073</v>
          </cell>
        </row>
        <row r="336">
          <cell r="B336" t="str">
            <v>WATER COOLER -1</v>
          </cell>
          <cell r="C336" t="str">
            <v>FF PCDT FFV 0074</v>
          </cell>
        </row>
        <row r="337">
          <cell r="B337" t="str">
            <v>WATER COOLER -2</v>
          </cell>
          <cell r="C337" t="str">
            <v>FF PCDT FFV 0075</v>
          </cell>
        </row>
        <row r="338">
          <cell r="B338" t="str">
            <v>CHAIR MODEL-1002</v>
          </cell>
          <cell r="C338" t="str">
            <v>FF PCDT FFV 0076</v>
          </cell>
        </row>
        <row r="339">
          <cell r="B339" t="str">
            <v>FILING CABINET FOR DRAWER</v>
          </cell>
          <cell r="C339" t="str">
            <v>FF PCDT FFV 0077</v>
          </cell>
        </row>
        <row r="340">
          <cell r="B340" t="str">
            <v>COMPUTER TABLE</v>
          </cell>
          <cell r="C340" t="str">
            <v>FF PCDT FFV 0078</v>
          </cell>
        </row>
        <row r="341">
          <cell r="B341" t="str">
            <v>REFRIGERATOR CUM FREEZER</v>
          </cell>
          <cell r="C341" t="str">
            <v>FF PCDT FFV 0079</v>
          </cell>
        </row>
        <row r="342">
          <cell r="B342" t="str">
            <v>FILING CABINET 4 DRAWER</v>
          </cell>
          <cell r="C342" t="str">
            <v>FF PCDT FFV 0080</v>
          </cell>
        </row>
        <row r="343">
          <cell r="B343" t="str">
            <v>WATER PURIFIER, PUREGUARD</v>
          </cell>
          <cell r="C343" t="str">
            <v>FF PCDT FFV 0081</v>
          </cell>
        </row>
        <row r="344">
          <cell r="B344" t="str">
            <v>FURNITURE- GENERAL</v>
          </cell>
          <cell r="C344" t="str">
            <v>FF PCDT FFW 0018</v>
          </cell>
        </row>
        <row r="345">
          <cell r="B345" t="str">
            <v>FURNITURE- FILING CABINET</v>
          </cell>
          <cell r="C345" t="str">
            <v>FF PCDT FFW 0019</v>
          </cell>
        </row>
        <row r="346">
          <cell r="B346" t="str">
            <v>FURNITURE- RACKS</v>
          </cell>
          <cell r="C346" t="str">
            <v>FF PCDT FFW 0020</v>
          </cell>
        </row>
        <row r="347">
          <cell r="B347" t="str">
            <v>PHOTOCOPYING MACHINE</v>
          </cell>
          <cell r="C347" t="str">
            <v>FF PCDT OEV 0001</v>
          </cell>
        </row>
        <row r="348">
          <cell r="B348" t="str">
            <v>AQUAGUARD WATER PURIFIER</v>
          </cell>
          <cell r="C348" t="str">
            <v>FF PCDT OEV 0007</v>
          </cell>
        </row>
        <row r="349">
          <cell r="B349" t="str">
            <v>PAPER SHREDDER - 1 NOS.</v>
          </cell>
          <cell r="C349" t="str">
            <v>FF PCDT OEV 0008</v>
          </cell>
        </row>
        <row r="350">
          <cell r="B350" t="str">
            <v>EURO CLEAN VACCUM CLEANER</v>
          </cell>
          <cell r="C350" t="str">
            <v>FF PCDT OEV 0009</v>
          </cell>
        </row>
        <row r="351">
          <cell r="B351" t="str">
            <v>OFFICE EQUIPMENT- GENERAL</v>
          </cell>
          <cell r="C351" t="str">
            <v>FF PCDT OEW 0002</v>
          </cell>
        </row>
        <row r="352">
          <cell r="B352" t="str">
            <v>OFFICE EQUIPMENT- AC SYSTEM</v>
          </cell>
          <cell r="C352" t="str">
            <v>FF PCDT OEW 0003</v>
          </cell>
        </row>
        <row r="353">
          <cell r="B353" t="str">
            <v>OFFICE EQUIPMENT- FAX MACHINE</v>
          </cell>
          <cell r="C353" t="str">
            <v>FF PCDT OEW 0004</v>
          </cell>
        </row>
        <row r="354">
          <cell r="B354" t="str">
            <v>OFFICE EQUIPMENT- COMPUTER HAR</v>
          </cell>
          <cell r="C354" t="str">
            <v>FF PCDT OEW 0005</v>
          </cell>
        </row>
        <row r="355">
          <cell r="B355" t="str">
            <v>OFFICE EQUIPMENT- OVERHEAD PRO</v>
          </cell>
          <cell r="C355" t="str">
            <v>FF PCDT OEW 0006</v>
          </cell>
        </row>
        <row r="356">
          <cell r="B356" t="str">
            <v>FURNITURE O BLOCK</v>
          </cell>
          <cell r="C356" t="str">
            <v>FF SDCT FURN 0001</v>
          </cell>
        </row>
        <row r="357">
          <cell r="B357" t="str">
            <v>PACKING &amp; SHELVING RACKS. MOBI</v>
          </cell>
          <cell r="C357" t="str">
            <v>FF SDCT FURN 0002</v>
          </cell>
        </row>
        <row r="358">
          <cell r="B358" t="str">
            <v>OFFICE RENOVATION INTERIOR DEC</v>
          </cell>
          <cell r="C358" t="str">
            <v>FF SDCT FURN 0003</v>
          </cell>
        </row>
        <row r="359">
          <cell r="B359" t="str">
            <v>STORAGE SYSTEM</v>
          </cell>
          <cell r="C359" t="str">
            <v>FF SDCT FURN 0004</v>
          </cell>
        </row>
        <row r="360">
          <cell r="B360" t="str">
            <v>CANON FAX MACHINER</v>
          </cell>
          <cell r="C360" t="str">
            <v>FF SDCT FURN 0005</v>
          </cell>
        </row>
        <row r="361">
          <cell r="B361" t="str">
            <v>EXHAUST FAN</v>
          </cell>
          <cell r="C361" t="str">
            <v>FF SDCT FURN 0006</v>
          </cell>
        </row>
        <row r="362">
          <cell r="B362" t="str">
            <v>MECHANICAL LAWN MOWER</v>
          </cell>
          <cell r="C362" t="str">
            <v>FF SDCT FURN 0007</v>
          </cell>
        </row>
        <row r="363">
          <cell r="B363" t="str">
            <v>CHAIR PCH-7001 D (NAVY BLUE)</v>
          </cell>
          <cell r="C363" t="str">
            <v>FF SDCT FURN 0008</v>
          </cell>
        </row>
        <row r="364">
          <cell r="B364" t="str">
            <v>COPIER</v>
          </cell>
          <cell r="C364" t="str">
            <v>FF SDCT FURN 0009</v>
          </cell>
        </row>
        <row r="365">
          <cell r="B365" t="str">
            <v>COPIER</v>
          </cell>
          <cell r="C365" t="str">
            <v>FF SDCT FURN 0010</v>
          </cell>
        </row>
        <row r="366">
          <cell r="B366" t="str">
            <v>FILLING CABINATE (GM(F);SR;MRT</v>
          </cell>
          <cell r="C366" t="str">
            <v>FF SDCT FURN 0011</v>
          </cell>
        </row>
        <row r="367">
          <cell r="B367" t="str">
            <v>DEEP FREEZER (SS BODY) CUM BOT</v>
          </cell>
          <cell r="C367" t="str">
            <v>FF SDCT FURN 0012</v>
          </cell>
        </row>
        <row r="368">
          <cell r="B368" t="str">
            <v>WATER COOLER 2 NOS EUREKAMAKE</v>
          </cell>
          <cell r="C368" t="str">
            <v>FF SDCT FURN 0013</v>
          </cell>
        </row>
        <row r="369">
          <cell r="B369" t="str">
            <v>ALMONARD FAN -1</v>
          </cell>
          <cell r="C369" t="str">
            <v>FF SDCT FURN 0014</v>
          </cell>
        </row>
        <row r="370">
          <cell r="B370" t="str">
            <v>ALMONARD FAN -2</v>
          </cell>
          <cell r="C370" t="str">
            <v>FF SDCT FURN 0015</v>
          </cell>
        </row>
        <row r="371">
          <cell r="B371" t="str">
            <v>CROMPTON FAN -3</v>
          </cell>
          <cell r="C371" t="str">
            <v>FF SDCT FURN 0016</v>
          </cell>
        </row>
        <row r="372">
          <cell r="B372" t="str">
            <v>OVEN - KINGS ELECTRONIC</v>
          </cell>
          <cell r="C372" t="str">
            <v>FF SDCT FURN 0017</v>
          </cell>
        </row>
        <row r="373">
          <cell r="B373" t="str">
            <v>CITI AIRCONS -</v>
          </cell>
          <cell r="C373" t="str">
            <v>FF SDCT FURN 0018</v>
          </cell>
        </row>
        <row r="374">
          <cell r="B374" t="str">
            <v>TELEVISION - SAMSUNG LCD</v>
          </cell>
          <cell r="C374" t="str">
            <v>FF SDCT FURN 0019</v>
          </cell>
        </row>
        <row r="375">
          <cell r="B375" t="str">
            <v>WASHING MACHINE - SAMSAUNG</v>
          </cell>
          <cell r="C375" t="str">
            <v>FF SDCT FURN 0020</v>
          </cell>
        </row>
        <row r="376">
          <cell r="B376" t="str">
            <v>FOOD PROCESSOR &amp; T.V.</v>
          </cell>
          <cell r="C376" t="str">
            <v>FF SDCT FURN 0021</v>
          </cell>
        </row>
        <row r="377">
          <cell r="B377" t="str">
            <v>KITCHEN CABINETS , SHUTTERS</v>
          </cell>
          <cell r="C377" t="str">
            <v>FF SDCT FURN 0022</v>
          </cell>
        </row>
        <row r="378">
          <cell r="B378" t="str">
            <v>PHONE INSTRUMENT</v>
          </cell>
          <cell r="C378" t="str">
            <v>FF SDCT FURN 0023</v>
          </cell>
        </row>
        <row r="379">
          <cell r="B379" t="str">
            <v>FES FRIZE-RJ</v>
          </cell>
          <cell r="C379" t="str">
            <v>FF SDCT FURN 0024</v>
          </cell>
        </row>
        <row r="380">
          <cell r="B380" t="str">
            <v>DIGI CAM 12.1 MP T-90</v>
          </cell>
          <cell r="C380" t="str">
            <v>FF SDCT FURN 0025</v>
          </cell>
        </row>
        <row r="381">
          <cell r="B381" t="str">
            <v>FURNITURE</v>
          </cell>
          <cell r="C381" t="str">
            <v>FF SDCT FURN 0026</v>
          </cell>
        </row>
        <row r="382">
          <cell r="B382" t="str">
            <v>LCD</v>
          </cell>
          <cell r="C382" t="str">
            <v>FF SDCT FURN 0027</v>
          </cell>
        </row>
        <row r="383">
          <cell r="B383" t="str">
            <v>RJ EUREKA WATER PURIFIER</v>
          </cell>
          <cell r="C383" t="str">
            <v>FF SDCT FURN 0028</v>
          </cell>
        </row>
        <row r="384">
          <cell r="B384" t="str">
            <v>RJ CUPBOARD</v>
          </cell>
          <cell r="C384" t="str">
            <v>FF SDCT FURN 0029</v>
          </cell>
        </row>
        <row r="385">
          <cell r="B385" t="str">
            <v>REVOLVING (ZEBRA) CHAIRS- FOR</v>
          </cell>
          <cell r="C385" t="str">
            <v>FF SDCT FURN 0030</v>
          </cell>
        </row>
        <row r="386">
          <cell r="B386" t="str">
            <v>CHAIRS (FIXED TYPE) NEELKAMAL</v>
          </cell>
          <cell r="C386" t="str">
            <v>FF SDCT FURN 0031</v>
          </cell>
        </row>
        <row r="387">
          <cell r="B387" t="str">
            <v>REVOLVING CHAIRS EXECUTIVE TYP</v>
          </cell>
          <cell r="C387" t="str">
            <v>FF SDCT FURN 0032</v>
          </cell>
        </row>
        <row r="388">
          <cell r="B388" t="str">
            <v>REVOLVING CHAIRS EXECUTIVE TYP</v>
          </cell>
          <cell r="C388" t="str">
            <v>FF SDCT FURN 0033</v>
          </cell>
        </row>
        <row r="389">
          <cell r="B389" t="str">
            <v>STEEL CUPBOARD SIZE 78X36"X15"</v>
          </cell>
          <cell r="C389" t="str">
            <v>FF SDCT FURN 0035</v>
          </cell>
        </row>
        <row r="390">
          <cell r="B390" t="str">
            <v>STEEL CUPBOARD FOR CONTRACT LA</v>
          </cell>
          <cell r="C390" t="str">
            <v>FF SDCT FURN 0036</v>
          </cell>
        </row>
        <row r="391">
          <cell r="B391" t="str">
            <v>STEEL CUPBOARD SIZE 78X15"X 6"</v>
          </cell>
          <cell r="C391" t="str">
            <v>FF SDCT FURN 0037</v>
          </cell>
        </row>
        <row r="392">
          <cell r="B392" t="str">
            <v>FES - MM TABLE</v>
          </cell>
          <cell r="C392" t="str">
            <v>FF SDCT FURN 0039</v>
          </cell>
        </row>
        <row r="393">
          <cell r="B393" t="str">
            <v>FES - MM CUPBOARDS; MARBLES-RA</v>
          </cell>
          <cell r="C393" t="str">
            <v>FF SDCT FURN 0040</v>
          </cell>
        </row>
        <row r="394">
          <cell r="B394" t="str">
            <v>FES - MM CUPBOARDS WITH CHEST</v>
          </cell>
          <cell r="C394" t="str">
            <v>FF SDCT FURN 0041</v>
          </cell>
        </row>
        <row r="395">
          <cell r="B395" t="str">
            <v>FES - MM OVEN MODEL-SMART MARK</v>
          </cell>
          <cell r="C395" t="str">
            <v>FF SDCT FURN 0042</v>
          </cell>
        </row>
        <row r="396">
          <cell r="B396" t="str">
            <v>FES - MM ELECTRIC COOKER</v>
          </cell>
          <cell r="C396" t="str">
            <v>FF SDCT FURN 0043</v>
          </cell>
        </row>
        <row r="397">
          <cell r="B397" t="str">
            <v>FES - CVM WINDOW AC-1.5T MODEL</v>
          </cell>
          <cell r="C397" t="str">
            <v>FF SDCT FURN 0044</v>
          </cell>
        </row>
        <row r="398">
          <cell r="B398" t="str">
            <v>WOODEN CABINET SIZE (5'X3) 150</v>
          </cell>
          <cell r="C398" t="str">
            <v>FF SDCT FURN 0046</v>
          </cell>
        </row>
        <row r="399">
          <cell r="B399" t="str">
            <v>FILE STORAGE 6 1/4 x5"(PERSON"</v>
          </cell>
          <cell r="C399" t="str">
            <v>FF SDCT FURN 0047</v>
          </cell>
        </row>
        <row r="400">
          <cell r="B400" t="str">
            <v>CONFERENCE ROOM WINDOW PARTITI</v>
          </cell>
          <cell r="C400" t="str">
            <v>FF SDCT FURN 0048</v>
          </cell>
        </row>
        <row r="401">
          <cell r="B401" t="str">
            <v>FAN HEAVY DUTY WALL MOUNTING A</v>
          </cell>
          <cell r="C401" t="str">
            <v>FF SDCT FURN 0049</v>
          </cell>
        </row>
        <row r="402">
          <cell r="B402" t="str">
            <v>EXAUST FAN</v>
          </cell>
          <cell r="C402" t="str">
            <v>FF SDCT FURN 0050</v>
          </cell>
        </row>
        <row r="403">
          <cell r="B403" t="str">
            <v>EXAUST FAN</v>
          </cell>
          <cell r="C403" t="str">
            <v>FF SDCT FURN 0051</v>
          </cell>
        </row>
        <row r="404">
          <cell r="B404" t="str">
            <v>FAN WALL MOUNTING SIZE 600mm(A</v>
          </cell>
          <cell r="C404" t="str">
            <v>FF SDCT FURN 0052</v>
          </cell>
        </row>
        <row r="405">
          <cell r="B405" t="str">
            <v>BAIN MARRIE - SS304 FOOD GRADE</v>
          </cell>
          <cell r="C405" t="str">
            <v>FF SDCT FURN 0053</v>
          </cell>
        </row>
        <row r="406">
          <cell r="B406" t="str">
            <v>SELECTIVE PALLECT RACKING SYST</v>
          </cell>
          <cell r="C406" t="str">
            <v>FF SDCT FURN 0054</v>
          </cell>
        </row>
        <row r="407">
          <cell r="B407" t="str">
            <v>FAN WALL MOUNTING SIZE 600mm(A</v>
          </cell>
          <cell r="C407" t="str">
            <v>FF SDCT FURN 0056</v>
          </cell>
        </row>
        <row r="408">
          <cell r="B408" t="str">
            <v>FAN WALL MOUNTING SIZE 600mm(A</v>
          </cell>
          <cell r="C408" t="str">
            <v>FF SDCT FURN 0057</v>
          </cell>
        </row>
        <row r="409">
          <cell r="B409" t="str">
            <v>FAN WALL MOUNTING SIZE 600mm(A</v>
          </cell>
          <cell r="C409" t="str">
            <v>FF SDCT FURN 0058</v>
          </cell>
        </row>
        <row r="410">
          <cell r="B410" t="str">
            <v>FAN WALL MOUNTING SIZE 600mm(A</v>
          </cell>
          <cell r="C410" t="str">
            <v>FF SDCT FURN 0059</v>
          </cell>
        </row>
        <row r="411">
          <cell r="B411" t="str">
            <v>FAN WALL MOUNTING SIZE 600mm(A</v>
          </cell>
          <cell r="C411" t="str">
            <v>FF SDCT FURN 0060</v>
          </cell>
        </row>
        <row r="412">
          <cell r="B412" t="str">
            <v>STORAGE BINS DRG.2147-10.0 MAD</v>
          </cell>
          <cell r="C412" t="str">
            <v>FF SDCT FURN 0061</v>
          </cell>
        </row>
        <row r="413">
          <cell r="B413" t="str">
            <v>FURNITURE TABLES/ CHAIRS ETC F</v>
          </cell>
          <cell r="C413" t="str">
            <v>FF SDCT FURN 0062</v>
          </cell>
        </row>
        <row r="414">
          <cell r="B414" t="str">
            <v>LAND MEASURING 5.015 (12.72) A</v>
          </cell>
          <cell r="C414" t="str">
            <v>FL PCDC PLNT 0001</v>
          </cell>
        </row>
        <row r="415">
          <cell r="B415" t="str">
            <v>LAND MEASURING 5.015 (12.72) A</v>
          </cell>
          <cell r="C415" t="str">
            <v>FL PCDN PLNT 0001</v>
          </cell>
        </row>
        <row r="416">
          <cell r="B416" t="str">
            <v>LAND</v>
          </cell>
          <cell r="C416" t="str">
            <v>LLO PCDT TUR 0001</v>
          </cell>
        </row>
        <row r="417">
          <cell r="B417" t="str">
            <v>THURBE LAND</v>
          </cell>
          <cell r="C417" t="str">
            <v>LL SDCT LAND-0 01</v>
          </cell>
        </row>
        <row r="418">
          <cell r="B418" t="str">
            <v>AIR CONDITIONERS</v>
          </cell>
          <cell r="C418" t="str">
            <v>PM PCDC AIRC 0701</v>
          </cell>
        </row>
        <row r="419">
          <cell r="B419" t="str">
            <v>AIR CONDITIONERS</v>
          </cell>
          <cell r="C419" t="str">
            <v>PM PCDC AIRC 0702</v>
          </cell>
        </row>
        <row r="420">
          <cell r="B420" t="str">
            <v>AIR CONDITIONER 1.5 TON (WINDO</v>
          </cell>
          <cell r="C420" t="str">
            <v>PM PCDC AIRC 0703</v>
          </cell>
        </row>
        <row r="421">
          <cell r="B421" t="str">
            <v>AIR CONDITIONER 1.5 TON (WINDO</v>
          </cell>
          <cell r="C421" t="str">
            <v>PM PCDC AIRC 0704</v>
          </cell>
        </row>
        <row r="422">
          <cell r="B422" t="str">
            <v>AIR CONDITIONERS 2 NOS.</v>
          </cell>
          <cell r="C422" t="str">
            <v>PM PCDC AIRC 0705</v>
          </cell>
        </row>
        <row r="423">
          <cell r="B423" t="str">
            <v>500KVA 415VOLTS 3 PHASE 1500RP</v>
          </cell>
          <cell r="C423" t="str">
            <v>PM PCDC ELEC 0501</v>
          </cell>
        </row>
        <row r="424">
          <cell r="B424" t="str">
            <v>180KVA 415VOLTS 3 PHASE 1500RP</v>
          </cell>
          <cell r="C424" t="str">
            <v>PM PCDC ELEC 0502</v>
          </cell>
        </row>
        <row r="425">
          <cell r="B425" t="str">
            <v>PORTABLE GENERATOR 1 NO.</v>
          </cell>
          <cell r="C425" t="str">
            <v>PM PCDC ELEC 0503</v>
          </cell>
        </row>
        <row r="426">
          <cell r="B426" t="str">
            <v>MAIN MV. PANEL.SSB-1-SSB-2.CAP</v>
          </cell>
          <cell r="C426" t="str">
            <v>PM PCDC ELEC 0504</v>
          </cell>
        </row>
        <row r="427">
          <cell r="B427" t="str">
            <v>METER BOX (1)</v>
          </cell>
          <cell r="C427" t="str">
            <v>PM PCDC ELEC 0505</v>
          </cell>
        </row>
        <row r="428">
          <cell r="B428" t="str">
            <v>CAPACITOR &amp; ELECTRICAL FITTING</v>
          </cell>
          <cell r="C428" t="str">
            <v>PM PCDC ELEC 0506</v>
          </cell>
        </row>
        <row r="429">
          <cell r="B429" t="str">
            <v>ELECTRICAL FITTINGS (NEW FACTO</v>
          </cell>
          <cell r="C429" t="str">
            <v>PM PCDC ELEC 0507</v>
          </cell>
        </row>
        <row r="430">
          <cell r="B430" t="str">
            <v>ENERGY METER (7)</v>
          </cell>
          <cell r="C430" t="str">
            <v>PM PCDC ELEC 0508</v>
          </cell>
        </row>
        <row r="431">
          <cell r="B431" t="str">
            <v>C. T. COILS (21)</v>
          </cell>
          <cell r="C431" t="str">
            <v>PM PCDC ELEC 0509</v>
          </cell>
        </row>
        <row r="432">
          <cell r="B432" t="str">
            <v>POWER SUPPLY UNIT</v>
          </cell>
          <cell r="C432" t="str">
            <v>PM PCDC ELEC 0510</v>
          </cell>
        </row>
        <row r="433">
          <cell r="B433" t="str">
            <v>ELECTRICAL PANNEL</v>
          </cell>
          <cell r="C433" t="str">
            <v>PM PCDC ELEC 0511</v>
          </cell>
        </row>
        <row r="434">
          <cell r="B434" t="str">
            <v>300 KVA APFC PANNEL</v>
          </cell>
          <cell r="C434" t="str">
            <v>PM PCDC ELEC 0512</v>
          </cell>
        </row>
        <row r="435">
          <cell r="B435" t="str">
            <v>KRUPP KAUTEX BLOW MOULDING MAC</v>
          </cell>
          <cell r="C435" t="str">
            <v>PM PCDC KAUT 0101</v>
          </cell>
        </row>
        <row r="436">
          <cell r="B436" t="str">
            <v>TOTAL MACHINE CONTROL KAUTEX B</v>
          </cell>
          <cell r="C436" t="str">
            <v>PM PCDC KAUT 0102</v>
          </cell>
        </row>
        <row r="437">
          <cell r="B437" t="str">
            <v>FEED SECTION GROVEED BUSH</v>
          </cell>
          <cell r="C437" t="str">
            <v>PM PCDC KAUT 0103</v>
          </cell>
        </row>
        <row r="438">
          <cell r="B438" t="str">
            <v>HYDRAULIC POWER PACK FOR PARIS</v>
          </cell>
          <cell r="C438" t="str">
            <v>PM PCDC KAUT 0104</v>
          </cell>
        </row>
        <row r="439">
          <cell r="B439" t="str">
            <v>POST COOLING DEVICES FAM MODEL</v>
          </cell>
          <cell r="C439" t="str">
            <v>PM PCDC KAUT 0105</v>
          </cell>
        </row>
        <row r="440">
          <cell r="B440" t="str">
            <v>CUTTING MILL</v>
          </cell>
          <cell r="C440" t="str">
            <v>PM PCDC KAUT 0106</v>
          </cell>
        </row>
        <row r="441">
          <cell r="B441" t="str">
            <v>LEAK TESTER</v>
          </cell>
          <cell r="C441" t="str">
            <v>PM PCDC KAUT 0107</v>
          </cell>
        </row>
        <row r="442">
          <cell r="B442" t="str">
            <v>HOPPER OF SIZE 8'*4' FOR RM LO</v>
          </cell>
          <cell r="C442" t="str">
            <v>PM PCDC KAUT 0108</v>
          </cell>
        </row>
        <row r="443">
          <cell r="B443" t="str">
            <v>GRANNULATOR (RAPID)</v>
          </cell>
          <cell r="C443" t="str">
            <v>PM PCDC KAUT 0109</v>
          </cell>
        </row>
        <row r="444">
          <cell r="B444" t="str">
            <v>MOULD 50 LTRS. CAP.</v>
          </cell>
          <cell r="C444" t="str">
            <v>PM PCDC MOLD 1001</v>
          </cell>
        </row>
        <row r="445">
          <cell r="B445" t="str">
            <v>CAP MOULD</v>
          </cell>
          <cell r="C445" t="str">
            <v>PM PCDC MOLD 1002</v>
          </cell>
        </row>
        <row r="446">
          <cell r="B446" t="str">
            <v>20 LTR JERRICAN MOULD</v>
          </cell>
          <cell r="C446" t="str">
            <v>PM PCDC MOLD 1003</v>
          </cell>
        </row>
        <row r="447">
          <cell r="B447" t="str">
            <v>HDPE S70/6  2 CAVITY MOULD</v>
          </cell>
          <cell r="C447" t="str">
            <v>PM PCDC MOLD 1004</v>
          </cell>
        </row>
        <row r="448">
          <cell r="B448" t="str">
            <v>BIG CAP ( 21 ) MOULD"</v>
          </cell>
          <cell r="C448" t="str">
            <v>PM PCDC MOLD 1005</v>
          </cell>
        </row>
        <row r="449">
          <cell r="C449" t="str">
            <v>PM PCDC MOLD 1006</v>
          </cell>
        </row>
        <row r="450">
          <cell r="B450" t="str">
            <v>35 LTRS. JERRYCANS MOULD</v>
          </cell>
          <cell r="C450" t="str">
            <v>PM PCDC MOLD 1007</v>
          </cell>
        </row>
        <row r="451">
          <cell r="B451" t="str">
            <v>4 CAVITY CAP MOULD</v>
          </cell>
          <cell r="C451" t="str">
            <v>PM PCDC MOLD 1008</v>
          </cell>
        </row>
        <row r="452">
          <cell r="B452" t="str">
            <v>PILFER PROOF CAP MOULD</v>
          </cell>
          <cell r="C452" t="str">
            <v>PM PCDC MOLD 1009</v>
          </cell>
        </row>
        <row r="453">
          <cell r="B453" t="str">
            <v>SAFETY RING MOULD</v>
          </cell>
          <cell r="C453" t="str">
            <v>PM PCDC MOLD 1010</v>
          </cell>
        </row>
        <row r="454">
          <cell r="B454" t="str">
            <v>L.D.O. RING MOULD</v>
          </cell>
          <cell r="C454" t="str">
            <v>PM PCDC MOLD 1011</v>
          </cell>
        </row>
        <row r="455">
          <cell r="B455" t="str">
            <v>CAP FOR MODIFIED PLUG MOULD</v>
          </cell>
          <cell r="C455" t="str">
            <v>PM PCDC MOLD 1012</v>
          </cell>
        </row>
        <row r="456">
          <cell r="B456" t="str">
            <v>PILFER PROOF CAP MOULD</v>
          </cell>
          <cell r="C456" t="str">
            <v>PM PCDC MOLD 1013</v>
          </cell>
        </row>
        <row r="457">
          <cell r="B457" t="str">
            <v>INNER CAP (20 LTRS.) MOULD</v>
          </cell>
          <cell r="C457" t="str">
            <v>PM PCDC MOLD 1014</v>
          </cell>
        </row>
        <row r="458">
          <cell r="B458" t="str">
            <v>INNER CAP (30 LTRS.) MOULD</v>
          </cell>
          <cell r="C458" t="str">
            <v>PM PCDC MOLD 1015</v>
          </cell>
        </row>
        <row r="459">
          <cell r="B459" t="str">
            <v>OPEN TOP LOCK MOULD</v>
          </cell>
          <cell r="C459" t="str">
            <v>PM PCDC MOLD 1016</v>
          </cell>
        </row>
        <row r="460">
          <cell r="B460" t="str">
            <v>INNER CAP WITH VENT VALVE MOUL</v>
          </cell>
          <cell r="C460" t="str">
            <v>PM PCDC MOLD 1017</v>
          </cell>
        </row>
        <row r="461">
          <cell r="B461" t="str">
            <v>100 LTR MOULD</v>
          </cell>
          <cell r="C461" t="str">
            <v>PM PCDC MOLD 1018</v>
          </cell>
        </row>
        <row r="462">
          <cell r="B462" t="str">
            <v>199MM-DEBURING TOOLS, 1NO.</v>
          </cell>
          <cell r="C462" t="str">
            <v>PM PCDC MOLD 1019</v>
          </cell>
        </row>
        <row r="463">
          <cell r="B463" t="str">
            <v>30MM-DEBURING TOOLS FOR 100LTR</v>
          </cell>
          <cell r="C463" t="str">
            <v>PM PCDC MOLD 1020</v>
          </cell>
        </row>
        <row r="464">
          <cell r="B464" t="str">
            <v>MOULD RECTANGULAR O RING</v>
          </cell>
          <cell r="C464" t="str">
            <v>PM PCDC MOLD 1021</v>
          </cell>
        </row>
        <row r="465">
          <cell r="B465" t="str">
            <v>BUNGS MOULD</v>
          </cell>
          <cell r="C465" t="str">
            <v>PM PCDC MOLD 1022</v>
          </cell>
        </row>
        <row r="466">
          <cell r="B466" t="str">
            <v>MOULD 50-60 LTR. 1 NO.</v>
          </cell>
          <cell r="C466" t="str">
            <v>PM PCDC MOLD 1023</v>
          </cell>
        </row>
        <row r="467">
          <cell r="B467" t="str">
            <v>MOULD 20/35/50/100LTR CAP</v>
          </cell>
          <cell r="C467" t="str">
            <v>PM PCDC MOLD 1024</v>
          </cell>
        </row>
        <row r="468">
          <cell r="B468" t="str">
            <v>LINNER CARRIER MOTOR &amp; BRUSH</v>
          </cell>
          <cell r="C468" t="str">
            <v>PM PCDC MOLD 1025</v>
          </cell>
        </row>
        <row r="469">
          <cell r="B469" t="str">
            <v>MOULD O RING</v>
          </cell>
          <cell r="C469" t="str">
            <v>PM PCDC MOLD 1026</v>
          </cell>
        </row>
        <row r="470">
          <cell r="B470" t="str">
            <v>MOULD</v>
          </cell>
          <cell r="C470" t="str">
            <v>PM PCDC MOLD 1027</v>
          </cell>
        </row>
        <row r="471">
          <cell r="B471" t="str">
            <v>MOULD OF 50 LTRS OT</v>
          </cell>
          <cell r="C471" t="str">
            <v>PM PCDC MOLD 1028</v>
          </cell>
        </row>
        <row r="472">
          <cell r="B472" t="str">
            <v>MOULD OF 100/120 LTRS WITH NM/</v>
          </cell>
          <cell r="C472" t="str">
            <v>PM PCDC MOLD 1029</v>
          </cell>
        </row>
        <row r="473">
          <cell r="B473" t="str">
            <v>MOULD OF 120 LTRS OT WITH LID</v>
          </cell>
          <cell r="C473" t="str">
            <v>PM PCDC MOLD 1030</v>
          </cell>
        </row>
        <row r="474">
          <cell r="B474" t="str">
            <v>Mould 210/235 Ltrs with Blow P</v>
          </cell>
          <cell r="C474" t="str">
            <v>PM PCDC MOLD 1031</v>
          </cell>
        </row>
        <row r="475">
          <cell r="B475" t="str">
            <v>FAX  MACHINE</v>
          </cell>
          <cell r="C475" t="str">
            <v>PM PCDC OFEQ 0801</v>
          </cell>
        </row>
        <row r="476">
          <cell r="B476" t="str">
            <v>MOBILES</v>
          </cell>
          <cell r="C476" t="str">
            <v>PM PCDC OFEQ 0802</v>
          </cell>
        </row>
        <row r="477">
          <cell r="B477" t="str">
            <v>SCRAP GRINDER  &amp; HIGHSPEED AIX</v>
          </cell>
          <cell r="C477" t="str">
            <v>PM PCDC OTHR 0401</v>
          </cell>
        </row>
        <row r="478">
          <cell r="B478" t="str">
            <v>KNIVES &amp; BOLTS FOR RAPID GRANU</v>
          </cell>
          <cell r="C478" t="str">
            <v>PM PCDC OTHR 0402</v>
          </cell>
        </row>
        <row r="479">
          <cell r="B479" t="str">
            <v>ENDED FRONT FLANGE  MOUNTING</v>
          </cell>
          <cell r="C479" t="str">
            <v>PM PCDC OTHR 0403</v>
          </cell>
        </row>
        <row r="480">
          <cell r="B480" t="str">
            <v>MELTFLOW INDEX TESTER,</v>
          </cell>
          <cell r="C480" t="str">
            <v>PM PCDC OTHR 0404</v>
          </cell>
        </row>
        <row r="481">
          <cell r="B481" t="str">
            <v>THICKNESS TESTER (ULTROSONIC)</v>
          </cell>
          <cell r="C481" t="str">
            <v>PM PCDC OTHR 0405</v>
          </cell>
        </row>
        <row r="482">
          <cell r="B482" t="str">
            <v>TROLLEY</v>
          </cell>
          <cell r="C482" t="str">
            <v>PM PCDC OTHR 0406</v>
          </cell>
        </row>
        <row r="483">
          <cell r="B483" t="str">
            <v>EMCO 750 KVA 0.433KVA TRANSFOR</v>
          </cell>
          <cell r="C483" t="str">
            <v>PM PCDC OTHR 0407</v>
          </cell>
        </row>
        <row r="484">
          <cell r="B484" t="str">
            <v xml:space="preserve"> 20 HP. 2 POLE STRUCTURE</v>
          </cell>
          <cell r="C484" t="str">
            <v>PM PCDC OTHR 0408</v>
          </cell>
        </row>
        <row r="485">
          <cell r="B485" t="str">
            <v>INDEF CHAIN ELECTRIC HOIST,GEA</v>
          </cell>
          <cell r="C485" t="str">
            <v>PM PCDC OTHR 0409</v>
          </cell>
        </row>
        <row r="486">
          <cell r="B486" t="str">
            <v>GEAR CHAIN PULLY 3MT.CAP.</v>
          </cell>
          <cell r="C486" t="str">
            <v>PM PCDC OTHR 0410</v>
          </cell>
        </row>
        <row r="487">
          <cell r="B487" t="str">
            <v>ALLUMINIUM LADDER.</v>
          </cell>
          <cell r="C487" t="str">
            <v>PM PCDC OTHR 0411</v>
          </cell>
        </row>
        <row r="488">
          <cell r="B488" t="str">
            <v>MATERIAL HANDLING TROLLY, PLAT</v>
          </cell>
          <cell r="C488" t="str">
            <v>PM PCDC OTHR 0412</v>
          </cell>
        </row>
        <row r="489">
          <cell r="B489" t="str">
            <v>sCRAP GRINDER  &amp; HIGHSPEED AIX</v>
          </cell>
          <cell r="C489" t="str">
            <v>PM PCDC OTHR 0413</v>
          </cell>
        </row>
        <row r="490">
          <cell r="B490" t="str">
            <v>EASSE DIEI WEIGHING MACHINE SC</v>
          </cell>
          <cell r="C490" t="str">
            <v>PM PCDC OTHR 0414</v>
          </cell>
        </row>
        <row r="491">
          <cell r="B491" t="str">
            <v>D.S- 420   15KO   CAPACITY</v>
          </cell>
          <cell r="C491" t="str">
            <v>PM PCDC OTHR 0415</v>
          </cell>
        </row>
        <row r="492">
          <cell r="B492" t="str">
            <v>WEIGHING MACHINE (TULARAM)</v>
          </cell>
          <cell r="C492" t="str">
            <v>PM PCDC OTHR 0416</v>
          </cell>
        </row>
        <row r="493">
          <cell r="B493" t="str">
            <v>BDB CIRCULAR MACHINE</v>
          </cell>
          <cell r="C493" t="str">
            <v>PM PCDC OTHR 0417</v>
          </cell>
        </row>
        <row r="494">
          <cell r="B494" t="str">
            <v>ESSAE DIOI WEIGHING SCALE</v>
          </cell>
          <cell r="C494" t="str">
            <v>PM PCDC OTHR 0418</v>
          </cell>
        </row>
        <row r="495">
          <cell r="B495" t="str">
            <v>WOOD CIRCULAR SAW MACHINE</v>
          </cell>
          <cell r="C495" t="str">
            <v>PM PCDC OTHR 0419</v>
          </cell>
        </row>
        <row r="496">
          <cell r="B496" t="str">
            <v>WASHING MACHINE</v>
          </cell>
          <cell r="C496" t="str">
            <v>PM PCDC OTHR 0420</v>
          </cell>
        </row>
        <row r="497">
          <cell r="B497" t="str">
            <v>VIBRATOR FOR CLEANING (REGRIND</v>
          </cell>
          <cell r="C497" t="str">
            <v>PM PCDC OTHR 0421</v>
          </cell>
        </row>
        <row r="498">
          <cell r="B498" t="str">
            <v>HYDRAULIC VALVE &amp; TRANSDUCERS</v>
          </cell>
          <cell r="C498" t="str">
            <v>PM PCDC OTHR 0422</v>
          </cell>
        </row>
        <row r="499">
          <cell r="B499" t="str">
            <v>PIOVAN CONTROL BOX RECEIVER 2</v>
          </cell>
          <cell r="C499" t="str">
            <v>PM PCDC OTHR 0423</v>
          </cell>
        </row>
        <row r="500">
          <cell r="B500" t="str">
            <v>NUMERIC DIGITAL HP.1000</v>
          </cell>
          <cell r="C500" t="str">
            <v>PM PCDC OTHR 0424</v>
          </cell>
        </row>
        <row r="501">
          <cell r="B501" t="str">
            <v>SCREW</v>
          </cell>
          <cell r="C501" t="str">
            <v>PM PCDC OTHR 0425</v>
          </cell>
        </row>
        <row r="502">
          <cell r="B502" t="str">
            <v>MIXING TIPS</v>
          </cell>
          <cell r="C502" t="str">
            <v>PM PCDC OTHR 0426</v>
          </cell>
        </row>
        <row r="503">
          <cell r="B503" t="str">
            <v>GEARED MOTOR PIOVAN</v>
          </cell>
          <cell r="C503" t="str">
            <v>PM PCDC OTHR 0427</v>
          </cell>
        </row>
        <row r="504">
          <cell r="B504" t="str">
            <v>AXIAL PISTON PUMP</v>
          </cell>
          <cell r="C504" t="str">
            <v>PM PCDC OTHR 0428</v>
          </cell>
        </row>
        <row r="505">
          <cell r="B505" t="str">
            <v>GEARED MOTOR PIOVAN MOTOR &amp; BR</v>
          </cell>
          <cell r="C505" t="str">
            <v>PM PCDC OTHR 0429</v>
          </cell>
        </row>
        <row r="506">
          <cell r="B506" t="str">
            <v>HYDRAULIC VALVE &amp; TRANSDUCERS</v>
          </cell>
          <cell r="C506" t="str">
            <v>PM PCDC OTHR 0430</v>
          </cell>
        </row>
        <row r="507">
          <cell r="B507" t="str">
            <v>WEIGHING SCALE</v>
          </cell>
          <cell r="C507" t="str">
            <v>PM PCDC OTHR 0431</v>
          </cell>
        </row>
        <row r="508">
          <cell r="B508" t="str">
            <v>DRILLING MACHINE GSB 10 RE</v>
          </cell>
          <cell r="C508" t="str">
            <v>PM PCDC OTHR 0432</v>
          </cell>
        </row>
        <row r="509">
          <cell r="B509" t="str">
            <v>WATER COLLER (BLUE STAR MAKE)</v>
          </cell>
          <cell r="C509" t="str">
            <v>PM PCDC OTHR 0433</v>
          </cell>
        </row>
        <row r="510">
          <cell r="B510" t="str">
            <v>AQUAGUARD WATER FILTER</v>
          </cell>
          <cell r="C510" t="str">
            <v>PM PCDC OTHR 0434</v>
          </cell>
        </row>
        <row r="511">
          <cell r="B511" t="str">
            <v>ACCESSORIES FOR WATER FILTER</v>
          </cell>
          <cell r="C511" t="str">
            <v>PM PCDC OTHR 0435</v>
          </cell>
        </row>
        <row r="512">
          <cell r="B512" t="str">
            <v>PLASTIC DRIER (OVEN)</v>
          </cell>
          <cell r="C512" t="str">
            <v>PM PCDC OTHR 0436</v>
          </cell>
        </row>
        <row r="513">
          <cell r="B513" t="str">
            <v>MAGNETIC GRILLS 3 NO.</v>
          </cell>
          <cell r="C513" t="str">
            <v>PM PCDC OTHR 0437</v>
          </cell>
        </row>
        <row r="514">
          <cell r="B514" t="str">
            <v>DIRECTION CONTROL VALVE 1 NO.</v>
          </cell>
          <cell r="C514" t="str">
            <v>PM PCDC OTHR 0438</v>
          </cell>
        </row>
        <row r="515">
          <cell r="B515" t="str">
            <v>DIRECTION CONTROL VALVE 2 NO.</v>
          </cell>
          <cell r="C515" t="str">
            <v>PM PCDC OTHR 0439</v>
          </cell>
        </row>
        <row r="516">
          <cell r="B516" t="str">
            <v>THROTTLE CHECK VALVE 2 NO.</v>
          </cell>
          <cell r="C516" t="str">
            <v>PM PCDC OTHR 0440</v>
          </cell>
        </row>
        <row r="517">
          <cell r="B517" t="str">
            <v>THROTTLE CHECK VALVE 1 NO.</v>
          </cell>
          <cell r="C517" t="str">
            <v>PM PCDC OTHR 0441</v>
          </cell>
        </row>
        <row r="518">
          <cell r="B518" t="str">
            <v>SUB PLATE 2 NO.</v>
          </cell>
          <cell r="C518" t="str">
            <v>PM PCDC OTHR 0442</v>
          </cell>
        </row>
        <row r="519">
          <cell r="B519" t="str">
            <v>AMPLIFYIER FOR PRO VALVE</v>
          </cell>
          <cell r="C519" t="str">
            <v>PM PCDC OTHR 0443</v>
          </cell>
        </row>
        <row r="520">
          <cell r="B520" t="str">
            <v>Ferrocare Oil Cleaning Machine</v>
          </cell>
          <cell r="C520" t="str">
            <v>PM PCDC OTHR 0444</v>
          </cell>
        </row>
        <row r="521">
          <cell r="B521" t="str">
            <v>TROLLY (FOR RM CARRYING)</v>
          </cell>
          <cell r="C521" t="str">
            <v>PM PCDC OTHR 0445</v>
          </cell>
        </row>
        <row r="522">
          <cell r="B522" t="str">
            <v>WELDING MACHINE</v>
          </cell>
          <cell r="C522" t="str">
            <v>PM PCDC OTHR 0446</v>
          </cell>
        </row>
        <row r="523">
          <cell r="B523" t="str">
            <v>STRAPPING MACHINE MODEL</v>
          </cell>
          <cell r="C523" t="str">
            <v>PM PCDC OTHR 0447</v>
          </cell>
        </row>
        <row r="524">
          <cell r="B524" t="str">
            <v>FIRE HYDERANT SYSTEM</v>
          </cell>
          <cell r="C524" t="str">
            <v>PM PCDC OTHR 0448</v>
          </cell>
        </row>
        <row r="525">
          <cell r="B525" t="str">
            <v>OIL FILTER MACHINE</v>
          </cell>
          <cell r="C525" t="str">
            <v>PM PCDC OTHR 0449</v>
          </cell>
        </row>
        <row r="526">
          <cell r="B526" t="str">
            <v>VERNIER CALIPER -0600 MM</v>
          </cell>
          <cell r="C526" t="str">
            <v>PM PCDC QUAL 0001</v>
          </cell>
        </row>
        <row r="527">
          <cell r="B527" t="str">
            <v>VERNIER CALIPER W/O DIAL (150</v>
          </cell>
          <cell r="C527" t="str">
            <v>PM PCDC QUAL 0002</v>
          </cell>
        </row>
        <row r="528">
          <cell r="B528" t="str">
            <v>VERNIER CALIPER W/0 DIAL (300</v>
          </cell>
          <cell r="C528" t="str">
            <v>PM PCDC QUAL 0003</v>
          </cell>
        </row>
        <row r="529">
          <cell r="B529" t="str">
            <v>VERNIER CALIPER W/O DIAL (0-</v>
          </cell>
          <cell r="C529" t="str">
            <v>PM PCDC QUAL 0004</v>
          </cell>
        </row>
        <row r="530">
          <cell r="B530" t="str">
            <v>VERNIER CALIPER -0300 MM</v>
          </cell>
          <cell r="C530" t="str">
            <v>PM PCDC QUAL 0005</v>
          </cell>
        </row>
        <row r="531">
          <cell r="B531" t="str">
            <v>BLOW MOULDING MACHINE RANA &amp; S</v>
          </cell>
          <cell r="C531" t="str">
            <v>PM PCDC RANA 0301</v>
          </cell>
        </row>
        <row r="532">
          <cell r="B532" t="str">
            <v>FIRE EXTINGUISHER CO2 4.5KG 1N</v>
          </cell>
          <cell r="C532" t="str">
            <v>PM PCDC SAFT 0901</v>
          </cell>
        </row>
        <row r="533">
          <cell r="B533" t="str">
            <v>FIRE EXTINGUISHER MACHFOAM  9L</v>
          </cell>
          <cell r="C533" t="str">
            <v>PM PCDC SAFT 0902</v>
          </cell>
        </row>
        <row r="534">
          <cell r="B534" t="str">
            <v>FIRE EXTINGUISHER MACHFOAM 50L</v>
          </cell>
          <cell r="C534" t="str">
            <v>PM PCDC SAFT 0903</v>
          </cell>
        </row>
        <row r="535">
          <cell r="B535" t="str">
            <v>FIRE EXTENGUISHER</v>
          </cell>
          <cell r="C535" t="str">
            <v>PM PCDC SAFT 0904</v>
          </cell>
        </row>
        <row r="536">
          <cell r="B536" t="str">
            <v>AIR CONDITIONER VOLTAS MAKE -1</v>
          </cell>
          <cell r="C536" t="str">
            <v>PM PCDC SAFT 0905</v>
          </cell>
        </row>
        <row r="537">
          <cell r="B537" t="str">
            <v>COMPRESSED AIR DRIER</v>
          </cell>
          <cell r="C537" t="str">
            <v>PM PCDC UTIL 0604</v>
          </cell>
        </row>
        <row r="538">
          <cell r="B538" t="str">
            <v>VERTICAL AIR RECEIVER TANK</v>
          </cell>
          <cell r="C538" t="str">
            <v>PM PCDC UTIL 0605</v>
          </cell>
        </row>
        <row r="539">
          <cell r="B539" t="str">
            <v>INGERSOL RAND ROTARY SCREW  CO</v>
          </cell>
          <cell r="C539" t="str">
            <v>PM PCDC UTIL 0606</v>
          </cell>
        </row>
        <row r="540">
          <cell r="B540" t="str">
            <v>AIR COMPRESSOR  1NO.</v>
          </cell>
          <cell r="C540" t="str">
            <v>PM PCDC UTIL 0607</v>
          </cell>
        </row>
        <row r="541">
          <cell r="B541" t="str">
            <v>AIR COMPRESSOR INGERSOL RAND</v>
          </cell>
          <cell r="C541" t="str">
            <v>PM PCDC UTIL 0608</v>
          </cell>
        </row>
        <row r="542">
          <cell r="B542" t="str">
            <v>CHILLING PLANT SR.NO. 40620</v>
          </cell>
          <cell r="C542" t="str">
            <v>PM PCDC UTIL 0609</v>
          </cell>
        </row>
        <row r="543">
          <cell r="B543" t="str">
            <v>WATER SOFTNING PLANT WITH MOTO</v>
          </cell>
          <cell r="C543" t="str">
            <v>PM PCDC UTIL 0610</v>
          </cell>
        </row>
        <row r="544">
          <cell r="B544" t="str">
            <v>CHILLING WATER PUMP</v>
          </cell>
          <cell r="C544" t="str">
            <v>PM PCDC UTIL 0611</v>
          </cell>
        </row>
        <row r="545">
          <cell r="B545" t="str">
            <v>INFRA TANK 1000 LTRS. CAP.INFR</v>
          </cell>
          <cell r="C545" t="str">
            <v>PM PCDC UTIL 0612</v>
          </cell>
        </row>
        <row r="546">
          <cell r="B546" t="str">
            <v>WATER TANK (INFRA MAKE 1000 LT</v>
          </cell>
          <cell r="C546" t="str">
            <v>PM PCDC UTIL 0613</v>
          </cell>
        </row>
        <row r="547">
          <cell r="B547" t="str">
            <v>Kool Make FRP Cooling Tower (M</v>
          </cell>
          <cell r="C547" t="str">
            <v>PM PCDC UTIL 0614</v>
          </cell>
        </row>
        <row r="548">
          <cell r="B548" t="str">
            <v>(Kool Tek Rs. 45000; Consutruc</v>
          </cell>
          <cell r="C548" t="str">
            <v>PM PCDC UTIL 0615</v>
          </cell>
        </row>
        <row r="549">
          <cell r="B549" t="str">
            <v>Kool Make FRP Cooling Tower (M</v>
          </cell>
          <cell r="C549" t="str">
            <v>PM PCDC UTIL 0616</v>
          </cell>
        </row>
        <row r="550">
          <cell r="B550" t="str">
            <v>COOLING TOWER (KOOL MAKE FRP T</v>
          </cell>
          <cell r="C550" t="str">
            <v>PM PCDC UTIL 0617</v>
          </cell>
        </row>
        <row r="551">
          <cell r="B551" t="str">
            <v>AIR &amp; WATER PIPELINES</v>
          </cell>
          <cell r="C551" t="str">
            <v>PM PCDC UTIL 0618</v>
          </cell>
        </row>
        <row r="552">
          <cell r="B552" t="str">
            <v>DG SET (MODIFICATION)</v>
          </cell>
          <cell r="C552" t="str">
            <v>PM PCDC UTIL 0619</v>
          </cell>
        </row>
        <row r="553">
          <cell r="B553" t="str">
            <v>BLOW MOLDING M/C WITH THERMOST</v>
          </cell>
          <cell r="C553" t="str">
            <v>PM PCDC VINT 0201</v>
          </cell>
        </row>
        <row r="554">
          <cell r="B554" t="str">
            <v>INJECTION MOULDING (HWA CHIN)</v>
          </cell>
          <cell r="C554" t="str">
            <v>PM PCDC VLXI 1001</v>
          </cell>
        </row>
        <row r="555">
          <cell r="B555" t="str">
            <v>BASE MOULD (VLX)</v>
          </cell>
          <cell r="C555" t="str">
            <v>PM PCDC VLXM 1001</v>
          </cell>
        </row>
        <row r="556">
          <cell r="B556" t="str">
            <v>TOP MOULD (VLX)</v>
          </cell>
          <cell r="C556" t="str">
            <v>PM PCDC VLXM 1002</v>
          </cell>
        </row>
        <row r="557">
          <cell r="B557" t="str">
            <v>TEST LINE</v>
          </cell>
          <cell r="C557" t="str">
            <v>PM PCDC VLXT 1005</v>
          </cell>
        </row>
        <row r="558">
          <cell r="B558" t="str">
            <v>CRANE GANTERY 7 MISC</v>
          </cell>
          <cell r="C558" t="str">
            <v>PM PCDC VLXU 1001</v>
          </cell>
        </row>
        <row r="559">
          <cell r="B559" t="str">
            <v>OVER HEAD CRANE GANTERY</v>
          </cell>
          <cell r="C559" t="str">
            <v>PM PCDC VLXU 1002</v>
          </cell>
        </row>
        <row r="560">
          <cell r="B560" t="str">
            <v>TOP &amp; BASE WELDER</v>
          </cell>
          <cell r="C560" t="str">
            <v>PM PCDC VLXW 1001</v>
          </cell>
        </row>
        <row r="561">
          <cell r="B561" t="str">
            <v>HEATING, COLLING &amp; ROLLING DEV</v>
          </cell>
          <cell r="C561" t="str">
            <v>PM PCDC VLXW 1002</v>
          </cell>
        </row>
        <row r="562">
          <cell r="B562" t="str">
            <v>CONVEYORS</v>
          </cell>
          <cell r="C562" t="str">
            <v>PM PCDC VLXW 1004</v>
          </cell>
        </row>
        <row r="563">
          <cell r="B563" t="str">
            <v>EXTRUSION LINE</v>
          </cell>
          <cell r="C563" t="str">
            <v>PM PCDN PLNT 0001</v>
          </cell>
        </row>
        <row r="564">
          <cell r="B564" t="str">
            <v xml:space="preserve"> INJ.MOULDER  KRAUSS MAFFEI</v>
          </cell>
          <cell r="C564" t="str">
            <v>PM PCDN PLNT 0002</v>
          </cell>
        </row>
        <row r="565">
          <cell r="B565" t="str">
            <v>HANDLE FIXING  MACHINE</v>
          </cell>
          <cell r="C565" t="str">
            <v>PM PCDN PLNT 0003</v>
          </cell>
        </row>
        <row r="566">
          <cell r="B566" t="str">
            <v>GRANULATOR</v>
          </cell>
          <cell r="C566" t="str">
            <v>PM PCDN PLNT 0004</v>
          </cell>
        </row>
        <row r="567">
          <cell r="B567" t="str">
            <v>TEST LINE</v>
          </cell>
          <cell r="C567" t="str">
            <v>PM PCDN PLNT 0005</v>
          </cell>
        </row>
        <row r="568">
          <cell r="B568" t="str">
            <v>PRINTING  MACHINE</v>
          </cell>
          <cell r="C568" t="str">
            <v>PM PCDN PLNT 0007</v>
          </cell>
        </row>
        <row r="569">
          <cell r="B569" t="str">
            <v>FLAME TREATMENT UNIT</v>
          </cell>
          <cell r="C569" t="str">
            <v>PM PCDN PLNT 0008</v>
          </cell>
        </row>
        <row r="570">
          <cell r="B570" t="str">
            <v>ELECTRONIC WEIGHING SCALE</v>
          </cell>
          <cell r="C570" t="str">
            <v>PM PCDN PLNT 0009</v>
          </cell>
        </row>
        <row r="571">
          <cell r="B571" t="str">
            <v>WELDER</v>
          </cell>
          <cell r="C571" t="str">
            <v>PM PCDN PLNT 0010</v>
          </cell>
        </row>
        <row r="572">
          <cell r="B572" t="str">
            <v>BASE MOULD- HULL 1 NO.</v>
          </cell>
          <cell r="C572" t="str">
            <v>PM PCDN PLNT 0011</v>
          </cell>
        </row>
        <row r="573">
          <cell r="B573" t="str">
            <v>TOP MOULD- HULL 1 NO.</v>
          </cell>
          <cell r="C573" t="str">
            <v>PM PCDN PLNT 0012</v>
          </cell>
        </row>
        <row r="574">
          <cell r="B574" t="str">
            <v>STRAPPING MACHINE</v>
          </cell>
          <cell r="C574" t="str">
            <v>PM PCDN PLNT 0013</v>
          </cell>
        </row>
        <row r="575">
          <cell r="B575" t="str">
            <v>BLOW MOULDING M/C</v>
          </cell>
          <cell r="C575" t="str">
            <v>PM PCDN PLNT 0014</v>
          </cell>
        </row>
        <row r="576">
          <cell r="B576" t="str">
            <v>CAP MOULD</v>
          </cell>
          <cell r="C576" t="str">
            <v>PM PCDN PLNT 0015</v>
          </cell>
        </row>
        <row r="577">
          <cell r="B577" t="str">
            <v>CONVEYORS</v>
          </cell>
          <cell r="C577" t="str">
            <v>PM PCDN PLNT 0016</v>
          </cell>
        </row>
        <row r="578">
          <cell r="B578" t="str">
            <v>HYDURAULIC PALLET TRUCK (MANUA</v>
          </cell>
          <cell r="C578" t="str">
            <v>PM PCDN PLNT 0017</v>
          </cell>
        </row>
        <row r="579">
          <cell r="B579" t="str">
            <v>OIL FILTER MACHINE</v>
          </cell>
          <cell r="C579" t="str">
            <v>PM PCDN PLNT 0018</v>
          </cell>
        </row>
        <row r="580">
          <cell r="B580" t="str">
            <v>WEIGHING MACHINE (MANUAL)</v>
          </cell>
          <cell r="C580" t="str">
            <v>PM PCDN PLNT 0019</v>
          </cell>
        </row>
        <row r="581">
          <cell r="B581" t="str">
            <v>BATCH NO PRINTING MACHINE</v>
          </cell>
          <cell r="C581" t="str">
            <v>PM PCDN PLNT 0020</v>
          </cell>
        </row>
        <row r="582">
          <cell r="B582" t="str">
            <v>HYDROAULIC LIFT</v>
          </cell>
          <cell r="C582" t="str">
            <v>PM PCDN PLNT 0021</v>
          </cell>
        </row>
        <row r="583">
          <cell r="B583" t="str">
            <v>COMPRESSOR</v>
          </cell>
          <cell r="C583" t="str">
            <v>PM PCDN UTIL 0001</v>
          </cell>
        </row>
        <row r="584">
          <cell r="B584" t="str">
            <v>FIRE FIGHTING PLANT</v>
          </cell>
          <cell r="C584" t="str">
            <v>PM PCDN UTIL 0002</v>
          </cell>
        </row>
        <row r="585">
          <cell r="B585" t="str">
            <v>DEMAG CRANE</v>
          </cell>
          <cell r="C585" t="str">
            <v>PM PCDN UTIL 0003</v>
          </cell>
        </row>
        <row r="586">
          <cell r="B586" t="str">
            <v>CRANE</v>
          </cell>
          <cell r="C586" t="str">
            <v>PM PCDN UTIL 0004</v>
          </cell>
        </row>
        <row r="587">
          <cell r="B587" t="str">
            <v>COOLING TOWER (KOOL MAKE FRP T</v>
          </cell>
          <cell r="C587" t="str">
            <v>PM PCDN UTIL 0005</v>
          </cell>
        </row>
        <row r="588">
          <cell r="B588" t="str">
            <v>GENERAL TOOLS</v>
          </cell>
          <cell r="C588" t="str">
            <v>PM PCDN UTIL 0006</v>
          </cell>
        </row>
        <row r="589">
          <cell r="B589" t="str">
            <v>UTITLITY MISCELLANEOUS</v>
          </cell>
          <cell r="C589" t="str">
            <v>PM PCDN UTIL 0007</v>
          </cell>
        </row>
        <row r="590">
          <cell r="B590" t="str">
            <v>ELECTRICAL</v>
          </cell>
          <cell r="C590" t="str">
            <v>PM PCDN UTIL 0008</v>
          </cell>
        </row>
        <row r="591">
          <cell r="C591" t="str">
            <v>FAPCDT/11-12/00002</v>
          </cell>
        </row>
        <row r="592">
          <cell r="B592" t="str">
            <v>SCREW FOR INJ MLD.  M/C PAIL</v>
          </cell>
          <cell r="C592" t="str">
            <v>PM PCDT PAIL 0028</v>
          </cell>
        </row>
        <row r="593">
          <cell r="B593" t="str">
            <v>BLOW MOULDING M/C NO.1,</v>
          </cell>
          <cell r="C593" t="str">
            <v>PMC PCDT BM01 0001</v>
          </cell>
        </row>
        <row r="594">
          <cell r="B594" t="str">
            <v>GRANULATOR</v>
          </cell>
          <cell r="C594" t="str">
            <v>PMC PCDT BM01 0003</v>
          </cell>
        </row>
        <row r="595">
          <cell r="B595" t="str">
            <v>INCLINED BELT CONVEYOR</v>
          </cell>
          <cell r="C595" t="str">
            <v>PMC PCDT BM01 0004</v>
          </cell>
        </row>
        <row r="596">
          <cell r="B596" t="str">
            <v>EXHAUST FAN-4+ PEDESTAL FAN-1</v>
          </cell>
          <cell r="C596" t="str">
            <v>PMC PCDT BM01 0005</v>
          </cell>
        </row>
        <row r="597">
          <cell r="B597" t="str">
            <v>AIR KNIFE-CAN CLEANING DEVICE</v>
          </cell>
          <cell r="C597" t="str">
            <v>PMC PCDT BM01 0006</v>
          </cell>
        </row>
        <row r="598">
          <cell r="B598" t="str">
            <v>BLOW MOULDING M/C NO.2</v>
          </cell>
          <cell r="C598" t="str">
            <v>PMC PCDT BM02 0002</v>
          </cell>
        </row>
        <row r="599">
          <cell r="B599" t="str">
            <v>CHILLER(MODEL WECO 29W)</v>
          </cell>
          <cell r="C599" t="str">
            <v>PMC PCDT BMUT 0001</v>
          </cell>
        </row>
        <row r="600">
          <cell r="B600" t="str">
            <v>AIR RECEIVER+ MOIST SEPARATOR</v>
          </cell>
          <cell r="C600" t="str">
            <v>PMC PCDT BMUT 0002</v>
          </cell>
        </row>
        <row r="601">
          <cell r="B601" t="str">
            <v>PAIL LINE FROM BL</v>
          </cell>
          <cell r="C601" t="str">
            <v>PMC PCDT PAIL 0001</v>
          </cell>
        </row>
        <row r="602">
          <cell r="B602" t="str">
            <v>AMPCO RINGS FOR PAIL MOULD-SP-</v>
          </cell>
          <cell r="C602" t="str">
            <v>PMC PCDT PAIL 0002</v>
          </cell>
        </row>
        <row r="603">
          <cell r="B603" t="str">
            <v>INJ.MOULDING M/C-MAGNA 660</v>
          </cell>
          <cell r="C603" t="str">
            <v>PMC PCDT PAIL 0003</v>
          </cell>
        </row>
        <row r="604">
          <cell r="B604" t="str">
            <v>INJ.MOULDING M/C-SIGMA 275</v>
          </cell>
          <cell r="C604" t="str">
            <v>PMC PCDT PAIL 0004</v>
          </cell>
        </row>
        <row r="605">
          <cell r="B605" t="str">
            <v>PAIL 3 COLOUR PRINTING LINE WI</v>
          </cell>
          <cell r="C605" t="str">
            <v>PMC PCDT PAIL 0005</v>
          </cell>
        </row>
        <row r="606">
          <cell r="B606" t="str">
            <v>AIR COMPRESSOR</v>
          </cell>
          <cell r="C606" t="str">
            <v>PMC PCDT PAIL 0006</v>
          </cell>
        </row>
        <row r="607">
          <cell r="B607" t="str">
            <v>MISC.ELECTRICALS-PAIL LINE</v>
          </cell>
          <cell r="C607" t="str">
            <v>PMC PCDT PAIL 0007</v>
          </cell>
        </row>
        <row r="608">
          <cell r="B608" t="str">
            <v>COMMISSIONING</v>
          </cell>
          <cell r="C608" t="str">
            <v>PMC PCDT PAIL 0008</v>
          </cell>
        </row>
        <row r="609">
          <cell r="B609" t="str">
            <v>HYDRO PNEUMATIC PRESS WITH PIE</v>
          </cell>
          <cell r="C609" t="str">
            <v>PMC PCDT PAIL 0009</v>
          </cell>
        </row>
        <row r="610">
          <cell r="B610" t="str">
            <v>LID STACK LINER INDEXING CONVE</v>
          </cell>
          <cell r="C610" t="str">
            <v>PMC PCDT PAIL 0010</v>
          </cell>
        </row>
        <row r="611">
          <cell r="B611" t="str">
            <v>GRANULATOR</v>
          </cell>
          <cell r="C611" t="str">
            <v>PMC PCDT PAIL 0011</v>
          </cell>
        </row>
        <row r="612">
          <cell r="B612" t="str">
            <v>ELGI AIR CIMPRESSOR M-HP05300</v>
          </cell>
          <cell r="C612" t="str">
            <v>PMC PCDT PAIL 0012</v>
          </cell>
        </row>
        <row r="613">
          <cell r="B613" t="str">
            <v>ELGI -AIR RECEIVER</v>
          </cell>
          <cell r="C613" t="str">
            <v>PMC PCDT PAIL 0013</v>
          </cell>
        </row>
        <row r="614">
          <cell r="B614" t="str">
            <v>CHILER MODEL-WECO 29W</v>
          </cell>
          <cell r="C614" t="str">
            <v>PMC PCDT PAIL 0014</v>
          </cell>
        </row>
        <row r="615">
          <cell r="B615" t="str">
            <v>LID-LEAK TESTING M/C</v>
          </cell>
          <cell r="C615" t="str">
            <v>PMC PCDT PAIL 0015</v>
          </cell>
        </row>
        <row r="616">
          <cell r="B616" t="str">
            <v>GASKET FIXING M/C</v>
          </cell>
          <cell r="C616" t="str">
            <v>PMC PCDT PAIL 0016</v>
          </cell>
        </row>
        <row r="617">
          <cell r="B617" t="str">
            <v>EXHAUST FAN-4+ PEDESTAL FAN-1</v>
          </cell>
          <cell r="C617" t="str">
            <v>PMC PCDT PAIL 0017</v>
          </cell>
        </row>
        <row r="618">
          <cell r="B618" t="str">
            <v>ULTRASONIC WELDING M/C</v>
          </cell>
          <cell r="C618" t="str">
            <v>PMC PCDT PAIL 0019</v>
          </cell>
        </row>
        <row r="619">
          <cell r="B619" t="str">
            <v>LID CLOSING PNEUMATIC M/C</v>
          </cell>
          <cell r="C619" t="str">
            <v>PMC PCDT PAIL 0020</v>
          </cell>
        </row>
        <row r="620">
          <cell r="B620" t="str">
            <v>MULTI DOSING SYSTEM+ DOSING UN</v>
          </cell>
          <cell r="C620" t="str">
            <v>PMC PCDT PAIL 0021</v>
          </cell>
        </row>
        <row r="621">
          <cell r="B621" t="str">
            <v>PRINTING LINE ACESSOIES-10 LTR</v>
          </cell>
          <cell r="C621" t="str">
            <v>PMC PCDT PAIL 0022</v>
          </cell>
        </row>
        <row r="622">
          <cell r="B622" t="str">
            <v>SCREEN PRINTING M/C NO.4-VERTI</v>
          </cell>
          <cell r="C622" t="str">
            <v>PMC PCDT PAIL 0023</v>
          </cell>
        </row>
        <row r="623">
          <cell r="B623" t="str">
            <v>HOT AIR DRYING OVEN WITH CONVE</v>
          </cell>
          <cell r="C623" t="str">
            <v>PMC PCDT PAIL 0024</v>
          </cell>
        </row>
        <row r="624">
          <cell r="B624" t="str">
            <v>MANUAL SCREEN PRINTING M/C</v>
          </cell>
          <cell r="C624" t="str">
            <v>PMC PCDT PAIL 0025</v>
          </cell>
        </row>
        <row r="625">
          <cell r="B625" t="str">
            <v>INJ. MOULDING M/C PARTS MAGNA</v>
          </cell>
          <cell r="C625" t="str">
            <v>PMC PCDT PAIL 0026</v>
          </cell>
        </row>
        <row r="626">
          <cell r="B626" t="str">
            <v>TEMPER EVIDENT RIVET-16 CAV.MO</v>
          </cell>
          <cell r="C626" t="str">
            <v>PMC PCDT PAIL 0027</v>
          </cell>
        </row>
        <row r="627">
          <cell r="B627" t="str">
            <v>MANDETORY SPARES</v>
          </cell>
          <cell r="C627" t="str">
            <v>PMC PCDT SPRS 0001</v>
          </cell>
        </row>
        <row r="628">
          <cell r="B628" t="str">
            <v>EXTRUDER + METAL SEPARATOR</v>
          </cell>
          <cell r="C628" t="str">
            <v>PMC PCDT VEX1 0001</v>
          </cell>
        </row>
        <row r="629">
          <cell r="B629" t="str">
            <v>INJ. MOULDER M/C-FR110/140</v>
          </cell>
          <cell r="C629" t="str">
            <v>PMC PCDT VEX1 0002</v>
          </cell>
        </row>
        <row r="630">
          <cell r="B630" t="str">
            <v>INTERNAL HAUL OFF</v>
          </cell>
          <cell r="C630" t="str">
            <v>PMC PCDT VEX1 0003</v>
          </cell>
        </row>
        <row r="631">
          <cell r="B631" t="str">
            <v>CUTTER</v>
          </cell>
          <cell r="C631" t="str">
            <v>PMC PCDT VEX1 0004</v>
          </cell>
        </row>
        <row r="632">
          <cell r="B632" t="str">
            <v>MULTI DOSING SYSTEM+ DOSING UN</v>
          </cell>
          <cell r="C632" t="str">
            <v>PMC PCDT VEX1 0005</v>
          </cell>
        </row>
        <row r="633">
          <cell r="B633" t="str">
            <v>INJECTION MOULDING M/C-250T</v>
          </cell>
          <cell r="C633" t="str">
            <v>PMC PCDT VEX1 0006</v>
          </cell>
        </row>
        <row r="634">
          <cell r="B634" t="str">
            <v>INJECTION MOULDING M/C-250T</v>
          </cell>
          <cell r="C634" t="str">
            <v>PMC PCDT VEX1 0007</v>
          </cell>
        </row>
        <row r="635">
          <cell r="B635" t="str">
            <v>INJECTION MOULDING M/C-140T</v>
          </cell>
          <cell r="C635" t="str">
            <v>PMC PCDT VEX1 0008</v>
          </cell>
        </row>
        <row r="636">
          <cell r="B636" t="str">
            <v>TOP MOULD(TM-1)-V20</v>
          </cell>
          <cell r="C636" t="str">
            <v>PMC PCDT VEX1 0009</v>
          </cell>
        </row>
        <row r="637">
          <cell r="B637" t="str">
            <v>TOP MOULD(TM-2)-V20</v>
          </cell>
          <cell r="C637" t="str">
            <v>PMC PCDT VEX1 0010</v>
          </cell>
        </row>
        <row r="638">
          <cell r="B638" t="str">
            <v>BASE MOULD(BM-1)-V20</v>
          </cell>
          <cell r="C638" t="str">
            <v>PMC PCDT VEX1 0011</v>
          </cell>
        </row>
        <row r="639">
          <cell r="B639" t="str">
            <v>BASE MOULD(BM-2)-V20</v>
          </cell>
          <cell r="C639" t="str">
            <v>PMC PCDT VEX1 0012</v>
          </cell>
        </row>
        <row r="640">
          <cell r="B640" t="str">
            <v>WELDERS-TOP &amp; BASE TW-1,BW-1</v>
          </cell>
          <cell r="C640" t="str">
            <v>PMC PCDT VEX1 0013</v>
          </cell>
        </row>
        <row r="641">
          <cell r="B641" t="str">
            <v>WELDERS-TOP &amp; BASE TW-3,BW-3</v>
          </cell>
          <cell r="C641" t="str">
            <v>PMC PCDT VEX1 0014</v>
          </cell>
        </row>
        <row r="642">
          <cell r="B642" t="str">
            <v>WELD TEST LINE</v>
          </cell>
          <cell r="C642" t="str">
            <v>PMC PCDT VEX1 0015</v>
          </cell>
        </row>
        <row r="643">
          <cell r="B643" t="str">
            <v>WELDERS-TOP &amp; BASE TW-2,BW-2</v>
          </cell>
          <cell r="C643" t="str">
            <v>PMC PCDT VEX1 0016</v>
          </cell>
        </row>
        <row r="644">
          <cell r="B644" t="str">
            <v>FINISHING LINE(HANDLE INSERTIO</v>
          </cell>
          <cell r="C644" t="str">
            <v>PMC PCDT VEX1 0017</v>
          </cell>
        </row>
        <row r="645">
          <cell r="B645" t="str">
            <v>FLAME TREATMENT UNIT</v>
          </cell>
          <cell r="C645" t="str">
            <v>PMC PCDT VEX1 0018</v>
          </cell>
        </row>
        <row r="646">
          <cell r="B646" t="str">
            <v>LEAK -TESTER</v>
          </cell>
          <cell r="C646" t="str">
            <v>PMC PCDT VEX1 0019</v>
          </cell>
        </row>
        <row r="647">
          <cell r="B647" t="str">
            <v>SCREEN PRINTING M/C NO.4-VERTI</v>
          </cell>
          <cell r="C647" t="str">
            <v>PMC PCDT VEX1 0020</v>
          </cell>
        </row>
        <row r="648">
          <cell r="B648" t="str">
            <v>INK CURING OVEN</v>
          </cell>
          <cell r="C648" t="str">
            <v>PMC PCDT VEX1 0021</v>
          </cell>
        </row>
        <row r="649">
          <cell r="B649" t="str">
            <v>SHRINK  WRAPPING OVEN</v>
          </cell>
          <cell r="C649" t="str">
            <v>PMC PCDT VEX1 0022</v>
          </cell>
        </row>
        <row r="650">
          <cell r="B650" t="str">
            <v>DRUM LIFTING CONVEYOR</v>
          </cell>
          <cell r="C650" t="str">
            <v>PMC PCDT VEX1 0023</v>
          </cell>
        </row>
        <row r="651">
          <cell r="B651" t="str">
            <v>CONVEYORS</v>
          </cell>
          <cell r="C651" t="str">
            <v>PMC PCDT VEX1 0024</v>
          </cell>
        </row>
        <row r="652">
          <cell r="B652" t="str">
            <v>STRAPPING MACHINE</v>
          </cell>
          <cell r="C652" t="str">
            <v>PMC PCDT VEX1 0025</v>
          </cell>
        </row>
        <row r="653">
          <cell r="B653" t="str">
            <v>DOSING UNITS-INJ.MOULDING M/C</v>
          </cell>
          <cell r="C653" t="str">
            <v>PMC PCDT VEX1 0026</v>
          </cell>
        </row>
        <row r="654">
          <cell r="B654" t="str">
            <v>HOIST</v>
          </cell>
          <cell r="C654" t="str">
            <v>PMC PCDT VEX1 0027</v>
          </cell>
        </row>
        <row r="655">
          <cell r="B655" t="str">
            <v>STEEL STRUCTURE FOR STORAGE AR</v>
          </cell>
          <cell r="C655" t="str">
            <v>PMC PCDT VEX1 0028</v>
          </cell>
        </row>
        <row r="656">
          <cell r="B656" t="str">
            <v>GRANULATOR</v>
          </cell>
          <cell r="C656" t="str">
            <v>PMC PCDT VEX1 0029</v>
          </cell>
        </row>
        <row r="657">
          <cell r="B657" t="str">
            <v>ANGLE GRINDER</v>
          </cell>
          <cell r="C657" t="str">
            <v>PMC PCDT VEX1 0030</v>
          </cell>
        </row>
        <row r="658">
          <cell r="B658" t="str">
            <v>DOWN ENDER-PRINTING LINE</v>
          </cell>
          <cell r="C658" t="str">
            <v>PMC PCDT VEX1 0031</v>
          </cell>
        </row>
        <row r="659">
          <cell r="B659" t="str">
            <v>V 20 BASE MOULD BM12</v>
          </cell>
          <cell r="C659" t="str">
            <v>PMC PCDT VEX1 0032</v>
          </cell>
        </row>
        <row r="660">
          <cell r="B660" t="str">
            <v>AIR COMPRESSOR</v>
          </cell>
          <cell r="C660" t="str">
            <v>PMC PCDT VUT1 0001</v>
          </cell>
        </row>
        <row r="661">
          <cell r="B661" t="str">
            <v>AIR RECEIVER+ MOIST SEPARATOR</v>
          </cell>
          <cell r="C661" t="str">
            <v>PMC PCDT VUT1 0002</v>
          </cell>
        </row>
        <row r="662">
          <cell r="B662" t="str">
            <v>AIR WATER LINES</v>
          </cell>
          <cell r="C662" t="str">
            <v>PMC PCDT VUT1 0003</v>
          </cell>
        </row>
        <row r="663">
          <cell r="B663" t="str">
            <v>WATER SOFTNING PLANT WITH MOTO</v>
          </cell>
          <cell r="C663" t="str">
            <v>PMC PCDT VUT1 0004</v>
          </cell>
        </row>
        <row r="664">
          <cell r="B664" t="str">
            <v>304SS STEEL TANK-CHILLED WATER</v>
          </cell>
          <cell r="C664" t="str">
            <v>PMC PCDT VUT1 0005</v>
          </cell>
        </row>
        <row r="665">
          <cell r="B665" t="str">
            <v>COOLING TOWERS</v>
          </cell>
          <cell r="C665" t="str">
            <v>PMC PCDT VUT1 0006</v>
          </cell>
        </row>
        <row r="666">
          <cell r="B666" t="str">
            <v>CHILLING PLANT-18 TR</v>
          </cell>
          <cell r="C666" t="str">
            <v>PMC PCDT VUT1 0007</v>
          </cell>
        </row>
        <row r="667">
          <cell r="B667" t="str">
            <v>GAS GENERATOR</v>
          </cell>
          <cell r="C667" t="str">
            <v>PMC PCDT VUT1 0008</v>
          </cell>
        </row>
        <row r="668">
          <cell r="B668" t="str">
            <v>ELECTROSTATIC OIL CLEANING M/C</v>
          </cell>
          <cell r="C668" t="str">
            <v>PMC PCDT VUT1 0009</v>
          </cell>
        </row>
        <row r="669">
          <cell r="B669" t="str">
            <v>EXHAUST FAN-4+ PEDESTAL FAN-1</v>
          </cell>
          <cell r="C669" t="str">
            <v>PMC PCDT VUTI 0010</v>
          </cell>
        </row>
        <row r="670">
          <cell r="B670" t="str">
            <v>WEIGHING SCALE (15kg platform)</v>
          </cell>
          <cell r="C670" t="str">
            <v>PMC PCDT VUTI 0011</v>
          </cell>
        </row>
        <row r="671">
          <cell r="B671" t="str">
            <v>EXPRESS FEEDER</v>
          </cell>
          <cell r="C671" t="str">
            <v>PMC PCDT WELEC 0001</v>
          </cell>
        </row>
        <row r="672">
          <cell r="B672" t="str">
            <v>TRANSFORMER-1600 KVA(NO.2)</v>
          </cell>
          <cell r="C672" t="str">
            <v>PMC PCDT WELEC 0002</v>
          </cell>
        </row>
        <row r="673">
          <cell r="B673" t="str">
            <v>HR CABLE,PANEL &amp; LAYING CABLE</v>
          </cell>
          <cell r="C673" t="str">
            <v>PMC PCDT WELEC 0003</v>
          </cell>
        </row>
        <row r="674">
          <cell r="B674" t="str">
            <v>COPPER BUS DUCT</v>
          </cell>
          <cell r="C674" t="str">
            <v>PMC PCDT WELEC 0004</v>
          </cell>
        </row>
        <row r="675">
          <cell r="B675" t="str">
            <v>MISC.</v>
          </cell>
          <cell r="C675" t="str">
            <v>PMC PCDT WELEC 0005</v>
          </cell>
        </row>
        <row r="676">
          <cell r="B676" t="str">
            <v>ENERGY SAVING SYSTEM</v>
          </cell>
          <cell r="C676" t="str">
            <v>PMC PCDT WELEC 0006</v>
          </cell>
        </row>
        <row r="677">
          <cell r="B677" t="str">
            <v>ACB-1250 AMP TP MANNUAL TYPE</v>
          </cell>
          <cell r="C677" t="str">
            <v>PMC PCDT WELEC 0007</v>
          </cell>
        </row>
        <row r="678">
          <cell r="B678" t="str">
            <v>FUSE-SWITCH UNIT 400 ATP</v>
          </cell>
          <cell r="C678" t="str">
            <v>PMC PCDT WELEC 0008</v>
          </cell>
        </row>
        <row r="679">
          <cell r="B679" t="str">
            <v>PANEL AIR CONDITIONERS</v>
          </cell>
          <cell r="C679" t="str">
            <v>PMC PCDT WELEC 0009</v>
          </cell>
        </row>
        <row r="680">
          <cell r="B680" t="str">
            <v>SAIF PANEL+CABLES</v>
          </cell>
          <cell r="C680" t="str">
            <v>PMC PCDT WELEC 0010</v>
          </cell>
        </row>
        <row r="681">
          <cell r="B681" t="str">
            <v>MISC. ELECTRICALS FOR PLANT</v>
          </cell>
          <cell r="C681" t="str">
            <v>PMC PCDT WELEC 0011</v>
          </cell>
        </row>
        <row r="682">
          <cell r="B682" t="str">
            <v>EXTRUDER</v>
          </cell>
          <cell r="C682" t="str">
            <v>PMC PCDT WEX1 0001</v>
          </cell>
        </row>
        <row r="683">
          <cell r="B683" t="str">
            <v>BIMETAL BARREL, STELITED SCREW</v>
          </cell>
          <cell r="C683" t="str">
            <v>PMC PCDT WEX1 0002</v>
          </cell>
        </row>
        <row r="684">
          <cell r="B684" t="str">
            <v>EXTRUSION DIE</v>
          </cell>
          <cell r="C684" t="str">
            <v>PMC PCDT WEX1 0003</v>
          </cell>
        </row>
        <row r="685">
          <cell r="B685" t="str">
            <v>CALLIBRATION BATH</v>
          </cell>
          <cell r="C685" t="str">
            <v>PMC PCDT WEX1 0004</v>
          </cell>
        </row>
        <row r="686">
          <cell r="B686" t="str">
            <v>INTERNAL COOLING</v>
          </cell>
          <cell r="C686" t="str">
            <v>PMC PCDT WEX1 0005</v>
          </cell>
        </row>
        <row r="687">
          <cell r="B687" t="str">
            <v>HAUL OFF - INTERNAL</v>
          </cell>
          <cell r="C687" t="str">
            <v>PMC PCDT WEX1 0006</v>
          </cell>
        </row>
        <row r="688">
          <cell r="B688" t="str">
            <v>HAUL OFF - EXTERNAL</v>
          </cell>
          <cell r="C688" t="str">
            <v>PMC PCDT WEX1 0007</v>
          </cell>
        </row>
        <row r="689">
          <cell r="B689" t="str">
            <v>TUBE CUTTER</v>
          </cell>
          <cell r="C689" t="str">
            <v>PMC PCDT WEX1 0008</v>
          </cell>
        </row>
        <row r="690">
          <cell r="B690" t="str">
            <v>K -TRON DOSING UNIT</v>
          </cell>
          <cell r="C690" t="str">
            <v>PMC PCDT WEX1 0009</v>
          </cell>
        </row>
        <row r="691">
          <cell r="B691" t="str">
            <v>NEW EXTRUSION DIE</v>
          </cell>
          <cell r="C691" t="str">
            <v>PMC PCDT WEX1 0010</v>
          </cell>
        </row>
        <row r="692">
          <cell r="B692" t="str">
            <v>PICK &amp; PLACE UNIT - 3 SETS</v>
          </cell>
          <cell r="C692" t="str">
            <v>PMC PCDT WEX1 0011</v>
          </cell>
        </row>
        <row r="693">
          <cell r="B693" t="str">
            <v>GRANULATOR</v>
          </cell>
          <cell r="C693" t="str">
            <v>PMC PCDT WEX1 0012</v>
          </cell>
        </row>
        <row r="694">
          <cell r="B694" t="str">
            <v>CONVEYORS</v>
          </cell>
          <cell r="C694" t="str">
            <v>PMC PCDT WEX1 0013</v>
          </cell>
        </row>
        <row r="695">
          <cell r="B695" t="str">
            <v>RAM-CLAMP UNIT</v>
          </cell>
          <cell r="C695" t="str">
            <v>PMC PCDT WEX1 0014</v>
          </cell>
        </row>
        <row r="696">
          <cell r="B696" t="str">
            <v>INJECTION MOULES M/C</v>
          </cell>
          <cell r="C696" t="str">
            <v>PMC PCDT WEX1 0015</v>
          </cell>
        </row>
        <row r="697">
          <cell r="B697" t="str">
            <v>K-TRON DOSING UNITS</v>
          </cell>
          <cell r="C697" t="str">
            <v>PMC PCDT WEX1 0016</v>
          </cell>
        </row>
        <row r="698">
          <cell r="B698" t="str">
            <v>TOP MOULD TM-1</v>
          </cell>
          <cell r="C698" t="str">
            <v>PMC PCDT WEX1 0017</v>
          </cell>
        </row>
        <row r="699">
          <cell r="B699" t="str">
            <v>BASE MOULD BM -1</v>
          </cell>
          <cell r="C699" t="str">
            <v>PMC PCDT WEX1 0018</v>
          </cell>
        </row>
        <row r="700">
          <cell r="B700" t="str">
            <v>POST MOULD COOLING</v>
          </cell>
          <cell r="C700" t="str">
            <v>PMC PCDT WEX1 0019</v>
          </cell>
        </row>
        <row r="701">
          <cell r="B701" t="str">
            <v>SPINDLE FOR D/N PLUG</v>
          </cell>
          <cell r="C701" t="str">
            <v>PMC PCDT WEX1 0020</v>
          </cell>
        </row>
        <row r="702">
          <cell r="B702" t="str">
            <v>ASSLY. INJECTION CYLINDER</v>
          </cell>
          <cell r="C702" t="str">
            <v>PMC PCDT WEX1 0021</v>
          </cell>
        </row>
        <row r="703">
          <cell r="B703" t="str">
            <v>TOP WELDING M/C</v>
          </cell>
          <cell r="C703" t="str">
            <v>PMC PCDT WEX1 0022</v>
          </cell>
        </row>
        <row r="704">
          <cell r="B704" t="str">
            <v>BASE WELDING M/C</v>
          </cell>
          <cell r="C704" t="str">
            <v>PMC PCDT WEX1 0023</v>
          </cell>
        </row>
        <row r="705">
          <cell r="B705" t="str">
            <v>SBD CONVERSION OF WELDERS</v>
          </cell>
          <cell r="C705" t="str">
            <v>PMC PCDT WEX1 0024</v>
          </cell>
        </row>
        <row r="706">
          <cell r="B706" t="str">
            <v>TEST LINE</v>
          </cell>
          <cell r="C706" t="str">
            <v>PMC PCDT WEX1 0025</v>
          </cell>
        </row>
        <row r="707">
          <cell r="B707" t="str">
            <v>SCREEN PRINTING M/C NO.4-VERTI</v>
          </cell>
          <cell r="C707" t="str">
            <v>PMC PCDT WEX1 0026</v>
          </cell>
        </row>
        <row r="708">
          <cell r="B708" t="str">
            <v>INK DRYING OVEN</v>
          </cell>
          <cell r="C708" t="str">
            <v>PMC PCDT WEX1 0027</v>
          </cell>
        </row>
        <row r="709">
          <cell r="B709" t="str">
            <v>FLAME TREATMENT UNIT</v>
          </cell>
          <cell r="C709" t="str">
            <v>PMC PCDT WEX1 0028</v>
          </cell>
        </row>
        <row r="710">
          <cell r="B710" t="str">
            <v>EXTRUDER WITH SPARE MOTOR</v>
          </cell>
          <cell r="C710" t="str">
            <v>PMC PCDT WEX2 0001</v>
          </cell>
        </row>
        <row r="711">
          <cell r="B711" t="str">
            <v>ETA DIE</v>
          </cell>
          <cell r="C711" t="str">
            <v>PMC PCDT WEX2 0002</v>
          </cell>
        </row>
        <row r="712">
          <cell r="B712" t="str">
            <v>INTERNAL COOLING SYSTEM-BATH</v>
          </cell>
          <cell r="C712" t="str">
            <v>PMC PCDT WEX2 0003</v>
          </cell>
        </row>
        <row r="713">
          <cell r="B713" t="str">
            <v>HAUL OFF - EXTERNAL +INTERNAL</v>
          </cell>
          <cell r="C713" t="str">
            <v>PMC PCDT WEX2 0004</v>
          </cell>
        </row>
        <row r="714">
          <cell r="B714" t="str">
            <v>TUBE CUTTER</v>
          </cell>
          <cell r="C714" t="str">
            <v>PMC PCDT WEX2 0005</v>
          </cell>
        </row>
        <row r="715">
          <cell r="B715" t="str">
            <v>SBD-TOP MOULD-TM2</v>
          </cell>
          <cell r="C715" t="str">
            <v>PMC PCDT WEX2 0006</v>
          </cell>
        </row>
        <row r="716">
          <cell r="B716" t="str">
            <v>SBD-PROJECT</v>
          </cell>
          <cell r="C716" t="str">
            <v>PMC PCDT WEX2 0007</v>
          </cell>
        </row>
        <row r="717">
          <cell r="B717" t="str">
            <v>WELDERS UK-SBD CONVERSION</v>
          </cell>
          <cell r="C717" t="str">
            <v>PMC PCDT WEX2 0008</v>
          </cell>
        </row>
        <row r="718">
          <cell r="B718" t="str">
            <v>VERTICAL DRUM LEAK TEST MACHIN</v>
          </cell>
          <cell r="C718" t="str">
            <v>PMC PCDT WEX2 0009</v>
          </cell>
        </row>
        <row r="719">
          <cell r="B719" t="str">
            <v>MOBILE FLAME TREATMENT UNIT</v>
          </cell>
          <cell r="C719" t="str">
            <v>PMC PCDT WEX2 0010</v>
          </cell>
        </row>
        <row r="720">
          <cell r="B720" t="str">
            <v>SCREEN PRINTING MACHINE</v>
          </cell>
          <cell r="C720" t="str">
            <v>PMC PCDT WEX2 0011</v>
          </cell>
        </row>
        <row r="721">
          <cell r="B721" t="str">
            <v>2 COLOUR AUTO SCREEN PRINT M/C</v>
          </cell>
          <cell r="C721" t="str">
            <v>PMC PCDT WEX2 0012</v>
          </cell>
        </row>
        <row r="722">
          <cell r="B722" t="str">
            <v>SCREEN PRINTING MACHINE-SENT T</v>
          </cell>
          <cell r="C722" t="str">
            <v>PMC PCDT WEX2 0013</v>
          </cell>
        </row>
        <row r="723">
          <cell r="B723" t="str">
            <v>UPPENDERS</v>
          </cell>
          <cell r="C723" t="str">
            <v>PMC PCDT WMIC 0001</v>
          </cell>
        </row>
        <row r="724">
          <cell r="B724" t="str">
            <v>FIRE EXTINGUISHERS (MISC+ )</v>
          </cell>
          <cell r="C724" t="str">
            <v>PMC PCDT WMIC 0002</v>
          </cell>
        </row>
        <row r="725">
          <cell r="B725" t="str">
            <v>SURVO STABILIZERS</v>
          </cell>
          <cell r="C725" t="str">
            <v>PMC PCDT WMIC 0003</v>
          </cell>
        </row>
        <row r="726">
          <cell r="B726" t="str">
            <v>COOLING FIXTURE -OPEN TOP CURL</v>
          </cell>
          <cell r="C726" t="str">
            <v>PMC PCDT WMIC 0004</v>
          </cell>
        </row>
        <row r="727">
          <cell r="B727" t="str">
            <v>HYDRAULIC PRESS-O.T.C.</v>
          </cell>
          <cell r="C727" t="str">
            <v>PMC PCDT WMIC 0005</v>
          </cell>
        </row>
        <row r="728">
          <cell r="B728" t="str">
            <v>HEATING TOOL ASSLY-O.T.C.</v>
          </cell>
          <cell r="C728" t="str">
            <v>PMC PCDT WMIC 0006</v>
          </cell>
        </row>
        <row r="729">
          <cell r="B729" t="str">
            <v>CURLING TOOL ASSLY-O.T.C.</v>
          </cell>
          <cell r="C729" t="str">
            <v>PMC PCDT WMIC 0007</v>
          </cell>
        </row>
        <row r="730">
          <cell r="B730" t="str">
            <v>DIGITAL INPUT &amp; OUTPUT MODULE</v>
          </cell>
          <cell r="C730" t="str">
            <v>PMC PCDT WMIC 0008</v>
          </cell>
        </row>
        <row r="731">
          <cell r="B731" t="str">
            <v>FD-650-REFURBISHMENT WITH PLC</v>
          </cell>
          <cell r="C731" t="str">
            <v>PMC PCDT WMIC 0009</v>
          </cell>
        </row>
        <row r="732">
          <cell r="B732" t="str">
            <v>HEAT EXCHANGER</v>
          </cell>
          <cell r="C732" t="str">
            <v>PMC PCDT WMIC 0010</v>
          </cell>
        </row>
        <row r="733">
          <cell r="B733" t="str">
            <v>INKJET PRINTERS</v>
          </cell>
          <cell r="C733" t="str">
            <v>PMC PCDT WMIC 0011</v>
          </cell>
        </row>
        <row r="734">
          <cell r="B734" t="str">
            <v>PALLET TRUCK-HYRAULIC</v>
          </cell>
          <cell r="C734" t="str">
            <v>PMC PCDT WMIC 0012</v>
          </cell>
        </row>
        <row r="735">
          <cell r="B735" t="str">
            <v>DRILL M/C+HAND DRILLS-STORES</v>
          </cell>
          <cell r="C735" t="str">
            <v>PMC PCDT WMIC 0013</v>
          </cell>
        </row>
        <row r="736">
          <cell r="B736" t="str">
            <v>DRUM WASHING DEVICE</v>
          </cell>
          <cell r="C736" t="str">
            <v>PMC PCDT WMIC 0014</v>
          </cell>
        </row>
        <row r="737">
          <cell r="B737" t="str">
            <v>MICRO TAG SYSTEM</v>
          </cell>
          <cell r="C737" t="str">
            <v>PMC PCDT WMIC 0015</v>
          </cell>
        </row>
        <row r="738">
          <cell r="B738" t="str">
            <v>SQUEEZE SHARPNERS GF-4755</v>
          </cell>
          <cell r="C738" t="str">
            <v>PMC PCDT WMIC 0016</v>
          </cell>
        </row>
        <row r="739">
          <cell r="B739" t="str">
            <v>TUBE CUTTER</v>
          </cell>
          <cell r="C739" t="str">
            <v>PMC PCDT WMIC 0017</v>
          </cell>
        </row>
        <row r="740">
          <cell r="B740" t="str">
            <v>STORAGE BINS-STORES</v>
          </cell>
          <cell r="C740" t="str">
            <v>PMC PCDT WMIC 0018</v>
          </cell>
        </row>
        <row r="741">
          <cell r="B741" t="str">
            <v>MECHANICAL SWEEPERS</v>
          </cell>
          <cell r="C741" t="str">
            <v>PMC PCDT WMIC 0019</v>
          </cell>
        </row>
        <row r="742">
          <cell r="B742" t="str">
            <v>STORE-SPAREPART STORAGE SYSTEM</v>
          </cell>
          <cell r="C742" t="str">
            <v>PMC PCDT WMIC 0020</v>
          </cell>
        </row>
        <row r="743">
          <cell r="B743" t="str">
            <v>HYD. MANUAL DRUM STACKER</v>
          </cell>
          <cell r="C743" t="str">
            <v>PMC PCDT WMIC 0021</v>
          </cell>
        </row>
        <row r="744">
          <cell r="B744" t="str">
            <v>BAG CLOSING M/C-PORTABLE</v>
          </cell>
          <cell r="C744" t="str">
            <v>PMC PCDT WMIC 0022</v>
          </cell>
        </row>
        <row r="745">
          <cell r="B745" t="str">
            <v>F.R.P. EXAUST-RADIAL 30"	Tangible	Yes	No	1.00	Yes_x000D_PM PCDT"</v>
          </cell>
          <cell r="C745" t="str">
            <v>PMC PCDT WMIC 0023</v>
          </cell>
        </row>
        <row r="746">
          <cell r="B746" t="str">
            <v>TURBINE AIR VERTILATOR</v>
          </cell>
          <cell r="C746" t="str">
            <v>PMC PCDT WMIC 0025</v>
          </cell>
        </row>
        <row r="747">
          <cell r="B747" t="str">
            <v>VENTILATION SYSTEM</v>
          </cell>
          <cell r="C747" t="str">
            <v>PMC PCDT WMIC 0026</v>
          </cell>
        </row>
        <row r="748">
          <cell r="B748" t="str">
            <v>STORAGE SYSTEM</v>
          </cell>
          <cell r="C748" t="str">
            <v>PMC PCDT WMIC 0027</v>
          </cell>
        </row>
        <row r="749">
          <cell r="B749" t="str">
            <v>FRONT CONNECTOR FOR OPEN TOP M</v>
          </cell>
          <cell r="C749" t="str">
            <v>PMC PCDT WMIC 0028</v>
          </cell>
        </row>
        <row r="750">
          <cell r="B750" t="str">
            <v>SCREEN EXPOSING M/C WITH VACCU</v>
          </cell>
          <cell r="C750" t="str">
            <v>PMC PCDT WSMS 0001</v>
          </cell>
        </row>
        <row r="751">
          <cell r="B751" t="str">
            <v>EMULSION COATING MANNUAL M/C</v>
          </cell>
          <cell r="C751" t="str">
            <v>PMC PCDT WSMS 0002</v>
          </cell>
        </row>
        <row r="752">
          <cell r="B752" t="str">
            <v>SCREEN DRIER WITH INSPECTION T</v>
          </cell>
          <cell r="C752" t="str">
            <v>PMC PCDT WSMS 0003</v>
          </cell>
        </row>
        <row r="753">
          <cell r="B753" t="str">
            <v>SCREEN STRETCHING DEVICE</v>
          </cell>
          <cell r="C753" t="str">
            <v>PMC PCDT WSMS 0004</v>
          </cell>
        </row>
        <row r="754">
          <cell r="B754" t="str">
            <v>WASHING TANK + HIGH PRESSURE P</v>
          </cell>
          <cell r="C754" t="str">
            <v>PMC PCDT WSMS 0005</v>
          </cell>
        </row>
        <row r="755">
          <cell r="B755" t="str">
            <v>PMC PCDT WTST 0001</v>
          </cell>
          <cell r="C755" t="str">
            <v>PMC PCDT WTST 0001</v>
          </cell>
        </row>
        <row r="756">
          <cell r="B756" t="str">
            <v>GRAB O MATIC TESTER</v>
          </cell>
          <cell r="C756" t="str">
            <v>PMC PCDT WTST 0002</v>
          </cell>
        </row>
        <row r="757">
          <cell r="B757" t="str">
            <v>WORKSHOP M/C</v>
          </cell>
          <cell r="C757" t="str">
            <v>PMC PCDT WTST 0003</v>
          </cell>
        </row>
        <row r="758">
          <cell r="B758" t="str">
            <v>CHAIN PULLEY BLOCK</v>
          </cell>
          <cell r="C758" t="str">
            <v>PMC PCDT WTST 0004</v>
          </cell>
        </row>
        <row r="759">
          <cell r="B759" t="str">
            <v>LABORATORY EQUIPMENTS</v>
          </cell>
          <cell r="C759" t="str">
            <v>PMC PCDT WTST 0005</v>
          </cell>
        </row>
        <row r="760">
          <cell r="B760" t="str">
            <v>WEIGHING SCALES</v>
          </cell>
          <cell r="C760" t="str">
            <v>PMC PCDT WTST 0006</v>
          </cell>
        </row>
        <row r="761">
          <cell r="B761" t="str">
            <v>ELEC.HOIST-WIRE ROPE</v>
          </cell>
          <cell r="C761" t="str">
            <v>PMC PCDT WTST 0007</v>
          </cell>
        </row>
        <row r="762">
          <cell r="B762" t="str">
            <v>DIGITAL VERNIER</v>
          </cell>
          <cell r="C762" t="str">
            <v>PMC PCDT WTST 0008</v>
          </cell>
        </row>
        <row r="763">
          <cell r="B763" t="str">
            <v>TENSILE TESTING M/C</v>
          </cell>
          <cell r="C763" t="str">
            <v>PMC PCDT WTST 0009</v>
          </cell>
        </row>
        <row r="764">
          <cell r="B764" t="str">
            <v>HYDRAULIC TESTER FOR DRUMS</v>
          </cell>
          <cell r="C764" t="str">
            <v>PMC PCDT WTST 0010</v>
          </cell>
        </row>
        <row r="765">
          <cell r="B765" t="str">
            <v>ELECTRONIC WEIGHING SCALE</v>
          </cell>
          <cell r="C765" t="str">
            <v>PMC PCDT WTST 0011</v>
          </cell>
        </row>
        <row r="766">
          <cell r="B766" t="str">
            <v>ESCR TESTING M/C</v>
          </cell>
          <cell r="C766" t="str">
            <v>PMC PCDT WTST 0012</v>
          </cell>
        </row>
        <row r="767">
          <cell r="B767" t="str">
            <v>VIBRATING SIMULATOR</v>
          </cell>
          <cell r="C767" t="str">
            <v>PMC PCDT WTST 0013</v>
          </cell>
        </row>
        <row r="768">
          <cell r="B768" t="str">
            <v>TESNION METER</v>
          </cell>
          <cell r="C768" t="str">
            <v>PMC PCDT WTST 0014</v>
          </cell>
        </row>
        <row r="769">
          <cell r="B769" t="str">
            <v>LAB EQUIPMENT</v>
          </cell>
          <cell r="C769" t="str">
            <v>PMC PCDT WTST 0015</v>
          </cell>
        </row>
        <row r="770">
          <cell r="B770" t="str">
            <v>HEAVY DUTY HEAT SEALING UNIT</v>
          </cell>
          <cell r="C770" t="str">
            <v>PMC PCDT WTST 0016</v>
          </cell>
        </row>
        <row r="771">
          <cell r="B771" t="str">
            <v>DROP TESTER-PDP -02</v>
          </cell>
          <cell r="C771" t="str">
            <v>PMC PCDT WTST 0017</v>
          </cell>
        </row>
        <row r="772">
          <cell r="B772" t="str">
            <v>WEIGHING SCALE (15Kg PLATFORM)</v>
          </cell>
          <cell r="C772" t="str">
            <v>PMC PCDT WTST 0018</v>
          </cell>
        </row>
        <row r="773">
          <cell r="B773" t="str">
            <v>SCREW FOR INJ.MOULDING M/C(PAI</v>
          </cell>
          <cell r="C773" t="str">
            <v>PMC PCDT WTST 0019</v>
          </cell>
        </row>
        <row r="774">
          <cell r="B774" t="str">
            <v>MOULD-COKE</v>
          </cell>
          <cell r="C774" t="str">
            <v>PMC PCDT WTST 0020</v>
          </cell>
        </row>
        <row r="775">
          <cell r="B775" t="str">
            <v>EXHAUST FAN-1</v>
          </cell>
          <cell r="C775" t="str">
            <v>PMC PCDT WTST 0021</v>
          </cell>
        </row>
        <row r="776">
          <cell r="B776" t="str">
            <v>EXHAUST FAN-2</v>
          </cell>
          <cell r="C776" t="str">
            <v>PMC PCDT WTST 0022</v>
          </cell>
        </row>
        <row r="777">
          <cell r="B777" t="str">
            <v>LEAK DETECTOR</v>
          </cell>
          <cell r="C777" t="str">
            <v>PMC PCDT WTST 0023</v>
          </cell>
        </row>
        <row r="778">
          <cell r="B778" t="str">
            <v>COMPRESSOR</v>
          </cell>
          <cell r="C778" t="str">
            <v>PMC PCDT WUT1 0001</v>
          </cell>
        </row>
        <row r="779">
          <cell r="B779" t="str">
            <v>PIPING &amp; PIPE FITTING</v>
          </cell>
          <cell r="C779" t="str">
            <v>PMC PCDT WUT1 0002</v>
          </cell>
        </row>
        <row r="780">
          <cell r="B780" t="str">
            <v>ELECTRICAL CABLE +PANEL</v>
          </cell>
          <cell r="C780" t="str">
            <v>PMC PCDT WUT1 0003</v>
          </cell>
        </row>
        <row r="781">
          <cell r="B781" t="str">
            <v>AIR DRIER,AIR FILTER,OIL RETEN</v>
          </cell>
          <cell r="C781" t="str">
            <v>PMC PCDT WUT1 0004</v>
          </cell>
        </row>
        <row r="782">
          <cell r="B782" t="str">
            <v>WEIGHING SCALE</v>
          </cell>
          <cell r="C782" t="str">
            <v>PMC PCDT WUT1 0005</v>
          </cell>
        </row>
        <row r="783">
          <cell r="B783" t="str">
            <v>E.O.T.CRANE</v>
          </cell>
          <cell r="C783" t="str">
            <v>PMC PCDT WUT2 0001</v>
          </cell>
        </row>
        <row r="784">
          <cell r="B784" t="str">
            <v>COMPRESSOR -20DCFM</v>
          </cell>
          <cell r="C784" t="str">
            <v>PMC PCDT WUT2 0002</v>
          </cell>
        </row>
        <row r="785">
          <cell r="B785" t="str">
            <v>AIR-WATER PIPELINE,AIR DRYER E</v>
          </cell>
          <cell r="C785" t="str">
            <v>PMC PCDT WUT2 0003</v>
          </cell>
        </row>
        <row r="786">
          <cell r="B786" t="str">
            <v>COOLING TOWERS</v>
          </cell>
          <cell r="C786" t="str">
            <v>PMC PCDT WUT2 0004</v>
          </cell>
        </row>
        <row r="787">
          <cell r="B787" t="str">
            <v>CHILLERS</v>
          </cell>
          <cell r="C787" t="str">
            <v>PMC PCDT WUT2 0005</v>
          </cell>
        </row>
        <row r="788">
          <cell r="B788" t="str">
            <v>AUTO TOP FLAME TREATETMENT</v>
          </cell>
          <cell r="C788" t="str">
            <v>PMC PCDT WUT2 0006</v>
          </cell>
        </row>
        <row r="789">
          <cell r="B789" t="str">
            <v>CHILLER-105 TR</v>
          </cell>
          <cell r="C789" t="str">
            <v>PMC PCDT WUT3 0001</v>
          </cell>
        </row>
        <row r="790">
          <cell r="B790" t="str">
            <v>COOLING TOWER-80TR</v>
          </cell>
          <cell r="C790" t="str">
            <v>PMC PCDT WUT3 0002</v>
          </cell>
        </row>
        <row r="791">
          <cell r="B791" t="str">
            <v>COOLING TOWER-175TR</v>
          </cell>
          <cell r="C791" t="str">
            <v>PMC PCDT WUT3 0003</v>
          </cell>
        </row>
        <row r="792">
          <cell r="B792" t="str">
            <v>CRANE INCULDING FOUNDATION</v>
          </cell>
          <cell r="C792" t="str">
            <v>PMC PCDT WUT3 0004</v>
          </cell>
        </row>
        <row r="793">
          <cell r="B793" t="str">
            <v>COMPRESS-AIR PRESSURE CONTROL</v>
          </cell>
          <cell r="C793" t="str">
            <v>PMC PCDT WUT3 0005</v>
          </cell>
        </row>
        <row r="794">
          <cell r="B794" t="str">
            <v>VERTICAL AIR RECEIVER</v>
          </cell>
          <cell r="C794" t="str">
            <v>PMC PCDT WUT3 0006</v>
          </cell>
        </row>
        <row r="795">
          <cell r="B795" t="str">
            <v>WATER COOLED COMPACT CHILLER</v>
          </cell>
          <cell r="C795" t="str">
            <v>PMC PCDT WUT3 0007</v>
          </cell>
        </row>
        <row r="796">
          <cell r="B796" t="str">
            <v>EXHAUST FAN (06/ 11)</v>
          </cell>
          <cell r="C796" t="str">
            <v>PMC PCDT WUTI 006</v>
          </cell>
        </row>
        <row r="797">
          <cell r="B797" t="str">
            <v>MOULD-COKE</v>
          </cell>
          <cell r="C797" t="str">
            <v>PMM</v>
          </cell>
        </row>
        <row r="798">
          <cell r="B798" t="str">
            <v>MOULD -COKE</v>
          </cell>
          <cell r="C798" t="str">
            <v>PMM PCDT MLD 0015</v>
          </cell>
        </row>
        <row r="799">
          <cell r="B799" t="str">
            <v>BLOW MOULD - 100L+120L</v>
          </cell>
          <cell r="C799" t="str">
            <v>PMM PCDT MLD1 0001</v>
          </cell>
        </row>
        <row r="800">
          <cell r="B800" t="str">
            <v>BLOW MOULD - 50L+60L</v>
          </cell>
          <cell r="C800" t="str">
            <v>PMM PCDT MLD1 0002</v>
          </cell>
        </row>
        <row r="801">
          <cell r="B801" t="str">
            <v>BLOW MOULD-OHD 100L+120L</v>
          </cell>
          <cell r="C801" t="str">
            <v>PMM PCDT MLD1 0003</v>
          </cell>
        </row>
        <row r="802">
          <cell r="B802" t="str">
            <v>PEPSI SMALL CANS-2.5,4L,5L,6L</v>
          </cell>
          <cell r="C802" t="str">
            <v>PMM PCDT MLD1 0004</v>
          </cell>
        </row>
        <row r="803">
          <cell r="B803" t="str">
            <v>POST MOULD COOLING UNIT</v>
          </cell>
          <cell r="C803" t="str">
            <v>PMM PCDT MLD1 0005</v>
          </cell>
        </row>
        <row r="804">
          <cell r="B804" t="str">
            <v>COCA-COLA DUST CAP-4 CAVITY MO</v>
          </cell>
          <cell r="C804" t="str">
            <v>PMM PCDT MLD1 0006</v>
          </cell>
        </row>
        <row r="805">
          <cell r="B805" t="str">
            <v>COCA-COLA INNER PLUG CAVITY MO</v>
          </cell>
          <cell r="C805" t="str">
            <v>PMM PCDT MLD1 0007</v>
          </cell>
        </row>
        <row r="806">
          <cell r="B806" t="str">
            <v>COCA-COLA BLOW MOULD18L CAVITY</v>
          </cell>
          <cell r="C806" t="str">
            <v>PMM PCDT MLD1 0008</v>
          </cell>
        </row>
        <row r="807">
          <cell r="B807" t="str">
            <v>COCA-COLA -OUTER CAP MOULD-E C</v>
          </cell>
          <cell r="C807" t="str">
            <v>PMM PCDT MLD1 0009</v>
          </cell>
        </row>
        <row r="808">
          <cell r="B808" t="str">
            <v>COCA-COLA-MIDDLE PART 20L</v>
          </cell>
          <cell r="C808" t="str">
            <v>PMM PCDT MLD1 0010</v>
          </cell>
        </row>
        <row r="809">
          <cell r="B809" t="str">
            <v>PEPSI - PLASTIC CAPSEAL MOULD</v>
          </cell>
          <cell r="C809" t="str">
            <v>PMM PCDT MLD1 0011</v>
          </cell>
        </row>
        <row r="810">
          <cell r="B810" t="str">
            <v>CENTRAL BODY - 33L MOULD</v>
          </cell>
          <cell r="C810" t="str">
            <v>PMM PCDT MLD1 0012</v>
          </cell>
        </row>
        <row r="811">
          <cell r="B811" t="str">
            <v>DIE - AHV 1003</v>
          </cell>
          <cell r="C811" t="str">
            <v>PMM PCDT MLD1 0013</v>
          </cell>
        </row>
        <row r="812">
          <cell r="B812" t="str">
            <v>50L AG-DRUM CAP MOULD - 2 CAVI</v>
          </cell>
          <cell r="C812" t="str">
            <v>PMM PCDT MLD1 0014</v>
          </cell>
        </row>
        <row r="813">
          <cell r="B813" t="str">
            <v>PAIL MOULD-SP1</v>
          </cell>
          <cell r="C813" t="str">
            <v>PMM PCDT PAIL 0001</v>
          </cell>
        </row>
        <row r="814">
          <cell r="B814" t="str">
            <v>PAIL &amp; LID MOULD-10L</v>
          </cell>
          <cell r="C814" t="str">
            <v>PMM PCDT PAIL 0003</v>
          </cell>
        </row>
        <row r="815">
          <cell r="B815" t="str">
            <v>PAIL MOULD -SP 2 DESIGN 20L +1</v>
          </cell>
          <cell r="C815" t="str">
            <v>PMM PCDT PAIL 0018</v>
          </cell>
        </row>
        <row r="816">
          <cell r="B816" t="str">
            <v>BUTTRESS PLUG(W-200)-4 CAP</v>
          </cell>
          <cell r="C816" t="str">
            <v>PMM PCDT WMLD 0001</v>
          </cell>
        </row>
        <row r="817">
          <cell r="B817" t="str">
            <v>TAG RING(W-200) - 4 CAV.</v>
          </cell>
          <cell r="C817" t="str">
            <v>PMM PCDT WMLD 0002</v>
          </cell>
        </row>
        <row r="818">
          <cell r="B818" t="str">
            <v>SINGLE CAVITY-CAP(BM)-1</v>
          </cell>
          <cell r="C818" t="str">
            <v>PMM PCDT WMLD 0003</v>
          </cell>
        </row>
        <row r="819">
          <cell r="B819" t="str">
            <v>DIN PLUG(W-200)-4</v>
          </cell>
          <cell r="C819" t="str">
            <v>PMM PCDT WMLD 0004</v>
          </cell>
        </row>
        <row r="820">
          <cell r="B820" t="str">
            <v>CAP MOULD (V20)-6 CAV.</v>
          </cell>
          <cell r="C820" t="str">
            <v>PMM PCDT WMLD 0005</v>
          </cell>
        </row>
        <row r="821">
          <cell r="B821" t="str">
            <v>HANDLE MOULD +CAP MOULD</v>
          </cell>
          <cell r="C821" t="str">
            <v>PMM PCDT WMLD 0006</v>
          </cell>
        </row>
        <row r="822">
          <cell r="B822" t="str">
            <v>MOULD FOR DUST CAP-20L</v>
          </cell>
          <cell r="C822" t="str">
            <v>PMM PCDT WMLD 0007</v>
          </cell>
        </row>
        <row r="823">
          <cell r="B823" t="str">
            <v>4-CAVITY MOULD FOR PLASTIC GRI</v>
          </cell>
          <cell r="C823" t="str">
            <v>PMM PCDT WMLD 0008</v>
          </cell>
        </row>
        <row r="824">
          <cell r="B824" t="str">
            <v>4-CAVITY MOULD DUST CAP-SMALL4</v>
          </cell>
          <cell r="C824" t="str">
            <v>PMM PCDT WMLD 0009</v>
          </cell>
        </row>
        <row r="825">
          <cell r="B825" t="str">
            <v>HANDLE,PIN &amp; LUG MOULD FOR 50L</v>
          </cell>
          <cell r="C825" t="str">
            <v>PMM PCDT WMLD 0010</v>
          </cell>
        </row>
        <row r="826">
          <cell r="B826" t="str">
            <v>BASE MOULD -V20</v>
          </cell>
          <cell r="C826" t="str">
            <v>PMM PCDT WMLD 0011</v>
          </cell>
        </row>
        <row r="827">
          <cell r="B827" t="str">
            <v>TOP MOULD V20 WIDEMOUTH-3X4""</v>
          </cell>
          <cell r="C827" t="str">
            <v>PMM PCDT WMLD 0012</v>
          </cell>
        </row>
        <row r="828">
          <cell r="B828" t="str">
            <v>WIDE MOUTH CAP MOULD-3X4""</v>
          </cell>
          <cell r="C828" t="str">
            <v>PMM PCDT WMLD 0013</v>
          </cell>
        </row>
        <row r="829">
          <cell r="B829" t="str">
            <v>4 CAVITY HANDLE MOULD</v>
          </cell>
          <cell r="C829" t="str">
            <v>PMM PCDT WMLD 0014</v>
          </cell>
        </row>
        <row r="830">
          <cell r="B830" t="str">
            <v>6 CAVITY 63mm WIDE CAP MOULD</v>
          </cell>
          <cell r="C830" t="str">
            <v>PMM PCDT WMLD 0015</v>
          </cell>
        </row>
        <row r="831">
          <cell r="B831" t="str">
            <v>NEW TOP MOULD -V20</v>
          </cell>
          <cell r="C831" t="str">
            <v>PMM PCDT WMLD 0016</v>
          </cell>
        </row>
        <row r="832">
          <cell r="C832" t="str">
            <v>000002_020</v>
          </cell>
        </row>
        <row r="833">
          <cell r="C833" t="str">
            <v>FASDCT/11-12/00001</v>
          </cell>
        </row>
        <row r="834">
          <cell r="C834" t="str">
            <v>FASDCT/11-12/00002</v>
          </cell>
        </row>
        <row r="835">
          <cell r="B835" t="str">
            <v>DIE FOR 3/4 CUP (AIDA PRESSES"</v>
          </cell>
          <cell r="C835" t="str">
            <v>PM</v>
          </cell>
        </row>
        <row r="836">
          <cell r="B836" t="str">
            <v>MECHANICAL POWER PRESS 65T CAP</v>
          </cell>
          <cell r="C836" t="str">
            <v>PM SDCT 0207-0 07</v>
          </cell>
        </row>
        <row r="837">
          <cell r="B837" t="str">
            <v>MECHANICAL POWER PRESS 65T CAP</v>
          </cell>
          <cell r="C837" t="str">
            <v>PM SDCT 0207-0 08</v>
          </cell>
        </row>
        <row r="838">
          <cell r="B838" t="str">
            <v>INCLINED POWER PRESS 60MT CAP.</v>
          </cell>
          <cell r="C838" t="str">
            <v>PM SDCT 0207-0 09</v>
          </cell>
        </row>
        <row r="839">
          <cell r="B839" t="str">
            <v>PLC PANEL FOR 3/4FL. LINE NEW"</v>
          </cell>
          <cell r="C839" t="str">
            <v>PM SDCT 0207-0 10</v>
          </cell>
        </row>
        <row r="840">
          <cell r="B840" t="str">
            <v>CUP &amp; REDRAW - PRESS.BLISS (P-</v>
          </cell>
          <cell r="C840" t="str">
            <v>PM SDCT 0207-1 01</v>
          </cell>
        </row>
        <row r="841">
          <cell r="B841" t="str">
            <v>PERFORATOR - PRESS.BLISS (P-3)</v>
          </cell>
          <cell r="C841" t="str">
            <v>PM SDCT 0207-1 02</v>
          </cell>
        </row>
        <row r="842">
          <cell r="B842" t="str">
            <v>PRESS- 93 T-FP-13</v>
          </cell>
          <cell r="C842" t="str">
            <v>PM SDCT 0207-1 05</v>
          </cell>
        </row>
        <row r="843">
          <cell r="B843" t="str">
            <v>OPENER-  PRESS FOR 2 FLANGE 1"</v>
          </cell>
          <cell r="C843" t="str">
            <v>PM SDCT 0207-1 06</v>
          </cell>
        </row>
        <row r="844">
          <cell r="B844" t="str">
            <v>CUP &amp; REDRAW - GODREJ PRESSES</v>
          </cell>
          <cell r="C844" t="str">
            <v>PM SDCT 0207-2 01</v>
          </cell>
        </row>
        <row r="845">
          <cell r="B845" t="str">
            <v>OPENER - PRESS - 75 T FO-5</v>
          </cell>
          <cell r="C845" t="str">
            <v>PM SDCT 0207-2 02</v>
          </cell>
        </row>
        <row r="846">
          <cell r="B846" t="str">
            <v>TRIMMING - PRESS (P-4) 50 TONN</v>
          </cell>
          <cell r="C846" t="str">
            <v>PM SDCT 0207-2 03</v>
          </cell>
        </row>
        <row r="847">
          <cell r="B847" t="str">
            <v>PLC TYPE - 3/4 FLANGE LINE"</v>
          </cell>
          <cell r="C847" t="str">
            <v>PM SDCT 0207-2 04</v>
          </cell>
        </row>
        <row r="848">
          <cell r="B848" t="str">
            <v>ELECTRICAL PANNEL FOR 3/4FL C"</v>
          </cell>
          <cell r="C848" t="str">
            <v>PM SDCT 0207-3 01</v>
          </cell>
        </row>
        <row r="849">
          <cell r="B849" t="str">
            <v>MISTCOOL SYSTEM FOR THREAD ROL</v>
          </cell>
          <cell r="C849" t="str">
            <v>PM SDCT 0209-1 01</v>
          </cell>
        </row>
        <row r="850">
          <cell r="B850" t="str">
            <v>THREAD ROLLING MACHINE WITH MI</v>
          </cell>
          <cell r="C850" t="str">
            <v>PM SDCT 0209-1 02</v>
          </cell>
        </row>
        <row r="851">
          <cell r="B851" t="str">
            <v>MIST COOL SYSTEM FOR 3/4 THRE"</v>
          </cell>
          <cell r="C851" t="str">
            <v>PM SDCT 0209-1 03</v>
          </cell>
        </row>
        <row r="852">
          <cell r="B852" t="str">
            <v>OIL COLLECTING TANK(3 NOS) 100</v>
          </cell>
          <cell r="C852" t="str">
            <v>PM SDCT 0209-2 01</v>
          </cell>
        </row>
        <row r="853">
          <cell r="B853" t="str">
            <v>THREADING M/C</v>
          </cell>
          <cell r="C853" t="str">
            <v>PM SDCT 0209-2 02</v>
          </cell>
        </row>
        <row r="854">
          <cell r="B854" t="str">
            <v>SLANT CONVEYOR</v>
          </cell>
          <cell r="C854" t="str">
            <v>PM SDCT 0209-2 03</v>
          </cell>
        </row>
        <row r="855">
          <cell r="B855" t="str">
            <v>TAPPING -THREADING MACHINE (2N</v>
          </cell>
          <cell r="C855" t="str">
            <v>PM SDCT 0209-2 04</v>
          </cell>
        </row>
        <row r="856">
          <cell r="B856" t="str">
            <v>MILLIMG REAMING MACHINE (2ND H</v>
          </cell>
          <cell r="C856" t="str">
            <v>PM SDCT 0209-2 05</v>
          </cell>
        </row>
        <row r="857">
          <cell r="B857" t="str">
            <v>MILLING MACHINE 2FLANGE"</v>
          </cell>
          <cell r="C857" t="str">
            <v>PM SDCT 0209-2 06</v>
          </cell>
        </row>
        <row r="858">
          <cell r="B858" t="str">
            <v>THREADING MACHINE 2FLANGE"</v>
          </cell>
          <cell r="C858" t="str">
            <v>PM SDCT 0209-2 07</v>
          </cell>
        </row>
        <row r="859">
          <cell r="B859" t="str">
            <v>MILLING MACHINE-MOLINE 3/4FLA"</v>
          </cell>
          <cell r="C859" t="str">
            <v>PM SDCT 0209-2 08</v>
          </cell>
        </row>
        <row r="860">
          <cell r="B860" t="str">
            <v>SPINDLE THREADING MACHINE</v>
          </cell>
          <cell r="C860" t="str">
            <v>PM SDCT 0209-2 09</v>
          </cell>
        </row>
        <row r="861">
          <cell r="B861" t="str">
            <v>SCREW THREADING MACHINE (KAUFF</v>
          </cell>
          <cell r="C861" t="str">
            <v>PM SDCT 0209-3 01</v>
          </cell>
        </row>
        <row r="862">
          <cell r="B862" t="str">
            <v>MILLING &amp; TAPPING M/C FOR 3/4"	Tangible	Yes	No	1.00	Yes_x000D_PM SDCT"</v>
          </cell>
          <cell r="C862" t="str">
            <v>PM SDCT 0209-4 01</v>
          </cell>
        </row>
        <row r="863">
          <cell r="B863" t="str">
            <v>VIBRATION BOWL - AMERICAN FLAN</v>
          </cell>
          <cell r="C863" t="str">
            <v>PM SDCT 0216-2 02</v>
          </cell>
        </row>
        <row r="864">
          <cell r="B864" t="str">
            <v>3/4 INSERT DIE"</v>
          </cell>
          <cell r="C864" t="str">
            <v>PM SDCT 0216-2 03</v>
          </cell>
        </row>
        <row r="865">
          <cell r="B865" t="str">
            <v>OVEN (CONVEYORISED) FOR CAPSEA</v>
          </cell>
          <cell r="C865" t="str">
            <v>PM SDCT 0369-0 02</v>
          </cell>
        </row>
        <row r="866">
          <cell r="B866" t="str">
            <v>ONE CONVEYOR FOR CAPSEAL LINE</v>
          </cell>
          <cell r="C866" t="str">
            <v>PM SDCT 0369-0 03</v>
          </cell>
        </row>
        <row r="867">
          <cell r="B867" t="str">
            <v>BLANKING PUNCH 2 TAG RING"</v>
          </cell>
          <cell r="C867" t="str">
            <v>PM SDCT 0369-0 05</v>
          </cell>
        </row>
        <row r="868">
          <cell r="B868" t="str">
            <v>COMPRESSION RING 2TAG RING"</v>
          </cell>
          <cell r="C868" t="str">
            <v>PM SDCT 0369-0 06</v>
          </cell>
        </row>
        <row r="869">
          <cell r="B869" t="str">
            <v>TREADLE SHARING MACHINE</v>
          </cell>
          <cell r="C869" t="str">
            <v>PM SDCT 0369-0 07</v>
          </cell>
        </row>
        <row r="870">
          <cell r="B870" t="str">
            <v>OVEN MACHINE - NOZZEL OVEN</v>
          </cell>
          <cell r="C870" t="str">
            <v>PM SDCT 0369-0 09</v>
          </cell>
        </row>
        <row r="871">
          <cell r="B871" t="str">
            <v>PAINT CAP THREADER (C-46) -3/4</v>
          </cell>
          <cell r="C871" t="str">
            <v>PM SDCT 0369-0 11</v>
          </cell>
        </row>
        <row r="872">
          <cell r="B872" t="str">
            <v>PAINT CAP  THREADER (C-47) 2"	Tangible	Yes	No	1.00	Yes_x000D_PM SDCT"</v>
          </cell>
          <cell r="C872" t="str">
            <v>PM SDCT 0369-0 12</v>
          </cell>
        </row>
        <row r="873">
          <cell r="B873" t="str">
            <v>POWER PRESS</v>
          </cell>
          <cell r="C873" t="str">
            <v>PM SDCT 0401-0 01</v>
          </cell>
        </row>
        <row r="874">
          <cell r="B874" t="str">
            <v>CONVEYOR BELT FOR BLANKING &amp; M</v>
          </cell>
          <cell r="C874" t="str">
            <v>PM SDCT 0401-0 02</v>
          </cell>
        </row>
        <row r="875">
          <cell r="B875" t="str">
            <v>BLANKER DECOILER &amp; COIL FEEDER</v>
          </cell>
          <cell r="C875" t="str">
            <v>PM SDCT 0401-0 03</v>
          </cell>
        </row>
        <row r="876">
          <cell r="B876" t="str">
            <v>DECOILING CRADLE FOR FINE-CC-2</v>
          </cell>
          <cell r="C876" t="str">
            <v>PM SDCT 0401-0 04</v>
          </cell>
        </row>
        <row r="877">
          <cell r="B877" t="str">
            <v>COIL FEEDER AIR OPERATED</v>
          </cell>
          <cell r="C877" t="str">
            <v>PM SDCT 0401-0 05</v>
          </cell>
        </row>
        <row r="878">
          <cell r="B878" t="str">
            <v>PARALLEL PLATES FOR 100 T PRES</v>
          </cell>
          <cell r="C878" t="str">
            <v>PM SDCT 0401-0 06</v>
          </cell>
        </row>
        <row r="879">
          <cell r="B879" t="str">
            <v>MATERIAL STRAIGHTENER (BS2)</v>
          </cell>
          <cell r="C879" t="str">
            <v>PM SDCT 0401-0 07</v>
          </cell>
        </row>
        <row r="880">
          <cell r="B880" t="str">
            <v>BLANK HOPPER/ FEEDER 2"	Tangible	Yes	No	1.00	Yes_x000D_PM SDCT"</v>
          </cell>
          <cell r="C880" t="str">
            <v>PM SDCT 0401-0 08</v>
          </cell>
        </row>
        <row r="881">
          <cell r="B881" t="str">
            <v>PRODUCT COUNTING CONVEYOR</v>
          </cell>
          <cell r="C881" t="str">
            <v>PM SDCT 0401-0 10</v>
          </cell>
        </row>
        <row r="882">
          <cell r="B882" t="str">
            <v>FOUNDATION OF BLANKING PRESS</v>
          </cell>
          <cell r="C882" t="str">
            <v>PM SDCT 0401-0 11</v>
          </cell>
        </row>
        <row r="883">
          <cell r="B883" t="str">
            <v>FLANGE LINE</v>
          </cell>
          <cell r="C883" t="str">
            <v>PM SDCT 0407-1 01</v>
          </cell>
        </row>
        <row r="884">
          <cell r="B884" t="str">
            <v>BLANK LOADER HOPPER  -2</v>
          </cell>
          <cell r="C884" t="str">
            <v>PM SDCT 0407-1 03</v>
          </cell>
        </row>
        <row r="885">
          <cell r="B885" t="str">
            <v>TRIMMING - PRESS BLISS - MAKE</v>
          </cell>
          <cell r="C885" t="str">
            <v>PM SDCT 0407-1 11</v>
          </cell>
        </row>
        <row r="886">
          <cell r="B886" t="str">
            <v>POWER PRESS</v>
          </cell>
          <cell r="C886" t="str">
            <v>PM SDCT 0407-1 14</v>
          </cell>
        </row>
        <row r="887">
          <cell r="B887" t="str">
            <v>OPENER - PRESS 93 T FI 17</v>
          </cell>
          <cell r="C887" t="str">
            <v>PM SDCT 0407-1 19</v>
          </cell>
        </row>
        <row r="888">
          <cell r="B888" t="str">
            <v>EXIT CONVEYOR FOR 75 T PRESS-F</v>
          </cell>
          <cell r="C888" t="str">
            <v>PM SDCT 0407-1 22</v>
          </cell>
        </row>
        <row r="889">
          <cell r="B889" t="str">
            <v>EXIT CONVEYOR FOR 75 T PRESS-F</v>
          </cell>
          <cell r="C889" t="str">
            <v>PM SDCT 0407-1 23</v>
          </cell>
        </row>
        <row r="890">
          <cell r="B890" t="str">
            <v>EXIT CONVEYOR FOR 93 T PRESS-F</v>
          </cell>
          <cell r="C890" t="str">
            <v>PM SDCT 0407-1 24</v>
          </cell>
        </row>
        <row r="891">
          <cell r="B891" t="str">
            <v>EXIT CONVEYOR FOR 93 T PRESS-F</v>
          </cell>
          <cell r="C891" t="str">
            <v>PM SDCT 0407-1 25</v>
          </cell>
        </row>
        <row r="892">
          <cell r="B892" t="str">
            <v>EXIT CONVEYOR FOR 93 T PRESS-F</v>
          </cell>
          <cell r="C892" t="str">
            <v>PM SDCT 0407-1 26</v>
          </cell>
        </row>
        <row r="893">
          <cell r="B893" t="str">
            <v>SLANT CONVEYOR - FLANGE LINE</v>
          </cell>
          <cell r="C893" t="str">
            <v>PM SDCT 0407-1 27</v>
          </cell>
        </row>
        <row r="894">
          <cell r="B894" t="str">
            <v>ANTI VIBRATION MOUNTS FOR PRES</v>
          </cell>
          <cell r="C894" t="str">
            <v>PM SDCT 0407-2 04</v>
          </cell>
        </row>
        <row r="895">
          <cell r="B895" t="str">
            <v>POWER PRESS 30 DEGREE INCLINED</v>
          </cell>
          <cell r="C895" t="str">
            <v>PM SDCT 0407-2 05</v>
          </cell>
        </row>
        <row r="896">
          <cell r="B896" t="str">
            <v>POWER PRESS 30 DEGREE INCLINED</v>
          </cell>
          <cell r="C896" t="str">
            <v>PM SDCT 0407-2 06</v>
          </cell>
        </row>
        <row r="897">
          <cell r="B897" t="str">
            <v>MILLING &amp; THREADING MACHINE</v>
          </cell>
          <cell r="C897" t="str">
            <v>PM SDCT 0409-1 01</v>
          </cell>
        </row>
        <row r="898">
          <cell r="B898" t="str">
            <v>PLC TYPE S7 - SYSTEMS AUTOMATI</v>
          </cell>
          <cell r="C898" t="str">
            <v>PM SDCT 0409-1 02</v>
          </cell>
        </row>
        <row r="899">
          <cell r="B899" t="str">
            <v>HYDRAULIC CYLINBDER - DESCHAGE</v>
          </cell>
          <cell r="C899" t="str">
            <v>PM SDCT 0409-1 03</v>
          </cell>
        </row>
        <row r="900">
          <cell r="B900" t="str">
            <v>THREAD ROLL PROJECT - I</v>
          </cell>
          <cell r="C900" t="str">
            <v>PM SDCT 0409-1 04</v>
          </cell>
        </row>
        <row r="901">
          <cell r="B901" t="str">
            <v>ROUION MACHINERY (AI II HAND)</v>
          </cell>
          <cell r="C901" t="str">
            <v>PM SDCT 0409-2 01</v>
          </cell>
        </row>
        <row r="902">
          <cell r="B902" t="str">
            <v>PLC SYSTEM - SYSTEM AUTOMATION</v>
          </cell>
          <cell r="C902" t="str">
            <v>PM SDCT 0409-2 02</v>
          </cell>
        </row>
        <row r="903">
          <cell r="B903" t="str">
            <v>HYDRAULIC CYLINBDER -CLAMPING</v>
          </cell>
          <cell r="C903" t="str">
            <v>PM SDCT 0409-2 03</v>
          </cell>
        </row>
        <row r="904">
          <cell r="B904" t="str">
            <v>THREAD ROLL PROJECT - II</v>
          </cell>
          <cell r="C904" t="str">
            <v>PM SDCT 0409-2 04</v>
          </cell>
        </row>
        <row r="905">
          <cell r="B905" t="str">
            <v>PERFORATED SLAT CONVEYOR WITH</v>
          </cell>
          <cell r="C905" t="str">
            <v>PM SDCT 0409-2 05</v>
          </cell>
        </row>
        <row r="906">
          <cell r="B906" t="str">
            <v>THREAD ROLL PROJECT - AI5</v>
          </cell>
          <cell r="C906" t="str">
            <v>PM SDCT 0409-3 02</v>
          </cell>
        </row>
        <row r="907">
          <cell r="B907" t="str">
            <v>KAUFMAN MACHINE FOR 2 FLANGE"</v>
          </cell>
          <cell r="C907" t="str">
            <v>PM SDCT 0409-4 01</v>
          </cell>
        </row>
        <row r="908">
          <cell r="B908" t="str">
            <v>BAR CODE SCANNER</v>
          </cell>
          <cell r="C908" t="str">
            <v>PM SDCT 0412-0 01</v>
          </cell>
        </row>
        <row r="909">
          <cell r="B909" t="str">
            <v>CAMARA VISION SYSTEM FOR 2 FL"</v>
          </cell>
          <cell r="C909" t="str">
            <v>PM SDCT 0412-0 02</v>
          </cell>
        </row>
        <row r="910">
          <cell r="B910" t="str">
            <v>USB CABLE FOR PLC CONTROL PANE</v>
          </cell>
          <cell r="C910" t="str">
            <v>PM SDCT 0412-0 03</v>
          </cell>
        </row>
        <row r="911">
          <cell r="B911" t="str">
            <v>BAR CODE PRINTER - INTERMEC MO</v>
          </cell>
          <cell r="C911" t="str">
            <v>PM SDCT 0412-0 04</v>
          </cell>
        </row>
        <row r="912">
          <cell r="B912" t="str">
            <v>SENSOR FOR EJECTOR MONITORING</v>
          </cell>
          <cell r="C912" t="str">
            <v>PM SDCT 0412-0 05</v>
          </cell>
        </row>
        <row r="913">
          <cell r="B913" t="str">
            <v>FLANGE WASHERING MACHINE 2 &amp;"</v>
          </cell>
          <cell r="C913" t="str">
            <v>PM SDCT 0412-0 06</v>
          </cell>
        </row>
        <row r="914">
          <cell r="B914" t="str">
            <v>VISION SYSTEM</v>
          </cell>
          <cell r="C914" t="str">
            <v>PM SDCT 0412-0 07</v>
          </cell>
        </row>
        <row r="915">
          <cell r="B915" t="str">
            <v>VISION SYSTEM - FLANGE LINE</v>
          </cell>
          <cell r="C915" t="str">
            <v>PM SDCT 0412-0 08</v>
          </cell>
        </row>
        <row r="916">
          <cell r="B916" t="str">
            <v>VIBRATORY BOWL</v>
          </cell>
          <cell r="C916" t="str">
            <v>PM SDCT 0412-0 09</v>
          </cell>
        </row>
        <row r="917">
          <cell r="B917" t="str">
            <v>PHOTO SENSOR QUICK DISCONNECT</v>
          </cell>
          <cell r="C917" t="str">
            <v>PM SDCT 0412-0 10</v>
          </cell>
        </row>
        <row r="918">
          <cell r="B918" t="str">
            <v>GASKET CUTTING MACHINE- FABRIC</v>
          </cell>
          <cell r="C918" t="str">
            <v>PM SDCT 0413-0 01</v>
          </cell>
        </row>
        <row r="919">
          <cell r="B919" t="str">
            <v>GASKET CUTTING MACHINE - STAND</v>
          </cell>
          <cell r="C919" t="str">
            <v>PM SDCT 0413-0 02</v>
          </cell>
        </row>
        <row r="920">
          <cell r="B920" t="str">
            <v>GASKET CUTTING M/C</v>
          </cell>
          <cell r="C920" t="str">
            <v>PM SDCT 0413-0 03</v>
          </cell>
        </row>
        <row r="921">
          <cell r="B921" t="str">
            <v>GASKET CUTTING M/C</v>
          </cell>
          <cell r="C921" t="str">
            <v>PM SDCT 0413-0 04</v>
          </cell>
        </row>
        <row r="922">
          <cell r="B922" t="str">
            <v>PLC PANEL FOR 2AIDA PANEL"</v>
          </cell>
          <cell r="C922" t="str">
            <v>PM SDCT 0413-3 01</v>
          </cell>
        </row>
        <row r="923">
          <cell r="B923" t="str">
            <v>75T PUNCH PRESS CR-FRAME ALONG</v>
          </cell>
          <cell r="C923" t="str">
            <v>PM SDCT 0415-0 06</v>
          </cell>
        </row>
        <row r="924">
          <cell r="B924" t="str">
            <v>NARENDRA NX-80T PRESS WITH ROL</v>
          </cell>
          <cell r="C924" t="str">
            <v>PM SDCT 0416-2 01</v>
          </cell>
        </row>
        <row r="925">
          <cell r="B925" t="str">
            <v>DIE FOR 3/4 CUP (A"</v>
          </cell>
          <cell r="C925" t="str">
            <v>PM SDCT 1501 0 02</v>
          </cell>
        </row>
        <row r="926">
          <cell r="B926" t="str">
            <v>SLIT CONVEYOR GOOSE NECK AT BO</v>
          </cell>
          <cell r="C926" t="str">
            <v>PM SDCT 1501-0 01</v>
          </cell>
        </row>
        <row r="927">
          <cell r="B927" t="str">
            <v>DIE FOR 3/4 CUP (AIDA PRESSES"</v>
          </cell>
          <cell r="C927" t="str">
            <v>PM SDCT 1502-0 01</v>
          </cell>
        </row>
        <row r="928">
          <cell r="B928" t="str">
            <v>SLIT CONVEYOR GOOSE NECK AT BO</v>
          </cell>
          <cell r="C928" t="str">
            <v>PM SDCT 1503-0 01</v>
          </cell>
        </row>
        <row r="929">
          <cell r="B929" t="str">
            <v>SLAT CONVEYOR 100mm WIDE (FOR</v>
          </cell>
          <cell r="C929" t="str">
            <v>PM SDCT 1503-0 13</v>
          </cell>
        </row>
        <row r="930">
          <cell r="B930" t="str">
            <v>BELT CONVEYOR 150mm WIDTH WITH</v>
          </cell>
          <cell r="C930" t="str">
            <v>PM SDCT 1503-0 14</v>
          </cell>
        </row>
        <row r="931">
          <cell r="B931" t="str">
            <v>SLAT CONVEYOR 100mm WIDE FOR 3</v>
          </cell>
          <cell r="C931" t="str">
            <v>PM SDCT 1503-0 15</v>
          </cell>
        </row>
        <row r="932">
          <cell r="B932" t="str">
            <v>MICROPROCESSORS BASED ELECTRON</v>
          </cell>
          <cell r="C932" t="str">
            <v>PM SDCT 1503-2 01</v>
          </cell>
        </row>
        <row r="933">
          <cell r="B933" t="str">
            <v>ROTATION INDEXING MECHANISM 3/</v>
          </cell>
          <cell r="C933" t="str">
            <v>PM SDCT 1503-2 02</v>
          </cell>
        </row>
        <row r="934">
          <cell r="B934" t="str">
            <v>MICROPROCESSORS FOR PROJECTION</v>
          </cell>
          <cell r="C934" t="str">
            <v>PM SDCT 1503-2 03</v>
          </cell>
        </row>
        <row r="935">
          <cell r="B935" t="str">
            <v>MACHINE VISION QUALITY SYSTEM</v>
          </cell>
          <cell r="C935" t="str">
            <v>PM SDCT 1512-0 01</v>
          </cell>
        </row>
        <row r="936">
          <cell r="B936" t="str">
            <v>VISION SYSTEMS WITH DOUBLE CAM</v>
          </cell>
          <cell r="C936" t="str">
            <v>PM SDCT 1512-0 02</v>
          </cell>
        </row>
        <row r="937">
          <cell r="B937" t="str">
            <v>VISION SYSTEMS WITH DOUBLE CAM</v>
          </cell>
          <cell r="C937" t="str">
            <v>PM SDCT 1512-0 03</v>
          </cell>
        </row>
        <row r="938">
          <cell r="B938" t="str">
            <v>VIBRO - TECHNIQUES - LINEAR VI</v>
          </cell>
          <cell r="C938" t="str">
            <v>PM SDCT 1512-0 04</v>
          </cell>
        </row>
        <row r="939">
          <cell r="B939" t="str">
            <v>ROLL FEED</v>
          </cell>
          <cell r="C939" t="str">
            <v>PM SDCT 2501-0 01</v>
          </cell>
        </row>
        <row r="940">
          <cell r="B940" t="str">
            <v>MS HOPPER WITH VIBRATORY FEEDE</v>
          </cell>
          <cell r="C940" t="str">
            <v>PM SDCT 2503-0 12</v>
          </cell>
        </row>
        <row r="941">
          <cell r="B941" t="str">
            <v>PROJECTED WELDING M/C - PLUG</v>
          </cell>
          <cell r="C941" t="str">
            <v>PM SDCT 2503-1 01</v>
          </cell>
        </row>
        <row r="942">
          <cell r="B942" t="str">
            <v>BASE PLATE FOR WELDING MACHINE</v>
          </cell>
          <cell r="C942" t="str">
            <v>PM SDCT 2503-1 02</v>
          </cell>
        </row>
        <row r="943">
          <cell r="B943" t="str">
            <v>CABLE ARMOUR MAKE - POLYCAB</v>
          </cell>
          <cell r="C943" t="str">
            <v>PM SDCT 2503-1 03</v>
          </cell>
        </row>
        <row r="944">
          <cell r="B944" t="str">
            <v>CONSTANT CURRENT VOLTAGE</v>
          </cell>
          <cell r="C944" t="str">
            <v>PM SDCT 2503-1 04</v>
          </cell>
        </row>
        <row r="945">
          <cell r="B945" t="str">
            <v>MOUNTING PLATE FOR WELDING MAC</v>
          </cell>
          <cell r="C945" t="str">
            <v>PM SDCT 2503-1 05</v>
          </cell>
        </row>
        <row r="946">
          <cell r="B946" t="str">
            <v>RING/COUPLING/MAGNATIC LIFTER</v>
          </cell>
          <cell r="C946" t="str">
            <v>PM SDCT 2503-1 06</v>
          </cell>
        </row>
        <row r="947">
          <cell r="B947" t="str">
            <v>SUPPORT PLATE/MOUNTING PLATE F</v>
          </cell>
          <cell r="C947" t="str">
            <v>PM SDCT 2503-1 07</v>
          </cell>
        </row>
        <row r="948">
          <cell r="B948" t="str">
            <v>PLG ROLLER , LEAKAGE TESTER &amp;</v>
          </cell>
          <cell r="C948" t="str">
            <v>PM SDCT 2503-1 08</v>
          </cell>
        </row>
        <row r="949">
          <cell r="B949" t="str">
            <v>CONNECTING ROD/LIFTER ASSEMBLY</v>
          </cell>
          <cell r="C949" t="str">
            <v>PM SDCT 2503-1 09</v>
          </cell>
        </row>
        <row r="950">
          <cell r="B950" t="str">
            <v>LIFTER CHUTE / ROLLER CHANNEL</v>
          </cell>
          <cell r="C950" t="str">
            <v>PM SDCT 2503-1 10</v>
          </cell>
        </row>
        <row r="951">
          <cell r="B951" t="str">
            <v>FEED TECH - VIBRATOR BOWL , FE</v>
          </cell>
          <cell r="C951" t="str">
            <v>PM SDCT 2503-1 11</v>
          </cell>
        </row>
        <row r="952">
          <cell r="B952" t="str">
            <v>PROJECTION WELDER MODEL BLOW F</v>
          </cell>
          <cell r="C952" t="str">
            <v>PM SDCT 2503-2 01</v>
          </cell>
        </row>
        <row r="953">
          <cell r="B953" t="str">
            <v>VISION SYSTEMS WITH TOUCH SCRE</v>
          </cell>
          <cell r="C953" t="str">
            <v>PM SDCT 2512-0 02</v>
          </cell>
        </row>
        <row r="954">
          <cell r="B954" t="str">
            <v>DOMINO PRINTECH INDIA P.LTD -</v>
          </cell>
          <cell r="C954" t="str">
            <v>PM SDCT 2512-0 03</v>
          </cell>
        </row>
        <row r="955">
          <cell r="B955" t="str">
            <v>MAGNETIC LIFT 2KAUFMAN TO PRO"</v>
          </cell>
          <cell r="C955" t="str">
            <v>PM SDCT CONV-0 01</v>
          </cell>
        </row>
        <row r="956">
          <cell r="B956" t="str">
            <v>MAGNETIC LIFT-3/4PLUG WLEDING"</v>
          </cell>
          <cell r="C956" t="str">
            <v>PM SDCT CONV-0 02</v>
          </cell>
        </row>
        <row r="957">
          <cell r="B957" t="str">
            <v>MAGNETIC LIFT-2PLUG WELDING T"</v>
          </cell>
          <cell r="C957" t="str">
            <v>PM SDCT CONV-0 03</v>
          </cell>
        </row>
        <row r="958">
          <cell r="B958" t="str">
            <v>MAGNETIC CONVEYOR-BLANKING PRE</v>
          </cell>
          <cell r="C958" t="str">
            <v>PM SDCT CONV-0 04</v>
          </cell>
        </row>
        <row r="959">
          <cell r="B959" t="str">
            <v>MAGNETIC CONVEYOR-BLANKING SCR</v>
          </cell>
          <cell r="C959" t="str">
            <v>PM SDCT CONV-0 05</v>
          </cell>
        </row>
        <row r="960">
          <cell r="B960" t="str">
            <v>MAGNETIC CONVEYOR-PRODUCT CONV</v>
          </cell>
          <cell r="C960" t="str">
            <v>PM SDCT CONV-0 06</v>
          </cell>
        </row>
        <row r="961">
          <cell r="B961" t="str">
            <v>MAGNETIC CONVEYOR-PRODUCT CONV</v>
          </cell>
          <cell r="C961" t="str">
            <v>PM SDCT CONV-0 07</v>
          </cell>
        </row>
        <row r="962">
          <cell r="B962" t="str">
            <v>MAGNETIC CONVEYOR -3/4 AL CON"</v>
          </cell>
          <cell r="C962" t="str">
            <v>PM SDCT CONV-0 08</v>
          </cell>
        </row>
        <row r="963">
          <cell r="B963" t="str">
            <v>MAGNETIC CONVEYOR-AL SCRAP MAI</v>
          </cell>
          <cell r="C963" t="str">
            <v>PM SDCT CONV-0 09</v>
          </cell>
        </row>
        <row r="964">
          <cell r="B964" t="str">
            <v>MAGNETIC CONVEYOR-2AL CONVEYO"</v>
          </cell>
          <cell r="C964" t="str">
            <v>PM SDCT CONV-0 10</v>
          </cell>
        </row>
        <row r="965">
          <cell r="B965" t="str">
            <v>WIRE MESH CONVEYOR-3/4 AI-3(T"</v>
          </cell>
          <cell r="C965" t="str">
            <v>PM SDCT CONV-0 11</v>
          </cell>
        </row>
        <row r="966">
          <cell r="B966" t="str">
            <v>WIRE MESH CONVEYOR-2AL-1 (TRI"</v>
          </cell>
          <cell r="C966" t="str">
            <v>PM SDCT CONV-0 12</v>
          </cell>
        </row>
        <row r="967">
          <cell r="B967" t="str">
            <v>WIRE MESH CONVERYOR-2PLUG WEL"</v>
          </cell>
          <cell r="C967" t="str">
            <v>PM SDCT CONV-0 13</v>
          </cell>
        </row>
        <row r="968">
          <cell r="B968" t="str">
            <v>WIRE MESH CONVEYOR-2PLUG WELD"</v>
          </cell>
          <cell r="C968" t="str">
            <v>PM SDCT CONV-0 14</v>
          </cell>
        </row>
        <row r="969">
          <cell r="B969" t="str">
            <v>WIRE MESH CONVEYOR 3/4 PLUG W"</v>
          </cell>
          <cell r="C969" t="str">
            <v>PM SDCT CONV-0 15</v>
          </cell>
        </row>
        <row r="970">
          <cell r="B970" t="str">
            <v>REVERSIBALE WIRE MESH CONVEYOR</v>
          </cell>
          <cell r="C970" t="str">
            <v>PM SDCT CONV-0 16</v>
          </cell>
        </row>
        <row r="971">
          <cell r="B971" t="str">
            <v>REVERSIBLE WIRE MESH CONVEYOR-</v>
          </cell>
          <cell r="C971" t="str">
            <v>PM SDCT CONV-0 17</v>
          </cell>
        </row>
        <row r="972">
          <cell r="B972" t="str">
            <v>REVERSIBLE WIRE MESH CONVEYOR-</v>
          </cell>
          <cell r="C972" t="str">
            <v>PM SDCT CONV-0 18</v>
          </cell>
        </row>
        <row r="973">
          <cell r="B973" t="str">
            <v>REVERSIABLE WIRE MESH CONVEYOR</v>
          </cell>
          <cell r="C973" t="str">
            <v>PM SDCT CONV-0 19</v>
          </cell>
        </row>
        <row r="974">
          <cell r="B974" t="str">
            <v>REVERSIBLE WIRE MESH CONVEYOR-</v>
          </cell>
          <cell r="C974" t="str">
            <v>PM SDCT CONV-0 20</v>
          </cell>
        </row>
        <row r="975">
          <cell r="B975" t="str">
            <v>MAGENTIC CONVEYOR</v>
          </cell>
          <cell r="C975" t="str">
            <v>PM SDCT CONV-0 21</v>
          </cell>
        </row>
        <row r="976">
          <cell r="B976" t="str">
            <v>MAGENTIC CONVEYOR</v>
          </cell>
          <cell r="C976" t="str">
            <v>PM SDCT CONV-0 22</v>
          </cell>
        </row>
        <row r="977">
          <cell r="B977" t="str">
            <v>SLAT CONVEYOR 100mm WIDE</v>
          </cell>
          <cell r="C977" t="str">
            <v>PM SDCT CONV-0 23</v>
          </cell>
        </row>
        <row r="978">
          <cell r="B978" t="str">
            <v>ROLLER CONVEYOR (16-48085)</v>
          </cell>
          <cell r="C978" t="str">
            <v>PM SDCT CONV-0 24</v>
          </cell>
        </row>
        <row r="979">
          <cell r="B979" t="str">
            <v>WIRE MESH CONVEYOR-2AL-1 (TRI"</v>
          </cell>
          <cell r="C979" t="str">
            <v>PM SDCT CONV-0 25</v>
          </cell>
        </row>
        <row r="980">
          <cell r="B980" t="str">
            <v>TRANSFORMER</v>
          </cell>
          <cell r="C980" t="str">
            <v>PM SDCT ELEC-0 02</v>
          </cell>
        </row>
        <row r="981">
          <cell r="B981" t="str">
            <v>GENERATOR</v>
          </cell>
          <cell r="C981" t="str">
            <v>PM SDCT ELEC-0 03</v>
          </cell>
        </row>
        <row r="982">
          <cell r="B982" t="str">
            <v>CABLE TRAY</v>
          </cell>
          <cell r="C982" t="str">
            <v>PM SDCT ELEC-0 04</v>
          </cell>
        </row>
        <row r="983">
          <cell r="B983" t="str">
            <v>OFFICE LIGHTING</v>
          </cell>
          <cell r="C983" t="str">
            <v>PM SDCT ELEC-0 05</v>
          </cell>
        </row>
        <row r="984">
          <cell r="B984" t="str">
            <v>TRANSFORMER (ELECTRICAL)</v>
          </cell>
          <cell r="C984" t="str">
            <v>PM SDCT ELEC-0 06</v>
          </cell>
        </row>
        <row r="985">
          <cell r="B985" t="str">
            <v>HT BRAKER 22 KV, 25 KV/1SEC 63</v>
          </cell>
          <cell r="C985" t="str">
            <v>PM SDCT ELEC-0 07</v>
          </cell>
        </row>
        <row r="986">
          <cell r="B986" t="str">
            <v>CABLES</v>
          </cell>
          <cell r="C986" t="str">
            <v>PM SDCT ELEC-0 08</v>
          </cell>
        </row>
        <row r="987">
          <cell r="B987" t="str">
            <v>NETWORKING (COMPUTERS)</v>
          </cell>
          <cell r="C987" t="str">
            <v>PM SDCT ELEC-0 09</v>
          </cell>
        </row>
        <row r="988">
          <cell r="B988" t="str">
            <v>ELECTRICAL SPARES/ WIRING</v>
          </cell>
          <cell r="C988" t="str">
            <v>PM SDCT ELEC-0 10</v>
          </cell>
        </row>
        <row r="989">
          <cell r="B989" t="str">
            <v>ELECTRICAL ITEMS</v>
          </cell>
          <cell r="C989" t="str">
            <v>PM SDCT ELEC-0 11</v>
          </cell>
        </row>
        <row r="990">
          <cell r="B990" t="str">
            <v>CABLE TRAY &amp; FACTORY LIGHTING</v>
          </cell>
          <cell r="C990" t="str">
            <v>PM SDCT ELEC-0 12</v>
          </cell>
        </row>
        <row r="991">
          <cell r="B991" t="str">
            <v>REACTOR, D-TUNED, WITH 400 KVA</v>
          </cell>
          <cell r="C991" t="str">
            <v>PM SDCT ELEC-0 13</v>
          </cell>
        </row>
        <row r="992">
          <cell r="B992" t="str">
            <v>TRANSFORMER</v>
          </cell>
          <cell r="C992" t="str">
            <v>PM SDCT ELEC-0 14</v>
          </cell>
        </row>
        <row r="993">
          <cell r="B993" t="str">
            <v>TRANSFER OF MANDATORY SPARES</v>
          </cell>
          <cell r="C993" t="str">
            <v>PM SDCT ELEC-0 15</v>
          </cell>
        </row>
        <row r="994">
          <cell r="B994" t="str">
            <v>FES- MR. AJIT SHAH</v>
          </cell>
          <cell r="C994" t="str">
            <v>PM SDCT FESS-0 01</v>
          </cell>
        </row>
        <row r="995">
          <cell r="B995" t="str">
            <v>FES- MR. S.K. ROY</v>
          </cell>
          <cell r="C995" t="str">
            <v>PM SDCT FESS-0 02</v>
          </cell>
        </row>
        <row r="996">
          <cell r="B996" t="str">
            <v>HYDRAULIC LIFTING PLATFORM TRO</v>
          </cell>
          <cell r="C996" t="str">
            <v>PM SDCT FKLT-0 01</v>
          </cell>
        </row>
        <row r="997">
          <cell r="B997" t="str">
            <v>ROLLER FOR HYDRAULIC LIFTING P</v>
          </cell>
          <cell r="C997" t="str">
            <v>PM SDCT FKLT-0 02</v>
          </cell>
        </row>
        <row r="998">
          <cell r="B998" t="str">
            <v>FORKLIFT OF 3 MT CAPACITY</v>
          </cell>
          <cell r="C998" t="str">
            <v>PM SDCT FKLT-0 03</v>
          </cell>
        </row>
        <row r="999">
          <cell r="B999" t="str">
            <v>ELECTRIC STACKER WITH BATTERY</v>
          </cell>
          <cell r="C999" t="str">
            <v>PM SDCT FKLT-0 04</v>
          </cell>
        </row>
        <row r="1000">
          <cell r="B1000" t="str">
            <v>DIE SET FOR MFG. 2' FLANGE"</v>
          </cell>
          <cell r="C1000" t="str">
            <v>PM SDCT FL2-DI 01</v>
          </cell>
        </row>
        <row r="1001">
          <cell r="B1001" t="str">
            <v>DIE SET 2 FL 4TH OPERATION"</v>
          </cell>
          <cell r="C1001" t="str">
            <v>PM SDCT FL2-DI 02</v>
          </cell>
        </row>
        <row r="1002">
          <cell r="B1002" t="str">
            <v>DIE SET (PILLER) FOR 2 FLANGE"</v>
          </cell>
          <cell r="C1002" t="str">
            <v>PM SDCT FL2-DI 03</v>
          </cell>
        </row>
        <row r="1003">
          <cell r="B1003" t="str">
            <v>TUNGSTEN CARBIDE SLIP GAUGE</v>
          </cell>
          <cell r="C1003" t="str">
            <v>PM SDCT INST-Q 01</v>
          </cell>
        </row>
        <row r="1004">
          <cell r="B1004" t="str">
            <v>DIAL CALIPER, SCREW THREAD</v>
          </cell>
          <cell r="C1004" t="str">
            <v>PM SDCT INST-Q 02</v>
          </cell>
        </row>
        <row r="1005">
          <cell r="B1005" t="str">
            <v>UNIQUE BRUSTING STRENGTH TESTE</v>
          </cell>
          <cell r="C1005" t="str">
            <v>PM SDCT INST-Q 03</v>
          </cell>
        </row>
        <row r="1006">
          <cell r="B1006" t="str">
            <v>ERICHSON CUPPING TESTER FREIGH</v>
          </cell>
          <cell r="C1006" t="str">
            <v>PM SDCT INST-Q 04</v>
          </cell>
        </row>
        <row r="1007">
          <cell r="B1007" t="str">
            <v>DIAL CALLIPER RR NO. 1404 &amp; 14</v>
          </cell>
          <cell r="C1007" t="str">
            <v>PM SDCT INST-Q 05</v>
          </cell>
        </row>
        <row r="1008">
          <cell r="B1008" t="str">
            <v>SCREW THREAD RR NO. 1404&amp; 1405</v>
          </cell>
          <cell r="C1008" t="str">
            <v>PM SDCT INST-Q 06</v>
          </cell>
        </row>
        <row r="1009">
          <cell r="B1009" t="str">
            <v>TIPS FOR BSP THREADS 55 RR NO.</v>
          </cell>
          <cell r="C1009" t="str">
            <v>PM SDCT INST-Q 07</v>
          </cell>
        </row>
        <row r="1010">
          <cell r="B1010" t="str">
            <v>DIAL GAUGE RANGE 10 MM RR NO.</v>
          </cell>
          <cell r="C1010" t="str">
            <v>PM SDCT INST-Q 08</v>
          </cell>
        </row>
        <row r="1011">
          <cell r="B1011" t="str">
            <v>DIAL GAUGE RANGE 100MM</v>
          </cell>
          <cell r="C1011" t="str">
            <v>PM SDCT INST-Q 09</v>
          </cell>
        </row>
        <row r="1012">
          <cell r="B1012" t="str">
            <v>SINE BAR GAUGE 100 MM</v>
          </cell>
          <cell r="C1012" t="str">
            <v>PM SDCT INST-Q 10</v>
          </cell>
        </row>
        <row r="1013">
          <cell r="B1013" t="str">
            <v>QC EQUIPMENT</v>
          </cell>
          <cell r="C1013" t="str">
            <v>PM SDCT INST-Q 11</v>
          </cell>
        </row>
        <row r="1014">
          <cell r="B1014" t="str">
            <v>INJECTION MOULDING MACHINE  MO</v>
          </cell>
          <cell r="C1014" t="str">
            <v>PM SDCT MOLD-0 01</v>
          </cell>
        </row>
        <row r="1015">
          <cell r="B1015" t="str">
            <v>2 CAVITY SPPIT TYPE MOULD FOR"</v>
          </cell>
          <cell r="C1015" t="str">
            <v>PM SDCT MOLD-0 02</v>
          </cell>
        </row>
        <row r="1016">
          <cell r="B1016" t="str">
            <v>FIBERGLASS REINFORCED PLOEYEST</v>
          </cell>
          <cell r="C1016" t="str">
            <v>PM SDCT OTHR-0 01</v>
          </cell>
        </row>
        <row r="1017">
          <cell r="B1017" t="str">
            <v>OIL COOLER WITH BRASS HOUSING</v>
          </cell>
          <cell r="C1017" t="str">
            <v>PM SDCT OTHR-0 03</v>
          </cell>
        </row>
        <row r="1018">
          <cell r="B1018" t="str">
            <v>FINNED TUBE HEAT EXCHANGER</v>
          </cell>
          <cell r="C1018" t="str">
            <v>PM SDCT OTHR-0 04</v>
          </cell>
        </row>
        <row r="1019">
          <cell r="B1019" t="str">
            <v>FINNED TUBE HEAT EXCHANGER</v>
          </cell>
          <cell r="C1019" t="str">
            <v>PM SDCT OTHR-0 05</v>
          </cell>
        </row>
        <row r="1020">
          <cell r="B1020" t="str">
            <v>LIMIT SWITCH-30 NOS KANCHAN EN</v>
          </cell>
          <cell r="C1020" t="str">
            <v>PM SDCT OTHR-0 06</v>
          </cell>
        </row>
        <row r="1021">
          <cell r="B1021" t="str">
            <v>GEAR BOX BRACKET- POS-34</v>
          </cell>
          <cell r="C1021" t="str">
            <v>PM SDCT OTHR-0 07</v>
          </cell>
        </row>
        <row r="1022">
          <cell r="B1022" t="str">
            <v>GEAR BOX BRACKET- POS-66</v>
          </cell>
          <cell r="C1022" t="str">
            <v>PM SDCT OTHR-0 08</v>
          </cell>
        </row>
        <row r="1023">
          <cell r="B1023" t="str">
            <v>LIFTER ROD - LH POS-32 &amp; RH-56</v>
          </cell>
          <cell r="C1023" t="str">
            <v>PM SDCT OTHR-0 09</v>
          </cell>
        </row>
        <row r="1024">
          <cell r="B1024" t="str">
            <v>RELAY CARD 24VDC CHANNEL</v>
          </cell>
          <cell r="C1024" t="str">
            <v>PM SDCT OTHR-0 10</v>
          </cell>
        </row>
        <row r="1025">
          <cell r="B1025" t="str">
            <v>VIBRATORY BOWL &amp; FEEDER</v>
          </cell>
          <cell r="C1025" t="str">
            <v>PM SDCT OTHR-0 11</v>
          </cell>
        </row>
        <row r="1026">
          <cell r="B1026" t="str">
            <v>LOSS ON FCL / F/COVER (129TO13</v>
          </cell>
          <cell r="C1026" t="str">
            <v>PM SDCT OTHR-0 12</v>
          </cell>
        </row>
        <row r="1027">
          <cell r="B1027" t="str">
            <v>EXHAUST FANS 3 NOS.</v>
          </cell>
          <cell r="C1027" t="str">
            <v>PM SDCT OTHR-0 22</v>
          </cell>
        </row>
        <row r="1028">
          <cell r="B1028" t="str">
            <v>PRESS MONITOR WITH DUPLEX WIND</v>
          </cell>
          <cell r="C1028" t="str">
            <v>PM SDCT OTHR-0 23</v>
          </cell>
        </row>
        <row r="1029">
          <cell r="B1029" t="str">
            <v>ARTICLE CODE AX 017 QAE RR1439</v>
          </cell>
          <cell r="C1029" t="str">
            <v>PM SDCT OTHR-0 24</v>
          </cell>
        </row>
        <row r="1030">
          <cell r="B1030" t="str">
            <v>PLASTIC BINS 302 NOS. W.O 15 R</v>
          </cell>
          <cell r="C1030" t="str">
            <v>PM SDCT OTHR-0 25</v>
          </cell>
        </row>
        <row r="1031">
          <cell r="B1031" t="str">
            <v>ALTA PEDESTAL FANS, PVC HOSE P</v>
          </cell>
          <cell r="C1031" t="str">
            <v>PM SDCT OTHR-0 26</v>
          </cell>
        </row>
        <row r="1032">
          <cell r="B1032" t="str">
            <v>SUPREME FLORIDA BEIGE 2O NO  R</v>
          </cell>
          <cell r="C1032" t="str">
            <v>PM SDCT OTHR-0 27</v>
          </cell>
        </row>
        <row r="1033">
          <cell r="B1033" t="str">
            <v>TEE' TREADLE OPERATED SHEARING</v>
          </cell>
          <cell r="C1033" t="str">
            <v>PM SDCT OTHR-0 28</v>
          </cell>
        </row>
        <row r="1034">
          <cell r="B1034" t="str">
            <v>GI PIPE LINE ON MS FABRICATED</v>
          </cell>
          <cell r="C1034" t="str">
            <v>PM SDCT OTHR-0 29</v>
          </cell>
        </row>
        <row r="1035">
          <cell r="B1035" t="str">
            <v>BOREWELL- GROUND WATER</v>
          </cell>
          <cell r="C1035" t="str">
            <v>PM SDCT OTHR-0 30</v>
          </cell>
        </row>
        <row r="1036">
          <cell r="B1036" t="str">
            <v>LAYING OF WATER LINE - SHIKHA</v>
          </cell>
          <cell r="C1036" t="str">
            <v>PM SDCT OTHR-0 31</v>
          </cell>
        </row>
        <row r="1037">
          <cell r="B1037" t="str">
            <v>LAYING OF WATER LINE - SHIKHA</v>
          </cell>
          <cell r="C1037" t="str">
            <v>PM SDCT OTHR-0 32</v>
          </cell>
        </row>
        <row r="1038">
          <cell r="B1038" t="str">
            <v>CHIMNEY WITH PAINTING  CHG</v>
          </cell>
          <cell r="C1038" t="str">
            <v>PM SDCT OTHR-0 33</v>
          </cell>
        </row>
        <row r="1039">
          <cell r="B1039" t="str">
            <v>CONCRETE FLOORING FOR HEVY M/C</v>
          </cell>
          <cell r="C1039" t="str">
            <v>PM SDCT PLNT-0013</v>
          </cell>
        </row>
        <row r="1040">
          <cell r="B1040" t="str">
            <v>CAPACITOR  4KVR ,7KVR,10KVR,5K</v>
          </cell>
          <cell r="C1040" t="str">
            <v>PM SDCT PLTG-0 02</v>
          </cell>
        </row>
        <row r="1041">
          <cell r="B1041" t="str">
            <v>PLC TYPE S7-300,CPU</v>
          </cell>
          <cell r="C1041" t="str">
            <v>PM SDCT PLTG-0 03</v>
          </cell>
        </row>
        <row r="1042">
          <cell r="B1042" t="str">
            <v>BOWL VIBRATOTY DIA-600</v>
          </cell>
          <cell r="C1042" t="str">
            <v>PM SDCT PLTG-0 04</v>
          </cell>
        </row>
        <row r="1043">
          <cell r="B1043" t="str">
            <v>ELECTROPLATING TIMER UNIT T-30</v>
          </cell>
          <cell r="C1043" t="str">
            <v>PM SDCT PLTG-0 05</v>
          </cell>
        </row>
        <row r="1044">
          <cell r="B1044" t="str">
            <v>TITANIUM ANODE BASKET</v>
          </cell>
          <cell r="C1044" t="str">
            <v>PM SDCT PLTG-0 06</v>
          </cell>
        </row>
        <row r="1045">
          <cell r="B1045" t="str">
            <v>TITANIUM BASKET 20 NOS.  RR- 9</v>
          </cell>
          <cell r="C1045" t="str">
            <v>PM SDCT PLTG-0 07</v>
          </cell>
        </row>
        <row r="1046">
          <cell r="B1046" t="str">
            <v>CEW-HEXAGONAL BARRELS- 1</v>
          </cell>
          <cell r="C1046" t="str">
            <v>PM SDCT PLTG-0 09</v>
          </cell>
        </row>
        <row r="1047">
          <cell r="B1047" t="str">
            <v>WEW- HEXAGONAL BARRELS-1</v>
          </cell>
          <cell r="C1047" t="str">
            <v>PM SDCT PLTG-0 10</v>
          </cell>
        </row>
        <row r="1048">
          <cell r="B1048" t="str">
            <v>WEW- HEXAGONAL BARRELS-1</v>
          </cell>
          <cell r="C1048" t="str">
            <v>PM SDCT PLTG-0 11</v>
          </cell>
        </row>
        <row r="1049">
          <cell r="B1049" t="str">
            <v>WEW- HEXAGONAL BARRELS-1</v>
          </cell>
          <cell r="C1049" t="str">
            <v>PM SDCT PLTG-0 12</v>
          </cell>
        </row>
        <row r="1050">
          <cell r="B1050" t="str">
            <v>WEW- HEXAGONAL BARRELS-1</v>
          </cell>
          <cell r="C1050" t="str">
            <v>PM SDCT PLTG-0 13</v>
          </cell>
        </row>
        <row r="1051">
          <cell r="B1051" t="str">
            <v>WEW- HEXAGONAL BARRELS-1</v>
          </cell>
          <cell r="C1051" t="str">
            <v>PM SDCT PLTG-0 14</v>
          </cell>
        </row>
        <row r="1052">
          <cell r="B1052" t="str">
            <v>WEW- HEXAGONAL BARRELS-1</v>
          </cell>
          <cell r="C1052" t="str">
            <v>PM SDCT PLTG-0 15</v>
          </cell>
        </row>
        <row r="1053">
          <cell r="B1053" t="str">
            <v>WEW- HEXAGONAL BARRELS-1</v>
          </cell>
          <cell r="C1053" t="str">
            <v>PM SDCT PLTG-0 16</v>
          </cell>
        </row>
        <row r="1054">
          <cell r="B1054" t="str">
            <v>WEW- HEXAGONAL BARRELS-1</v>
          </cell>
          <cell r="C1054" t="str">
            <v>PM SDCT PLTG-0 17</v>
          </cell>
        </row>
        <row r="1055">
          <cell r="B1055" t="str">
            <v>WEW- HEXAGONAL BARRELS-1</v>
          </cell>
          <cell r="C1055" t="str">
            <v>PM SDCT PLTG-0 18</v>
          </cell>
        </row>
        <row r="1056">
          <cell r="B1056" t="str">
            <v>WEW- HEXAGONAL BARRELS-1</v>
          </cell>
          <cell r="C1056" t="str">
            <v>PM SDCT PLTG-0 19</v>
          </cell>
        </row>
        <row r="1057">
          <cell r="B1057" t="str">
            <v>WEW- HEXAGONAL BARRELS-1</v>
          </cell>
          <cell r="C1057" t="str">
            <v>PM SDCT PLTG-0 20</v>
          </cell>
        </row>
        <row r="1058">
          <cell r="B1058" t="str">
            <v>HEXAGONAL DRAYER- 1</v>
          </cell>
          <cell r="C1058" t="str">
            <v>PM SDCT PLTG-0 22</v>
          </cell>
        </row>
        <row r="1059">
          <cell r="B1059" t="str">
            <v>HEXAGONAL DRAYER- 1</v>
          </cell>
          <cell r="C1059" t="str">
            <v>PM SDCT PLTG-0 23</v>
          </cell>
        </row>
        <row r="1060">
          <cell r="B1060" t="str">
            <v>HEXAGONAL DRAYER- 1</v>
          </cell>
          <cell r="C1060" t="str">
            <v>PM SDCT PLTG-0 24</v>
          </cell>
        </row>
        <row r="1061">
          <cell r="B1061" t="str">
            <v>HEXAGONAL DRAYER- 1</v>
          </cell>
          <cell r="C1061" t="str">
            <v>PM SDCT PLTG-0 25</v>
          </cell>
        </row>
        <row r="1062">
          <cell r="B1062" t="str">
            <v>ANODE BASKETS 20 NOS.</v>
          </cell>
          <cell r="C1062" t="str">
            <v>PM SDCT PLTG-0 26</v>
          </cell>
        </row>
        <row r="1063">
          <cell r="B1063" t="str">
            <v>15KG CENTRIFUGAL DRYER 1 NO.OM</v>
          </cell>
          <cell r="C1063" t="str">
            <v>PM SDCT PLTG-0 27</v>
          </cell>
        </row>
        <row r="1064">
          <cell r="B1064" t="str">
            <v>15KG CENTRIFUGAL DRYER 1 NO.OM</v>
          </cell>
          <cell r="C1064" t="str">
            <v>PM SDCT PLTG-0 28</v>
          </cell>
        </row>
        <row r="1065">
          <cell r="B1065" t="str">
            <v>15KG CENTRIFUGAL DRYER 1 NO.OM</v>
          </cell>
          <cell r="C1065" t="str">
            <v>PM SDCT PLTG-0 29</v>
          </cell>
        </row>
        <row r="1066">
          <cell r="B1066" t="str">
            <v>PLATED PARTS DRYER SYSTEMS(PLD</v>
          </cell>
          <cell r="C1066" t="str">
            <v>PM SDCT PLTG-0 30</v>
          </cell>
        </row>
        <row r="1067">
          <cell r="B1067" t="str">
            <v>PLATING PLANT (NEW)</v>
          </cell>
          <cell r="C1067" t="str">
            <v>PM SDCT PLTG-0 31</v>
          </cell>
        </row>
        <row r="1068">
          <cell r="B1068" t="str">
            <v>CIVIL WORK OF ETP PLANT</v>
          </cell>
          <cell r="C1068" t="str">
            <v>PM SDCT PLTG-0 33</v>
          </cell>
        </row>
        <row r="1069">
          <cell r="B1069" t="str">
            <v>CIVIL WORK OF ETP PLANT</v>
          </cell>
          <cell r="C1069" t="str">
            <v>PM SDCT PLTG-0 34</v>
          </cell>
        </row>
        <row r="1070">
          <cell r="B1070" t="str">
            <v>PLATING BARREL</v>
          </cell>
          <cell r="C1070" t="str">
            <v>PM SDCT PLTG-0 37</v>
          </cell>
        </row>
        <row r="1071">
          <cell r="B1071" t="str">
            <v>RECTIFIERS</v>
          </cell>
          <cell r="C1071" t="str">
            <v>PM SDCT PLTG-0 38</v>
          </cell>
        </row>
        <row r="1072">
          <cell r="B1072" t="str">
            <v>FABRICATION OF P.P.H.BARREL FI</v>
          </cell>
          <cell r="C1072" t="str">
            <v>PM SDCT PLTG-0 39</v>
          </cell>
        </row>
        <row r="1073">
          <cell r="B1073" t="str">
            <v>PLUG LINE</v>
          </cell>
          <cell r="C1073" t="str">
            <v>PM SDCT PLUG-0 01</v>
          </cell>
        </row>
        <row r="1074">
          <cell r="B1074" t="str">
            <v>AIR RECEIVER 2M3 VERTICAL FOR</v>
          </cell>
          <cell r="C1074" t="str">
            <v>PM SDCT UTIL-0 01</v>
          </cell>
        </row>
        <row r="1075">
          <cell r="B1075" t="str">
            <v>COMPRESSOR AIR MODEL - 1 NO-AT</v>
          </cell>
          <cell r="C1075" t="str">
            <v>PM SDCT UTIL-0 02</v>
          </cell>
        </row>
        <row r="1076">
          <cell r="B1076" t="str">
            <v>FLOOR SQUEEGEE 24 "	Tangible	Yes	No	1.00	Yes_x000D_PM SDCT"</v>
          </cell>
          <cell r="C1076" t="str">
            <v>PM SDCT UTIL-0 03</v>
          </cell>
        </row>
        <row r="1077">
          <cell r="B1077" t="str">
            <v>ALUMINIUM LIGHT DUTY LADDER</v>
          </cell>
          <cell r="C1077" t="str">
            <v>PM SDCT UTIL-0 07</v>
          </cell>
        </row>
        <row r="1078">
          <cell r="B1078" t="str">
            <v>EOT CRANE   MT CAPACITY</v>
          </cell>
          <cell r="C1078" t="str">
            <v>PM SDCT UTIL-0 08</v>
          </cell>
        </row>
        <row r="1079">
          <cell r="B1079" t="str">
            <v>HYDRAULIC HAND PALLET TRUCK MO</v>
          </cell>
          <cell r="C1079" t="str">
            <v>PM SDCT UTIL-0 09</v>
          </cell>
        </row>
        <row r="1080">
          <cell r="B1080" t="str">
            <v>HAND PALLET TRUCK MODEL GPT-25</v>
          </cell>
          <cell r="C1080" t="str">
            <v>PM SDCT UTIL-0 10</v>
          </cell>
        </row>
        <row r="1081">
          <cell r="B1081" t="str">
            <v>COOLING TOWER</v>
          </cell>
          <cell r="C1081" t="str">
            <v>PM SDCT UTIL-0 11</v>
          </cell>
        </row>
        <row r="1082">
          <cell r="B1082" t="str">
            <v>COMPRESSOR WITH AIR RECEIVER O</v>
          </cell>
          <cell r="C1082" t="str">
            <v>PM SDCT UTIL-0 12</v>
          </cell>
        </row>
        <row r="1083">
          <cell r="B1083" t="str">
            <v>COMPRESSOR STATIONARY, OIL INJ</v>
          </cell>
          <cell r="C1083" t="str">
            <v>PM SDCT UTIL-0 13</v>
          </cell>
        </row>
        <row r="1084">
          <cell r="B1084" t="str">
            <v>CHILLER</v>
          </cell>
          <cell r="C1084" t="str">
            <v>PM SDCT UTIL-0 14</v>
          </cell>
        </row>
        <row r="1085">
          <cell r="B1085" t="str">
            <v>CHILLER (DIKEN)</v>
          </cell>
          <cell r="C1085" t="str">
            <v>PM SDCT UTIL-0 15</v>
          </cell>
        </row>
        <row r="1086">
          <cell r="B1086" t="str">
            <v>AIR LINES</v>
          </cell>
          <cell r="C1086" t="str">
            <v>PM SDCT UTIL-0 16</v>
          </cell>
        </row>
        <row r="1087">
          <cell r="B1087" t="str">
            <v>HAND DRILL MACHINE</v>
          </cell>
          <cell r="C1087" t="str">
            <v>PM SDCT UTIL-0 17</v>
          </cell>
        </row>
        <row r="1088">
          <cell r="B1088" t="str">
            <v>PM SDCT UTIL-0 18</v>
          </cell>
          <cell r="C1088" t="str">
            <v>PM SDCT UTIL-0 18</v>
          </cell>
        </row>
        <row r="1089">
          <cell r="B1089" t="str">
            <v>EPSON-LX 300 PRINTER FOR WEIGH</v>
          </cell>
          <cell r="C1089" t="str">
            <v>PM SDCT WARE-0 01</v>
          </cell>
        </row>
        <row r="1090">
          <cell r="B1090" t="str">
            <v>WEIGHING BRIDGE (INCL FOUNDATI</v>
          </cell>
          <cell r="C1090" t="str">
            <v>PM SDCT WARE-0 02</v>
          </cell>
        </row>
        <row r="1091">
          <cell r="B1091" t="str">
            <v>GODREJ- FORKLIFT</v>
          </cell>
          <cell r="C1091" t="str">
            <v>PM SDCT WARE-0 03</v>
          </cell>
        </row>
        <row r="1092">
          <cell r="B1092" t="str">
            <v>STRAPPING MACHINE- RR INTERNAT</v>
          </cell>
          <cell r="C1092" t="str">
            <v>PM SDCT WARE-0 04</v>
          </cell>
        </row>
        <row r="1093">
          <cell r="B1093" t="str">
            <v>HYDRAULIC PALLET 2 NOS.</v>
          </cell>
          <cell r="C1093" t="str">
            <v>PM SDCT WARE-0 06</v>
          </cell>
        </row>
        <row r="1094">
          <cell r="B1094" t="str">
            <v>ELECTRONIC WEIGHING SCALE</v>
          </cell>
          <cell r="C1094" t="str">
            <v>PM SDCT WARE-0 07</v>
          </cell>
        </row>
        <row r="1095">
          <cell r="B1095" t="str">
            <v>STRAPPING MACHINE (SEMI AUTOMA</v>
          </cell>
          <cell r="C1095" t="str">
            <v>PM SDCT WARE-0 08</v>
          </cell>
        </row>
        <row r="1096">
          <cell r="B1096" t="str">
            <v>STRETCH WRAPPING MACHINE RR NO</v>
          </cell>
          <cell r="C1096" t="str">
            <v>PM SDCT WARE-0 09</v>
          </cell>
        </row>
        <row r="1097">
          <cell r="B1097" t="str">
            <v>STRETCH WRAPPINH M/C</v>
          </cell>
          <cell r="C1097" t="str">
            <v>PM SDCT WARE-0 10</v>
          </cell>
        </row>
        <row r="1098">
          <cell r="B1098" t="str">
            <v>DOC LEVELER WITH 9 MT CAPACITY</v>
          </cell>
          <cell r="C1098" t="str">
            <v>PM SDCT WARE-0 11</v>
          </cell>
        </row>
        <row r="1099">
          <cell r="B1099" t="str">
            <v>MARUTI 800 TN-4F-9627</v>
          </cell>
          <cell r="C1099" t="str">
            <v>VE  PCDC VECH 0001</v>
          </cell>
        </row>
        <row r="1100">
          <cell r="B1100" t="str">
            <v>TATA TOURIN (TN 4 L 0290)</v>
          </cell>
          <cell r="C1100" t="str">
            <v>VE  PCDC VECH 0002</v>
          </cell>
        </row>
        <row r="1101">
          <cell r="B1101" t="str">
            <v>FORD FIESTA 1.4 D BS III (MPL</v>
          </cell>
          <cell r="C1101" t="str">
            <v>VE  PCDC VECH 0003</v>
          </cell>
        </row>
        <row r="1102">
          <cell r="B1102" t="str">
            <v>BY-CYCLE</v>
          </cell>
          <cell r="C1102" t="str">
            <v>VE SDCT VEHICL 01</v>
          </cell>
        </row>
        <row r="1103">
          <cell r="B1103" t="str">
            <v>MOTAR CAR NO.  - GM(F)</v>
          </cell>
          <cell r="C1103" t="str">
            <v>VE SDCT VEHICL 02</v>
          </cell>
        </row>
        <row r="1104">
          <cell r="B1104" t="str">
            <v>MOTAR CAR NO.  - (MD)</v>
          </cell>
          <cell r="C1104" t="str">
            <v>VE SDCT VEHICL 03</v>
          </cell>
        </row>
        <row r="1105">
          <cell r="B1105" t="str">
            <v>MOTAR CAR NO. - (COO)</v>
          </cell>
          <cell r="C1105" t="str">
            <v>VE SDCT VEHICL 04</v>
          </cell>
        </row>
        <row r="1106">
          <cell r="B1106" t="str">
            <v>SKODA - OCTAVIA AMBIENTE 1.9 T</v>
          </cell>
          <cell r="C1106" t="str">
            <v>VE SDCT VEHICL 05</v>
          </cell>
        </row>
        <row r="1107">
          <cell r="B1107" t="str">
            <v>MARUTI SX-4 VXI     R.JUTHANI</v>
          </cell>
          <cell r="C1107" t="str">
            <v>VE SDCT VEHICL 06</v>
          </cell>
        </row>
        <row r="1108">
          <cell r="B1108" t="str">
            <v>SWIFT DESIRE ZXI   S.K.ROY</v>
          </cell>
          <cell r="C1108" t="str">
            <v>VE SDCT VEHICL 07</v>
          </cell>
        </row>
        <row r="1109">
          <cell r="B1109" t="str">
            <v>SWIFT DESIRE ZXI   T.SHIRWALKA</v>
          </cell>
          <cell r="C1109" t="str">
            <v>VE SDCT VEHICL 08</v>
          </cell>
        </row>
      </sheetData>
      <sheetData sheetId="9" refreshError="1"/>
      <sheetData sheetId="1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mallSamp"/>
      <sheetName val="Check_Spell"/>
      <sheetName val="Targeted Testing-1"/>
      <sheetName val="Non-Statistical Sampling-1"/>
      <sheetName val="Accept Reject-1"/>
      <sheetName val="Targeted Testing"/>
      <sheetName val="Non-Statistical Sampling"/>
      <sheetName val="Accept Reject"/>
      <sheetName val="AR Drop Downs"/>
      <sheetName val="ARLU"/>
      <sheetName val="Instructions"/>
      <sheetName val="First Sample Results"/>
      <sheetName val="DropDown"/>
      <sheetName val="Currency"/>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refreshError="1"/>
      <sheetData sheetId="11" refreshError="1"/>
      <sheetData sheetId="12"/>
      <sheetData sheetId="13">
        <row r="3">
          <cell r="C3" t="str">
            <v>Thai</v>
          </cell>
        </row>
        <row r="9">
          <cell r="B9" t="str">
            <v>Currency?</v>
          </cell>
        </row>
        <row r="10">
          <cell r="B10" t="str">
            <v>AUS$</v>
          </cell>
        </row>
        <row r="11">
          <cell r="B11" t="str">
            <v>CAN$</v>
          </cell>
        </row>
        <row r="12">
          <cell r="B12" t="str">
            <v>Euro</v>
          </cell>
        </row>
        <row r="13">
          <cell r="B13" t="str">
            <v>Pound</v>
          </cell>
        </row>
        <row r="14">
          <cell r="B14" t="str">
            <v>US$</v>
          </cell>
        </row>
        <row r="15">
          <cell r="B15" t="str">
            <v>Yen</v>
          </cell>
        </row>
        <row r="16">
          <cell r="B16" t="str">
            <v>Colon</v>
          </cell>
        </row>
        <row r="17">
          <cell r="B17" t="str">
            <v>Dong</v>
          </cell>
        </row>
        <row r="18">
          <cell r="B18" t="str">
            <v>Franc</v>
          </cell>
        </row>
        <row r="19">
          <cell r="B19" t="str">
            <v>Kip</v>
          </cell>
        </row>
        <row r="20">
          <cell r="B20" t="str">
            <v>Kroner</v>
          </cell>
        </row>
        <row r="21">
          <cell r="B21" t="str">
            <v>Lira</v>
          </cell>
        </row>
        <row r="22">
          <cell r="B22" t="str">
            <v>Naira</v>
          </cell>
        </row>
        <row r="23">
          <cell r="B23" t="str">
            <v>Reais</v>
          </cell>
        </row>
        <row r="24">
          <cell r="B24" t="str">
            <v>Rubles</v>
          </cell>
        </row>
        <row r="25">
          <cell r="B25" t="str">
            <v>Rupee</v>
          </cell>
        </row>
        <row r="26">
          <cell r="B26" t="str">
            <v>Sequel</v>
          </cell>
        </row>
        <row r="27">
          <cell r="B27" t="str">
            <v>Thai</v>
          </cell>
        </row>
        <row r="28">
          <cell r="B28" t="str">
            <v>Tugrik</v>
          </cell>
        </row>
        <row r="29">
          <cell r="B29" t="str">
            <v>Won</v>
          </cell>
        </row>
        <row r="30">
          <cell r="B30" t="str">
            <v>Yuan</v>
          </cell>
        </row>
        <row r="31">
          <cell r="B31" t="str">
            <v>Other</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sheetName val="manager"/>
      <sheetName val="HistInputs"/>
      <sheetName val="case"/>
      <sheetName val="Build-up FA"/>
      <sheetName val="Build-up"/>
      <sheetName val="financials"/>
      <sheetName val="Biz Plan"/>
      <sheetName val="WACC"/>
      <sheetName val="DCF_inputs"/>
      <sheetName val="DCF"/>
      <sheetName val="valmatrix"/>
      <sheetName val="summary"/>
      <sheetName val="appendix 2.5 final accounts"/>
    </sheetNames>
    <sheetDataSet>
      <sheetData sheetId="0"/>
      <sheetData sheetId="1"/>
      <sheetData sheetId="2"/>
      <sheetData sheetId="3"/>
      <sheetData sheetId="4"/>
      <sheetData sheetId="5"/>
      <sheetData sheetId="6"/>
      <sheetData sheetId="7"/>
      <sheetData sheetId="8"/>
      <sheetData sheetId="9">
        <row r="15">
          <cell r="Q15">
            <v>10</v>
          </cell>
        </row>
      </sheetData>
      <sheetData sheetId="10"/>
      <sheetData sheetId="11"/>
      <sheetData sheetId="12"/>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EX (3)"/>
      <sheetName val="OPEX (2)"/>
      <sheetName val="OPEX"/>
      <sheetName val="IAS Diff"/>
      <sheetName val="Antwerp Pack 07 KWE"/>
      <sheetName val="PBV Cons"/>
      <sheetName val="Accpac BS Final"/>
      <sheetName val="Accpac PL Final"/>
      <sheetName val="Pellion Full"/>
      <sheetName val="PV PBV Loan Act"/>
      <sheetName val="Pellion PL"/>
      <sheetName val="PV P&amp;L ACCPAC"/>
      <sheetName val="TB"/>
      <sheetName val="TP TB"/>
      <sheetName val="Dep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210</v>
          </cell>
          <cell r="B2" t="str">
            <v>Retail ML</v>
          </cell>
          <cell r="C2" t="str">
            <v>r</v>
          </cell>
        </row>
        <row r="3">
          <cell r="A3">
            <v>240</v>
          </cell>
          <cell r="B3" t="str">
            <v>Retail PB</v>
          </cell>
          <cell r="C3" t="str">
            <v>r</v>
          </cell>
        </row>
        <row r="4">
          <cell r="A4">
            <v>250</v>
          </cell>
          <cell r="B4" t="str">
            <v>Retail ST</v>
          </cell>
          <cell r="C4" t="str">
            <v>r</v>
          </cell>
        </row>
        <row r="5">
          <cell r="A5">
            <v>260</v>
          </cell>
          <cell r="B5" t="str">
            <v>Retail NI</v>
          </cell>
          <cell r="C5" t="str">
            <v>r</v>
          </cell>
        </row>
        <row r="6">
          <cell r="A6">
            <v>270</v>
          </cell>
          <cell r="B6" t="str">
            <v>Retail Events</v>
          </cell>
          <cell r="C6" t="str">
            <v>r</v>
          </cell>
        </row>
        <row r="7">
          <cell r="A7">
            <v>510</v>
          </cell>
          <cell r="B7" t="str">
            <v>Marketing Direct</v>
          </cell>
          <cell r="C7" t="str">
            <v>m</v>
          </cell>
        </row>
        <row r="8">
          <cell r="A8">
            <v>520</v>
          </cell>
          <cell r="B8" t="str">
            <v>Marketing Wholesale</v>
          </cell>
          <cell r="C8" t="str">
            <v>m</v>
          </cell>
        </row>
        <row r="9">
          <cell r="A9">
            <v>530</v>
          </cell>
          <cell r="B9" t="str">
            <v>Marketing Distributors</v>
          </cell>
          <cell r="C9" t="str">
            <v>m</v>
          </cell>
        </row>
        <row r="10">
          <cell r="A10">
            <v>540</v>
          </cell>
          <cell r="B10" t="str">
            <v>Marketing Export</v>
          </cell>
          <cell r="C10" t="str">
            <v>m</v>
          </cell>
        </row>
        <row r="11">
          <cell r="A11">
            <v>542</v>
          </cell>
          <cell r="B11" t="str">
            <v>Marketing LC</v>
          </cell>
          <cell r="C11" t="str">
            <v>m</v>
          </cell>
        </row>
        <row r="12">
          <cell r="A12">
            <v>550</v>
          </cell>
          <cell r="B12" t="str">
            <v>Administration</v>
          </cell>
          <cell r="C12" t="str">
            <v>a</v>
          </cell>
        </row>
        <row r="13">
          <cell r="A13">
            <v>560</v>
          </cell>
          <cell r="B13" t="str">
            <v>Despatch</v>
          </cell>
          <cell r="C13" t="str">
            <v>d</v>
          </cell>
        </row>
        <row r="14">
          <cell r="A14">
            <v>570</v>
          </cell>
          <cell r="B14" t="str">
            <v>Finance</v>
          </cell>
          <cell r="C14" t="str">
            <v>f</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rs"/>
      <sheetName val="prov (2)"/>
      <sheetName val="BS"/>
      <sheetName val="workings"/>
      <sheetName val="R&amp;DEXP"/>
      <sheetName val="final bs"/>
      <sheetName val="SchPLBS"/>
      <sheetName val="working sheet"/>
      <sheetName val="SSchPLBS"/>
      <sheetName val="P&amp;L"/>
      <sheetName val="final P&amp;L"/>
      <sheetName val="STDATA"/>
      <sheetName val="no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reciation"/>
      <sheetName val="CrossCheck"/>
      <sheetName val="Summation Code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ab"/>
      <sheetName val="Subcont."/>
      <sheetName val="Mat. Liab."/>
      <sheetName val="Stock"/>
      <sheetName val="Site Stock"/>
      <sheetName val="WIP"/>
      <sheetName val="Adv. Rnt."/>
      <sheetName val="Fuel Consumption"/>
      <sheetName val="BG"/>
      <sheetName val="BG (2)"/>
      <sheetName val="CAR"/>
      <sheetName val="Prel.Mat."/>
      <sheetName val="Desc "/>
      <sheetName val="Overview"/>
      <sheetName val="HI-TARGE"/>
      <sheetName val="Abstract RA 1"/>
    </sheetNames>
    <sheetDataSet>
      <sheetData sheetId="0">
        <row r="4">
          <cell r="B4" t="str">
            <v>A/C Code</v>
          </cell>
        </row>
      </sheetData>
      <sheetData sheetId="1" refreshError="1"/>
      <sheetData sheetId="2" refreshError="1"/>
      <sheetData sheetId="3" refreshError="1">
        <row r="4">
          <cell r="B4" t="str">
            <v>A/C 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WTB - BS"/>
      <sheetName val="WTB - IS"/>
      <sheetName val="Adjustment entries"/>
      <sheetName val="doq"/>
      <sheetName val="appendix 2.5 final accounts"/>
    </sheetNames>
    <sheetDataSet>
      <sheetData sheetId="0"/>
      <sheetData sheetId="1"/>
      <sheetData sheetId="2" refreshError="1"/>
      <sheetData sheetId="3"/>
      <sheetData sheetId="4"/>
      <sheetData sheetId="5" refreshError="1"/>
      <sheetData sheetId="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 -March 03 TB"/>
      <sheetName val="Jan - Dec 03"/>
      <sheetName val="Sheet4"/>
      <sheetName val="Sheet5"/>
      <sheetName val="Financials -Jan 03-Mar04 (2)"/>
      <sheetName val="Trial Balance (3)"/>
      <sheetName val="Trial Balance final"/>
      <sheetName val="Trial Balance"/>
      <sheetName val="Jan - Mar 04"/>
      <sheetName val="Jan 03 - March 04"/>
      <sheetName val="ICR Jan 03 - March 04"/>
      <sheetName val="Sheet2"/>
      <sheetName val="ICR Jan 03 March 04-Pivot"/>
      <sheetName val="ICR Mar 03 Pivot"/>
      <sheetName val="New Jan - March 03"/>
      <sheetName val="Financials -Jan 03-Mar04"/>
      <sheetName val="Sheet1"/>
      <sheetName val="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Int."/>
      <sheetName val="Summary "/>
      <sheetName val="Sheet2"/>
      <sheetName val="Main Summary"/>
      <sheetName val="DER-30.09.10"/>
      <sheetName val="Trial Bal"/>
      <sheetName val="Stock"/>
    </sheetNames>
    <sheetDataSet>
      <sheetData sheetId="0"/>
      <sheetData sheetId="1">
        <row r="37">
          <cell r="CI37">
            <v>0.16952054794520549</v>
          </cell>
        </row>
        <row r="38">
          <cell r="CI38">
            <v>0.16952054794520549</v>
          </cell>
        </row>
        <row r="39">
          <cell r="CI39">
            <v>1.1842465753424658</v>
          </cell>
        </row>
        <row r="43">
          <cell r="CI43">
            <v>1.1219178082191781</v>
          </cell>
        </row>
        <row r="45">
          <cell r="CI45">
            <v>2.0101027397260278</v>
          </cell>
        </row>
        <row r="46">
          <cell r="CI46">
            <v>3.6181849315068497</v>
          </cell>
        </row>
        <row r="47">
          <cell r="CI47">
            <v>1.7420890410958902</v>
          </cell>
        </row>
        <row r="50">
          <cell r="CI50">
            <v>1.2465753424657535</v>
          </cell>
        </row>
        <row r="51">
          <cell r="CI51">
            <v>1.4835616438356163</v>
          </cell>
        </row>
        <row r="52">
          <cell r="CI52">
            <v>1.2465753424657535</v>
          </cell>
        </row>
        <row r="53">
          <cell r="CI53">
            <v>1.1219178082191781</v>
          </cell>
        </row>
        <row r="54">
          <cell r="CI54">
            <v>1.308904109589041</v>
          </cell>
        </row>
        <row r="55">
          <cell r="CI55">
            <v>3.1787671232876713</v>
          </cell>
        </row>
        <row r="56">
          <cell r="CI56">
            <v>1.495890410958904</v>
          </cell>
        </row>
        <row r="57">
          <cell r="CI57">
            <v>1.3463013698630135</v>
          </cell>
        </row>
        <row r="58">
          <cell r="CI58">
            <v>0.56532191780821917</v>
          </cell>
        </row>
        <row r="59">
          <cell r="CI59">
            <v>1.1406164383561643</v>
          </cell>
        </row>
        <row r="60">
          <cell r="CI60">
            <v>1.0284246575342466</v>
          </cell>
        </row>
        <row r="61">
          <cell r="CI61">
            <v>0.16438356164383561</v>
          </cell>
        </row>
        <row r="62">
          <cell r="CI62">
            <v>6.5496575342465752E-2</v>
          </cell>
        </row>
      </sheetData>
      <sheetData sheetId="2"/>
      <sheetData sheetId="3"/>
      <sheetData sheetId="4"/>
      <sheetData sheetId="5"/>
      <sheetData sheetId="6" refreshError="1"/>
      <sheetData sheetId="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rnover reco"/>
      <sheetName val="profit reco (2)"/>
      <sheetName val="fin result P &amp; L (Audit Comit)"/>
      <sheetName val="debt reco"/>
      <sheetName val="cf woirking 20.3.2015"/>
      <sheetName val="BS"/>
      <sheetName val="P&amp;L"/>
      <sheetName val="cashflow"/>
      <sheetName val="Accounting Policy"/>
      <sheetName val="cashflow working"/>
      <sheetName val="BS Notes 2-24"/>
      <sheetName val="14 - FA"/>
      <sheetName val="15 - Investments"/>
      <sheetName val="P&amp;L Notes"/>
      <sheetName val="Notes 33-37"/>
      <sheetName val="39-45"/>
      <sheetName val="working co"/>
      <sheetName val="2013-14"/>
      <sheetName val="working fa"/>
      <sheetName val="Segment Data"/>
      <sheetName val="segment wise reporting (2)"/>
      <sheetName val="Sheet1"/>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 Reg"/>
      <sheetName val="DATA-DY"/>
      <sheetName val="TAXES"/>
      <sheetName val="DATA-1"/>
      <sheetName val="ITEM GRP MAS-DY"/>
      <sheetName val="CHECK"/>
      <sheetName val="ITEM &amp; GRP"/>
      <sheetName val="Sheet4"/>
      <sheetName val="CUST GRP DY"/>
      <sheetName val="TAXTRANS"/>
      <sheetName val="TAXCODE"/>
      <sheetName val="ITEMGRP-DY"/>
    </sheetNames>
    <sheetDataSet>
      <sheetData sheetId="0"/>
      <sheetData sheetId="1"/>
      <sheetData sheetId="2"/>
      <sheetData sheetId="3"/>
      <sheetData sheetId="4"/>
      <sheetData sheetId="5"/>
      <sheetData sheetId="6"/>
      <sheetData sheetId="7"/>
      <sheetData sheetId="8"/>
      <sheetData sheetId="9"/>
      <sheetData sheetId="10"/>
      <sheetData sheetId="11">
        <row r="1">
          <cell r="A1" t="str">
            <v>ITEMGROUPID</v>
          </cell>
          <cell r="B1" t="str">
            <v>NAME</v>
          </cell>
        </row>
        <row r="2">
          <cell r="A2" t="str">
            <v>1110</v>
          </cell>
          <cell r="B2" t="str">
            <v>RM- STEEL - LOCAL</v>
          </cell>
        </row>
        <row r="3">
          <cell r="A3" t="str">
            <v>1111</v>
          </cell>
          <cell r="B3" t="str">
            <v>RM- ALUMINIUM - LOCAL</v>
          </cell>
        </row>
        <row r="4">
          <cell r="A4" t="str">
            <v>1115</v>
          </cell>
          <cell r="B4" t="str">
            <v>RM- STEEL - IMPORTED</v>
          </cell>
        </row>
        <row r="5">
          <cell r="A5" t="str">
            <v>1120</v>
          </cell>
          <cell r="B5" t="str">
            <v>RM- HDPE - LOCAL</v>
          </cell>
        </row>
        <row r="6">
          <cell r="A6" t="str">
            <v>1125</v>
          </cell>
          <cell r="B6" t="str">
            <v>RM- HDPE - IMPORTED</v>
          </cell>
        </row>
        <row r="7">
          <cell r="A7" t="str">
            <v>1130</v>
          </cell>
          <cell r="B7" t="str">
            <v>RM- LDPE LOCAL</v>
          </cell>
        </row>
        <row r="8">
          <cell r="A8" t="str">
            <v>1135</v>
          </cell>
          <cell r="B8" t="str">
            <v>RM- PP- LOCAL</v>
          </cell>
        </row>
        <row r="9">
          <cell r="A9" t="str">
            <v>1140</v>
          </cell>
          <cell r="B9" t="str">
            <v>RM-PP - IMPORTED</v>
          </cell>
        </row>
        <row r="10">
          <cell r="A10" t="str">
            <v>1210</v>
          </cell>
          <cell r="B10" t="str">
            <v>RM- MASTER BATCH</v>
          </cell>
        </row>
        <row r="11">
          <cell r="A11" t="str">
            <v>1310</v>
          </cell>
          <cell r="B11" t="str">
            <v>RM- TFS/ TINPLATE</v>
          </cell>
        </row>
        <row r="12">
          <cell r="A12" t="str">
            <v>1320</v>
          </cell>
          <cell r="B12" t="str">
            <v>RM- INKS/ COATINGS; COMPOUND;</v>
          </cell>
        </row>
        <row r="13">
          <cell r="A13" t="str">
            <v>1330</v>
          </cell>
          <cell r="B13" t="str">
            <v>RM- TINPLATE FOR LIGHT CLOSURE</v>
          </cell>
        </row>
        <row r="14">
          <cell r="A14" t="str">
            <v>1410</v>
          </cell>
          <cell r="B14" t="str">
            <v>RM- CHEMICALS - ZINC (BOM)</v>
          </cell>
        </row>
        <row r="15">
          <cell r="A15" t="str">
            <v>1420</v>
          </cell>
          <cell r="B15" t="str">
            <v>RM- CHEMICALS - PLATING (BOM)</v>
          </cell>
        </row>
        <row r="16">
          <cell r="A16" t="str">
            <v>1421</v>
          </cell>
          <cell r="B16" t="str">
            <v>RM- CHEMICALS - PLATING (OTHER THAN BOM)</v>
          </cell>
        </row>
        <row r="17">
          <cell r="A17" t="str">
            <v>1430</v>
          </cell>
          <cell r="B17" t="str">
            <v>RM- CHEMICALS - ETP (OTHER THAN BOM)</v>
          </cell>
        </row>
        <row r="18">
          <cell r="A18" t="str">
            <v>1440</v>
          </cell>
          <cell r="B18" t="str">
            <v>RM- CHEMICALS - RO (OTHER THAN BOM)</v>
          </cell>
        </row>
        <row r="19">
          <cell r="A19" t="str">
            <v>1450</v>
          </cell>
          <cell r="B19" t="str">
            <v>RM- CHEMICALS - LDO (OTHER THAN BOM)</v>
          </cell>
        </row>
        <row r="20">
          <cell r="A20" t="str">
            <v>1460</v>
          </cell>
          <cell r="B20" t="str">
            <v>RM- CHEMICALS - LAB (OTHER THAN BOM)</v>
          </cell>
        </row>
        <row r="21">
          <cell r="A21" t="str">
            <v>1510</v>
          </cell>
          <cell r="B21" t="str">
            <v>RM- GASKET - TUBES</v>
          </cell>
        </row>
        <row r="22">
          <cell r="A22" t="str">
            <v>1515</v>
          </cell>
          <cell r="B22" t="str">
            <v>RM- GASKET - CUT IMPORTED</v>
          </cell>
        </row>
        <row r="23">
          <cell r="A23" t="str">
            <v>1520</v>
          </cell>
          <cell r="B23" t="str">
            <v>RM- GASKET - CUT LOCAL</v>
          </cell>
        </row>
        <row r="24">
          <cell r="A24" t="str">
            <v>1610</v>
          </cell>
          <cell r="B24" t="str">
            <v>RM- ACCESSORIES LARGE DRUMS - NM</v>
          </cell>
        </row>
        <row r="25">
          <cell r="A25" t="str">
            <v>1611</v>
          </cell>
          <cell r="B25" t="str">
            <v>RM- ACCESSORIES LARGE DRUMS - OHD</v>
          </cell>
        </row>
        <row r="26">
          <cell r="A26" t="str">
            <v>1620</v>
          </cell>
          <cell r="B26" t="str">
            <v>RM- ACCESSORIES MEDIUM DRUMS - NM</v>
          </cell>
        </row>
        <row r="27">
          <cell r="A27" t="str">
            <v>1621</v>
          </cell>
          <cell r="B27" t="str">
            <v>RM- ACCESSORIES MEDIUM DRUMS - OHD</v>
          </cell>
        </row>
        <row r="28">
          <cell r="A28" t="str">
            <v>1622</v>
          </cell>
          <cell r="B28" t="str">
            <v>RM- ACCESSORIES MEDIUM DRUMS - WM</v>
          </cell>
        </row>
        <row r="29">
          <cell r="A29" t="str">
            <v>1630</v>
          </cell>
          <cell r="B29" t="str">
            <v>RM- ACCESSORIES SMALL DRUMS - NM</v>
          </cell>
        </row>
        <row r="30">
          <cell r="A30" t="str">
            <v>1631</v>
          </cell>
          <cell r="B30" t="str">
            <v>RM- ACCESSORIES SMALL DRUMS - WM</v>
          </cell>
        </row>
        <row r="31">
          <cell r="A31" t="str">
            <v>1632</v>
          </cell>
          <cell r="B31" t="str">
            <v>RM- ACCESSORIES SMALL CANS</v>
          </cell>
        </row>
        <row r="32">
          <cell r="A32" t="str">
            <v>1640</v>
          </cell>
          <cell r="B32" t="str">
            <v>RM- OTHER ACCESSORIES V20</v>
          </cell>
        </row>
        <row r="33">
          <cell r="A33" t="str">
            <v>1650</v>
          </cell>
          <cell r="B33" t="str">
            <v>RM- OTHER ACCESSORIES W200</v>
          </cell>
        </row>
        <row r="34">
          <cell r="A34" t="str">
            <v>1660</v>
          </cell>
          <cell r="B34" t="str">
            <v>RM - OTHER ACCESSORIES  PAIL</v>
          </cell>
        </row>
        <row r="35">
          <cell r="A35" t="str">
            <v>1670</v>
          </cell>
          <cell r="B35" t="str">
            <v>RM - OTHER ACCESSORIES BM</v>
          </cell>
        </row>
        <row r="36">
          <cell r="A36" t="str">
            <v>1675</v>
          </cell>
          <cell r="B36" t="str">
            <v>RM - PURCHASE+PROCESS</v>
          </cell>
        </row>
        <row r="37">
          <cell r="A37" t="str">
            <v>1710</v>
          </cell>
          <cell r="B37" t="str">
            <v>RM- OTHER - LOCAL</v>
          </cell>
        </row>
        <row r="38">
          <cell r="A38" t="str">
            <v>1715</v>
          </cell>
          <cell r="B38" t="str">
            <v>RM- OTHER - IMPORTED</v>
          </cell>
        </row>
        <row r="39">
          <cell r="A39" t="str">
            <v>1720</v>
          </cell>
          <cell r="B39" t="str">
            <v>RM- TOOL &amp; DIES</v>
          </cell>
        </row>
        <row r="40">
          <cell r="A40" t="str">
            <v>1810</v>
          </cell>
          <cell r="B40" t="str">
            <v>SC- PUNCHING SCRAP</v>
          </cell>
        </row>
        <row r="41">
          <cell r="A41" t="str">
            <v>1820</v>
          </cell>
          <cell r="B41" t="str">
            <v>SC- TURNING SCRAP</v>
          </cell>
        </row>
        <row r="42">
          <cell r="A42" t="str">
            <v>1830</v>
          </cell>
          <cell r="B42" t="str">
            <v>SC- CIRCLES 2"</v>
          </cell>
        </row>
        <row r="43">
          <cell r="A43" t="str">
            <v>1840</v>
          </cell>
          <cell r="B43" t="str">
            <v>SC- CIRCLES 3/4"</v>
          </cell>
        </row>
        <row r="44">
          <cell r="A44" t="str">
            <v>1850</v>
          </cell>
          <cell r="B44" t="str">
            <v>SC- CIRCLES 4"</v>
          </cell>
        </row>
        <row r="45">
          <cell r="A45" t="str">
            <v>1860</v>
          </cell>
          <cell r="B45" t="str">
            <v>SC - END COILS</v>
          </cell>
        </row>
        <row r="46">
          <cell r="A46" t="str">
            <v>1870</v>
          </cell>
          <cell r="B46" t="str">
            <v>SC - OTHERS</v>
          </cell>
        </row>
        <row r="47">
          <cell r="A47" t="str">
            <v>1905</v>
          </cell>
          <cell r="B47" t="str">
            <v>PM - PACKING (BOM)</v>
          </cell>
        </row>
        <row r="48">
          <cell r="A48" t="str">
            <v>1906</v>
          </cell>
          <cell r="B48" t="str">
            <v>PM - PACKING (OTHER THAN BOM)</v>
          </cell>
        </row>
        <row r="49">
          <cell r="A49" t="str">
            <v>1910</v>
          </cell>
          <cell r="B49" t="str">
            <v>PM - PALLETISING (BOM)</v>
          </cell>
        </row>
        <row r="50">
          <cell r="A50" t="str">
            <v>2010</v>
          </cell>
          <cell r="B50" t="str">
            <v>SS - FLANGE LINE</v>
          </cell>
        </row>
        <row r="51">
          <cell r="A51" t="str">
            <v>2015</v>
          </cell>
          <cell r="B51" t="str">
            <v>SS - PLUG LINE</v>
          </cell>
        </row>
        <row r="52">
          <cell r="A52" t="str">
            <v>2020</v>
          </cell>
          <cell r="B52" t="str">
            <v>SS - CAPSEAL LINE</v>
          </cell>
        </row>
        <row r="53">
          <cell r="A53" t="str">
            <v>2025</v>
          </cell>
          <cell r="B53" t="str">
            <v>SS - HARDWARE</v>
          </cell>
        </row>
        <row r="54">
          <cell r="A54" t="str">
            <v>2030</v>
          </cell>
          <cell r="B54" t="str">
            <v>SS - AI</v>
          </cell>
        </row>
        <row r="55">
          <cell r="A55" t="str">
            <v>2035</v>
          </cell>
          <cell r="B55" t="str">
            <v>SS - PLATING</v>
          </cell>
        </row>
        <row r="56">
          <cell r="A56" t="str">
            <v>2040</v>
          </cell>
          <cell r="B56" t="str">
            <v>SS - TOOL STEEL</v>
          </cell>
        </row>
        <row r="57">
          <cell r="A57" t="str">
            <v>2045</v>
          </cell>
          <cell r="B57" t="str">
            <v>SS - ELECTRICALS</v>
          </cell>
        </row>
        <row r="58">
          <cell r="A58" t="str">
            <v>2050</v>
          </cell>
          <cell r="B58" t="str">
            <v>SS - UTILITIES</v>
          </cell>
        </row>
        <row r="59">
          <cell r="A59" t="str">
            <v>2051</v>
          </cell>
          <cell r="B59" t="str">
            <v>SS - TOOLS &amp; DIES SALE (CAMEO)</v>
          </cell>
        </row>
        <row r="60">
          <cell r="A60" t="str">
            <v>2055</v>
          </cell>
          <cell r="B60" t="str">
            <v>SS - OTHERS</v>
          </cell>
        </row>
        <row r="61">
          <cell r="A61" t="str">
            <v>3105</v>
          </cell>
          <cell r="B61" t="str">
            <v>FG - FLANGES 2"</v>
          </cell>
        </row>
        <row r="62">
          <cell r="A62" t="str">
            <v>3110</v>
          </cell>
          <cell r="B62" t="str">
            <v>FG - FLANGES 3/4"</v>
          </cell>
        </row>
        <row r="63">
          <cell r="A63" t="str">
            <v>3115</v>
          </cell>
          <cell r="B63" t="str">
            <v>FG - PLUGS 2"</v>
          </cell>
        </row>
        <row r="64">
          <cell r="A64" t="str">
            <v>3120</v>
          </cell>
          <cell r="B64" t="str">
            <v>FG - PLUGS 3/4"</v>
          </cell>
        </row>
        <row r="65">
          <cell r="A65" t="str">
            <v>3125</v>
          </cell>
          <cell r="B65" t="str">
            <v>FG - CAPSEALS 2"</v>
          </cell>
        </row>
        <row r="66">
          <cell r="A66" t="str">
            <v>3130</v>
          </cell>
          <cell r="B66" t="str">
            <v>FG - CAPSEALS 3/4"</v>
          </cell>
        </row>
        <row r="67">
          <cell r="A67" t="str">
            <v>3135</v>
          </cell>
          <cell r="B67" t="str">
            <v>FG - LIGHT CLOSURES</v>
          </cell>
        </row>
        <row r="68">
          <cell r="A68" t="str">
            <v>3140</v>
          </cell>
          <cell r="B68" t="str">
            <v>FG - TAGRINGS 2"</v>
          </cell>
        </row>
        <row r="69">
          <cell r="A69" t="str">
            <v>3145</v>
          </cell>
          <cell r="B69" t="str">
            <v>FG - TAGRINGS 3/4"</v>
          </cell>
        </row>
        <row r="70">
          <cell r="A70" t="str">
            <v>3150</v>
          </cell>
          <cell r="B70" t="str">
            <v>FG - PAINT CAPS</v>
          </cell>
        </row>
        <row r="71">
          <cell r="A71" t="str">
            <v>3155</v>
          </cell>
          <cell r="B71" t="str">
            <v>FG - GASKETS</v>
          </cell>
        </row>
        <row r="72">
          <cell r="A72" t="str">
            <v>3160</v>
          </cell>
          <cell r="B72" t="str">
            <v>FG - SEALING TOOL</v>
          </cell>
        </row>
        <row r="73">
          <cell r="A73" t="str">
            <v>3165</v>
          </cell>
          <cell r="B73" t="str">
            <v>FG - DIES/ TOOL</v>
          </cell>
        </row>
        <row r="74">
          <cell r="A74" t="str">
            <v>3170</v>
          </cell>
          <cell r="B74" t="str">
            <v>FG - OTHERS</v>
          </cell>
        </row>
        <row r="75">
          <cell r="A75" t="str">
            <v>3300</v>
          </cell>
          <cell r="B75" t="str">
            <v>FG - VALEREX 20/25</v>
          </cell>
        </row>
        <row r="76">
          <cell r="A76" t="str">
            <v>3305</v>
          </cell>
          <cell r="B76" t="str">
            <v>FG - VALEREX 20/25 (8 ltrs)</v>
          </cell>
        </row>
        <row r="77">
          <cell r="A77" t="str">
            <v>3310</v>
          </cell>
          <cell r="B77" t="str">
            <v>FG - VALEREX 20/25 (10 ltrs)</v>
          </cell>
        </row>
        <row r="78">
          <cell r="A78" t="str">
            <v>3315</v>
          </cell>
          <cell r="B78" t="str">
            <v>FG - VALEREX 20/25 (12 ltrs)</v>
          </cell>
        </row>
        <row r="79">
          <cell r="A79" t="str">
            <v>3320</v>
          </cell>
          <cell r="B79" t="str">
            <v>FG - VALEREX 20/25 (15 ltrs)</v>
          </cell>
        </row>
        <row r="80">
          <cell r="A80" t="str">
            <v>3325</v>
          </cell>
          <cell r="B80" t="str">
            <v>FG - VALEREX 20/25 (18 ltrs)</v>
          </cell>
        </row>
        <row r="81">
          <cell r="A81" t="str">
            <v>3330</v>
          </cell>
          <cell r="B81" t="str">
            <v>FG - VALEREX 20/25 (20 ltrs)</v>
          </cell>
        </row>
        <row r="82">
          <cell r="A82" t="str">
            <v>3335</v>
          </cell>
          <cell r="B82" t="str">
            <v>FG - VALEREX 20/25 (23 ltrs)</v>
          </cell>
        </row>
        <row r="83">
          <cell r="A83" t="str">
            <v>3340</v>
          </cell>
          <cell r="B83" t="str">
            <v>FG - VALEREX 20/25 (25 ltrs)</v>
          </cell>
        </row>
        <row r="84">
          <cell r="A84" t="str">
            <v>3345</v>
          </cell>
          <cell r="B84" t="str">
            <v>FG - VALEREX 20/25 (27 LTRS)</v>
          </cell>
        </row>
        <row r="85">
          <cell r="A85" t="str">
            <v>4000</v>
          </cell>
          <cell r="B85" t="str">
            <v>FG - VALEREX 200/ 235 (NM)</v>
          </cell>
        </row>
        <row r="86">
          <cell r="A86" t="str">
            <v>4005</v>
          </cell>
          <cell r="B86" t="str">
            <v>FG - VALEREX 200</v>
          </cell>
        </row>
        <row r="87">
          <cell r="A87" t="str">
            <v>4010</v>
          </cell>
          <cell r="B87" t="str">
            <v>FG - VALEREX 210</v>
          </cell>
        </row>
        <row r="88">
          <cell r="A88" t="str">
            <v>4015</v>
          </cell>
          <cell r="B88" t="str">
            <v>FG - VALEREX 220</v>
          </cell>
        </row>
        <row r="89">
          <cell r="A89" t="str">
            <v>4020</v>
          </cell>
          <cell r="B89" t="str">
            <v>FG - VALEREX 235</v>
          </cell>
        </row>
        <row r="90">
          <cell r="A90" t="str">
            <v>4025</v>
          </cell>
          <cell r="B90" t="str">
            <v>FG - VALEREX 200/235 (OHD)</v>
          </cell>
        </row>
        <row r="91">
          <cell r="A91" t="str">
            <v>4030</v>
          </cell>
          <cell r="B91" t="str">
            <v>FG - VALEREX 200 (OHD)</v>
          </cell>
        </row>
        <row r="92">
          <cell r="A92" t="str">
            <v>4035</v>
          </cell>
          <cell r="B92" t="str">
            <v>FG - VALEREX 210 (OHD)</v>
          </cell>
        </row>
        <row r="93">
          <cell r="A93" t="str">
            <v>4040</v>
          </cell>
          <cell r="B93" t="str">
            <v>FG - VALEREX 220 (OHD)</v>
          </cell>
        </row>
        <row r="94">
          <cell r="A94" t="str">
            <v>4041</v>
          </cell>
          <cell r="B94" t="str">
            <v>FG - VALEREX 225 (OHD)</v>
          </cell>
        </row>
        <row r="95">
          <cell r="A95" t="str">
            <v>4045</v>
          </cell>
          <cell r="B95" t="str">
            <v>FG - VALEREX 235 (OHD)</v>
          </cell>
        </row>
        <row r="96">
          <cell r="A96" t="str">
            <v>5100</v>
          </cell>
          <cell r="B96" t="str">
            <v>FG - BM LARGE DRUMS (200-235 LTRS)</v>
          </cell>
        </row>
        <row r="97">
          <cell r="A97" t="str">
            <v>5105</v>
          </cell>
          <cell r="B97" t="str">
            <v>FG - BM LARGE DRUMS (200-235 LTRS) NM</v>
          </cell>
        </row>
        <row r="98">
          <cell r="A98" t="str">
            <v>5110</v>
          </cell>
          <cell r="B98" t="str">
            <v>FG - BM NM 200 LTRS</v>
          </cell>
        </row>
        <row r="99">
          <cell r="A99" t="str">
            <v>5115</v>
          </cell>
          <cell r="B99" t="str">
            <v>FG - BM NM 210 LTRS</v>
          </cell>
        </row>
        <row r="100">
          <cell r="A100" t="str">
            <v>5120</v>
          </cell>
          <cell r="B100" t="str">
            <v>FG - BM NM 235 LTRS</v>
          </cell>
        </row>
        <row r="101">
          <cell r="A101" t="str">
            <v>5125</v>
          </cell>
          <cell r="B101" t="str">
            <v>FG - BM LARGE DRUMS (200-235 LTRS) OHD</v>
          </cell>
        </row>
        <row r="102">
          <cell r="A102" t="str">
            <v>5130</v>
          </cell>
          <cell r="B102" t="str">
            <v>FG - BM OHD 200 LTRS</v>
          </cell>
        </row>
        <row r="103">
          <cell r="A103" t="str">
            <v>5135</v>
          </cell>
          <cell r="B103" t="str">
            <v>FG - BM OHD 210 LTRS</v>
          </cell>
        </row>
        <row r="104">
          <cell r="A104" t="str">
            <v>5140</v>
          </cell>
          <cell r="B104" t="str">
            <v>FG - BM OHD 235 LTRS</v>
          </cell>
        </row>
        <row r="105">
          <cell r="A105" t="str">
            <v>5200</v>
          </cell>
          <cell r="B105" t="str">
            <v>FG - BM LINERS</v>
          </cell>
        </row>
        <row r="106">
          <cell r="A106" t="str">
            <v>5311</v>
          </cell>
          <cell r="B106" t="str">
            <v>FG - BM NM 50 LTRS</v>
          </cell>
        </row>
        <row r="107">
          <cell r="A107" t="str">
            <v>5312</v>
          </cell>
          <cell r="B107" t="str">
            <v>FG - BM NM 60 LTRS</v>
          </cell>
        </row>
        <row r="108">
          <cell r="A108" t="str">
            <v>5313</v>
          </cell>
          <cell r="B108" t="str">
            <v>FG - BM NM 100 LTRS</v>
          </cell>
        </row>
        <row r="109">
          <cell r="A109" t="str">
            <v>5314</v>
          </cell>
          <cell r="B109" t="str">
            <v>FG - BM NM 120 LTRS</v>
          </cell>
        </row>
        <row r="110">
          <cell r="A110" t="str">
            <v>5320</v>
          </cell>
          <cell r="B110" t="str">
            <v>FG - BM WM 50 LTRS</v>
          </cell>
        </row>
        <row r="111">
          <cell r="A111" t="str">
            <v>5321</v>
          </cell>
          <cell r="B111" t="str">
            <v>FG - BM WM 60 LTRS</v>
          </cell>
        </row>
        <row r="112">
          <cell r="A112" t="str">
            <v>5322</v>
          </cell>
          <cell r="B112" t="str">
            <v>FG - BM WM 100 LTRS</v>
          </cell>
        </row>
        <row r="113">
          <cell r="A113" t="str">
            <v>5323</v>
          </cell>
          <cell r="B113" t="str">
            <v>FG - BM WM 120 LTRS</v>
          </cell>
        </row>
        <row r="114">
          <cell r="A114" t="str">
            <v>5330</v>
          </cell>
          <cell r="B114" t="str">
            <v>FG - BM OT 50 LTRS</v>
          </cell>
        </row>
        <row r="115">
          <cell r="A115" t="str">
            <v>5335</v>
          </cell>
          <cell r="B115" t="str">
            <v>FG - BM OT 60 LTRS</v>
          </cell>
        </row>
        <row r="116">
          <cell r="A116" t="str">
            <v>5340</v>
          </cell>
          <cell r="B116" t="str">
            <v>FG - BM OT 100 LTRS</v>
          </cell>
        </row>
        <row r="117">
          <cell r="A117" t="str">
            <v>5345</v>
          </cell>
          <cell r="B117" t="str">
            <v>FG - BM OT 120 LTRS</v>
          </cell>
        </row>
        <row r="118">
          <cell r="A118" t="str">
            <v>5400</v>
          </cell>
          <cell r="B118" t="str">
            <v>FG - BM NM 35 LTRS</v>
          </cell>
        </row>
        <row r="119">
          <cell r="A119" t="str">
            <v>5405</v>
          </cell>
          <cell r="B119" t="str">
            <v>FG - BM NM 27 LTRS</v>
          </cell>
        </row>
        <row r="120">
          <cell r="A120" t="str">
            <v>5410</v>
          </cell>
          <cell r="B120" t="str">
            <v>FG - BM NM 20 LTRS</v>
          </cell>
        </row>
        <row r="121">
          <cell r="A121" t="str">
            <v>5415</v>
          </cell>
          <cell r="B121" t="str">
            <v>FG - BM NM 5 LTRS</v>
          </cell>
        </row>
        <row r="122">
          <cell r="A122" t="str">
            <v>5420</v>
          </cell>
          <cell r="B122" t="str">
            <v>FG - BM NM 20 LTRS</v>
          </cell>
        </row>
        <row r="123">
          <cell r="A123" t="str">
            <v>5425</v>
          </cell>
          <cell r="B123" t="str">
            <v>FG - BM NM 23 LTRS</v>
          </cell>
        </row>
        <row r="124">
          <cell r="A124" t="str">
            <v>6005</v>
          </cell>
          <cell r="B124" t="str">
            <v>FG - SMARTPACK (HEAVY WT SP-1)</v>
          </cell>
        </row>
        <row r="125">
          <cell r="A125" t="str">
            <v>6015</v>
          </cell>
          <cell r="B125" t="str">
            <v>FG - SMARTPACK (SMALL WT SP-3)</v>
          </cell>
        </row>
        <row r="126">
          <cell r="A126" t="str">
            <v>7105</v>
          </cell>
          <cell r="B126" t="str">
            <v>WIP - FLANGES 2"</v>
          </cell>
        </row>
        <row r="127">
          <cell r="A127" t="str">
            <v>7110</v>
          </cell>
          <cell r="B127" t="str">
            <v>WIP - FLANGES 3/4"</v>
          </cell>
        </row>
        <row r="128">
          <cell r="A128" t="str">
            <v>7115</v>
          </cell>
          <cell r="B128" t="str">
            <v>WIP - PLUGS 2"</v>
          </cell>
        </row>
        <row r="129">
          <cell r="A129" t="str">
            <v>7120</v>
          </cell>
          <cell r="B129" t="str">
            <v>WIP - PLUGS 3/4"</v>
          </cell>
        </row>
        <row r="130">
          <cell r="A130" t="str">
            <v>7125</v>
          </cell>
          <cell r="B130" t="str">
            <v>WIP - CAPSEALS 2"</v>
          </cell>
        </row>
        <row r="131">
          <cell r="A131" t="str">
            <v>7130</v>
          </cell>
          <cell r="B131" t="str">
            <v>WIP - CAPSEALS 3/4"</v>
          </cell>
        </row>
        <row r="132">
          <cell r="A132" t="str">
            <v>7135</v>
          </cell>
          <cell r="B132" t="str">
            <v>WIP - LIGHT CLOSURES</v>
          </cell>
        </row>
        <row r="133">
          <cell r="A133" t="str">
            <v>7140</v>
          </cell>
          <cell r="B133" t="str">
            <v>WIP - TAGRINGS 2"</v>
          </cell>
        </row>
        <row r="134">
          <cell r="A134" t="str">
            <v>7145</v>
          </cell>
          <cell r="B134" t="str">
            <v>WIP - TAGRINGS 3/4"</v>
          </cell>
        </row>
        <row r="135">
          <cell r="A135" t="str">
            <v>7150</v>
          </cell>
          <cell r="B135" t="str">
            <v>WIP - PAINT CAPS</v>
          </cell>
        </row>
        <row r="136">
          <cell r="A136" t="str">
            <v>7155</v>
          </cell>
          <cell r="B136" t="str">
            <v>WIP - GASKETS</v>
          </cell>
        </row>
        <row r="137">
          <cell r="A137" t="str">
            <v>7160</v>
          </cell>
          <cell r="B137" t="str">
            <v>WIP - OTHERS</v>
          </cell>
        </row>
        <row r="138">
          <cell r="A138" t="str">
            <v>7165</v>
          </cell>
          <cell r="B138" t="str">
            <v>WIP - SCRAP</v>
          </cell>
        </row>
        <row r="139">
          <cell r="A139" t="str">
            <v>7200</v>
          </cell>
          <cell r="B139" t="str">
            <v>WIP - VALEREX 20/25 (8 ltrs)</v>
          </cell>
        </row>
        <row r="140">
          <cell r="A140" t="str">
            <v>7205</v>
          </cell>
          <cell r="B140" t="str">
            <v>WIP - VALEREX 20/25 (10 ltrs)</v>
          </cell>
        </row>
        <row r="141">
          <cell r="A141" t="str">
            <v>7210</v>
          </cell>
          <cell r="B141" t="str">
            <v>WIP - VALEREX 20/25 (12 ltrs)</v>
          </cell>
        </row>
        <row r="142">
          <cell r="A142" t="str">
            <v>7215</v>
          </cell>
          <cell r="B142" t="str">
            <v>WIP - VALEREX 20/25 (15 ltrs)</v>
          </cell>
        </row>
        <row r="143">
          <cell r="A143" t="str">
            <v>7220</v>
          </cell>
          <cell r="B143" t="str">
            <v>WIP - VALEREX 20/25 (18 ltrs)</v>
          </cell>
        </row>
        <row r="144">
          <cell r="A144" t="str">
            <v>7225</v>
          </cell>
          <cell r="B144" t="str">
            <v>WIP - VALEREX 20/25 (20 ltrs)</v>
          </cell>
        </row>
        <row r="145">
          <cell r="A145" t="str">
            <v>7230</v>
          </cell>
          <cell r="B145" t="str">
            <v>WIP - VALEREX 20/25 (23 ltrs)</v>
          </cell>
        </row>
        <row r="146">
          <cell r="A146" t="str">
            <v>7235</v>
          </cell>
          <cell r="B146" t="str">
            <v>WIP - VALEREX 20/25 (25 ltrs)</v>
          </cell>
        </row>
        <row r="147">
          <cell r="A147" t="str">
            <v>7240</v>
          </cell>
          <cell r="B147" t="str">
            <v>WIP- V-20 REGRIND MATL.</v>
          </cell>
        </row>
        <row r="148">
          <cell r="A148" t="str">
            <v>7245</v>
          </cell>
          <cell r="B148" t="str">
            <v>WIP - V-20 TOP/ BASE</v>
          </cell>
        </row>
        <row r="149">
          <cell r="A149" t="str">
            <v>7300</v>
          </cell>
          <cell r="B149" t="str">
            <v>WIP - VALEREX 200/ 235</v>
          </cell>
        </row>
        <row r="150">
          <cell r="A150" t="str">
            <v>7305</v>
          </cell>
          <cell r="B150" t="str">
            <v>WIP - VALEREX 200</v>
          </cell>
        </row>
        <row r="151">
          <cell r="A151" t="str">
            <v>7310</v>
          </cell>
          <cell r="B151" t="str">
            <v>WIP - VALEREX 210</v>
          </cell>
        </row>
        <row r="152">
          <cell r="A152" t="str">
            <v>7315</v>
          </cell>
          <cell r="B152" t="str">
            <v>WIP - VALEREX 220</v>
          </cell>
        </row>
        <row r="153">
          <cell r="A153" t="str">
            <v>7320</v>
          </cell>
          <cell r="B153" t="str">
            <v>WIP - VALEREX 235</v>
          </cell>
        </row>
        <row r="154">
          <cell r="A154" t="str">
            <v>7325</v>
          </cell>
          <cell r="B154" t="str">
            <v>WIP - V- 200 TOP/ BOTTOM</v>
          </cell>
        </row>
        <row r="155">
          <cell r="A155" t="str">
            <v>7330</v>
          </cell>
          <cell r="B155" t="str">
            <v>WIP - V - 200 TUBE</v>
          </cell>
        </row>
        <row r="156">
          <cell r="A156" t="str">
            <v>7335</v>
          </cell>
          <cell r="B156" t="str">
            <v>WIP - VALEREX 200/235 (OHD)</v>
          </cell>
        </row>
        <row r="157">
          <cell r="A157" t="str">
            <v>7340</v>
          </cell>
          <cell r="B157" t="str">
            <v>WIP - VALEREX 200 (OHD)</v>
          </cell>
        </row>
        <row r="158">
          <cell r="A158" t="str">
            <v>7345</v>
          </cell>
          <cell r="B158" t="str">
            <v>WIP - VALEREX 210 (OHD)</v>
          </cell>
        </row>
        <row r="159">
          <cell r="A159" t="str">
            <v>7350</v>
          </cell>
          <cell r="B159" t="str">
            <v>WIP - VALEREX 220 (OHD)</v>
          </cell>
        </row>
        <row r="160">
          <cell r="A160" t="str">
            <v>7355</v>
          </cell>
          <cell r="B160" t="str">
            <v>WIP - VALEREX 235 (OHD)</v>
          </cell>
        </row>
        <row r="161">
          <cell r="A161" t="str">
            <v>7360</v>
          </cell>
          <cell r="B161">
            <v>0</v>
          </cell>
        </row>
        <row r="162">
          <cell r="A162" t="str">
            <v>7411</v>
          </cell>
          <cell r="B162" t="str">
            <v>WIP - BM REGRIND (COMMON)</v>
          </cell>
        </row>
        <row r="163">
          <cell r="A163" t="str">
            <v>7412</v>
          </cell>
          <cell r="B163" t="str">
            <v>WIP - BM NM 210 LTRS</v>
          </cell>
        </row>
        <row r="164">
          <cell r="A164" t="str">
            <v>7413</v>
          </cell>
          <cell r="B164" t="str">
            <v>WIP - BM NM 235 LTRS</v>
          </cell>
        </row>
        <row r="165">
          <cell r="A165" t="str">
            <v>7421</v>
          </cell>
          <cell r="B165" t="str">
            <v>WIP - BM OHD 200 LTRS</v>
          </cell>
        </row>
        <row r="166">
          <cell r="A166" t="str">
            <v>7422</v>
          </cell>
          <cell r="B166" t="str">
            <v>WIP - BM OHD 210 LTRS</v>
          </cell>
        </row>
        <row r="167">
          <cell r="A167" t="str">
            <v>7423</v>
          </cell>
          <cell r="B167" t="str">
            <v>WIP - BM OHD 235 LTRS</v>
          </cell>
        </row>
        <row r="168">
          <cell r="A168" t="str">
            <v>7430</v>
          </cell>
          <cell r="B168" t="str">
            <v>WIP - BM LINERS</v>
          </cell>
        </row>
        <row r="169">
          <cell r="A169" t="str">
            <v>7511</v>
          </cell>
          <cell r="B169" t="str">
            <v>WIP - BM NM 50 LTRS</v>
          </cell>
        </row>
        <row r="170">
          <cell r="A170" t="str">
            <v>7512</v>
          </cell>
          <cell r="B170" t="str">
            <v>WIP - BM NM 60 LTRS</v>
          </cell>
        </row>
        <row r="171">
          <cell r="A171" t="str">
            <v>7513</v>
          </cell>
          <cell r="B171" t="str">
            <v>WIP - BM NM 100 LTRS</v>
          </cell>
        </row>
        <row r="172">
          <cell r="A172" t="str">
            <v>7514</v>
          </cell>
          <cell r="B172" t="str">
            <v>WIP - BM NM 120 LTRS</v>
          </cell>
        </row>
        <row r="173">
          <cell r="A173" t="str">
            <v>7521</v>
          </cell>
          <cell r="B173" t="str">
            <v>WIP - BM WM 50 LTRS</v>
          </cell>
        </row>
        <row r="174">
          <cell r="A174" t="str">
            <v>7522</v>
          </cell>
          <cell r="B174" t="str">
            <v>WIP - BM WM 60 LTRS</v>
          </cell>
        </row>
        <row r="175">
          <cell r="A175" t="str">
            <v>7523</v>
          </cell>
          <cell r="B175" t="str">
            <v>WIP - BM WM 100 LTRS</v>
          </cell>
        </row>
        <row r="176">
          <cell r="A176" t="str">
            <v>7524</v>
          </cell>
          <cell r="B176" t="str">
            <v>WIP - BM WM 120 LTRS</v>
          </cell>
        </row>
        <row r="177">
          <cell r="A177" t="str">
            <v>7530</v>
          </cell>
          <cell r="B177" t="str">
            <v>WIP - BM OT 50 LTRS</v>
          </cell>
        </row>
        <row r="178">
          <cell r="A178" t="str">
            <v>7531</v>
          </cell>
          <cell r="B178" t="str">
            <v>WIP - BM OT 60 LTRS</v>
          </cell>
        </row>
        <row r="179">
          <cell r="A179" t="str">
            <v>7532</v>
          </cell>
          <cell r="B179" t="str">
            <v>WIP - BM OT 100 LTRS</v>
          </cell>
        </row>
        <row r="180">
          <cell r="A180" t="str">
            <v>7533</v>
          </cell>
          <cell r="B180" t="str">
            <v>WIP - BM OT 120 LTRS</v>
          </cell>
        </row>
        <row r="181">
          <cell r="A181" t="str">
            <v>7601</v>
          </cell>
          <cell r="B181" t="str">
            <v>WIP - BM NM 35 LTRS</v>
          </cell>
        </row>
        <row r="182">
          <cell r="A182" t="str">
            <v>7602</v>
          </cell>
          <cell r="B182" t="str">
            <v>WIP - BM NM 27 LTRS</v>
          </cell>
        </row>
        <row r="183">
          <cell r="A183" t="str">
            <v>7603</v>
          </cell>
          <cell r="B183" t="str">
            <v>WIP - BM NM 20 LTRS</v>
          </cell>
        </row>
        <row r="184">
          <cell r="A184" t="str">
            <v>7604</v>
          </cell>
          <cell r="B184" t="str">
            <v>WIP - BM NM 5 LTRS</v>
          </cell>
        </row>
        <row r="185">
          <cell r="A185" t="str">
            <v>7605</v>
          </cell>
          <cell r="B185" t="str">
            <v>WIP - BM SMALL CANS (5 LTRS)</v>
          </cell>
        </row>
        <row r="186">
          <cell r="A186" t="str">
            <v>7701</v>
          </cell>
          <cell r="B186" t="str">
            <v>WIP - SMARTPACK (HEAVY WT SP-1)</v>
          </cell>
        </row>
        <row r="187">
          <cell r="A187" t="str">
            <v>7702</v>
          </cell>
          <cell r="B187" t="str">
            <v>WIP - SMARTPACK (LIGHT WT SP-2)</v>
          </cell>
        </row>
        <row r="188">
          <cell r="A188" t="str">
            <v>7703</v>
          </cell>
          <cell r="B188" t="str">
            <v>WIP - SMARTPACK (SMALL WT SP-3)</v>
          </cell>
        </row>
        <row r="189">
          <cell r="A189" t="str">
            <v>7704</v>
          </cell>
          <cell r="B189" t="str">
            <v>WIP - NAMPAC (HEAVY WT SP-1)</v>
          </cell>
        </row>
        <row r="190">
          <cell r="A190" t="str">
            <v>8000</v>
          </cell>
          <cell r="B190" t="str">
            <v>CWIP</v>
          </cell>
        </row>
        <row r="191">
          <cell r="A191" t="str">
            <v>8010</v>
          </cell>
          <cell r="B191" t="str">
            <v>CWIP-PLANT &amp; MACHINERY</v>
          </cell>
        </row>
        <row r="192">
          <cell r="A192" t="str">
            <v>8020</v>
          </cell>
          <cell r="B192" t="str">
            <v>CWIP- OTHER ASSETS</v>
          </cell>
        </row>
        <row r="193">
          <cell r="A193" t="str">
            <v>8030</v>
          </cell>
          <cell r="B193" t="str">
            <v>SYSTEM EXPENSES</v>
          </cell>
        </row>
        <row r="194">
          <cell r="A194" t="str">
            <v>9100</v>
          </cell>
          <cell r="B194" t="str">
            <v>SERVICE CHARGES FOR V20 HANDLE</v>
          </cell>
        </row>
        <row r="195">
          <cell r="A195" t="str">
            <v>9105</v>
          </cell>
          <cell r="B195" t="str">
            <v>SERVICE CHARGES FOR DIN PLUG</v>
          </cell>
        </row>
        <row r="196">
          <cell r="A196" t="str">
            <v>9110</v>
          </cell>
          <cell r="B196" t="str">
            <v>REPAIRS TO MACHINES (SERVICE)</v>
          </cell>
        </row>
        <row r="197">
          <cell r="A197" t="str">
            <v>9210</v>
          </cell>
          <cell r="B197" t="str">
            <v>EX-PROFESSIONAL EXPENSES</v>
          </cell>
        </row>
        <row r="198">
          <cell r="A198" t="str">
            <v>9215</v>
          </cell>
          <cell r="B198" t="str">
            <v>EX-WELFARE EXPENSES WORKERS</v>
          </cell>
        </row>
        <row r="199">
          <cell r="A199" t="str">
            <v>9220</v>
          </cell>
          <cell r="B199" t="str">
            <v>REPAIRS TO BUILDING (SERVICE)</v>
          </cell>
        </row>
        <row r="200">
          <cell r="A200" t="str">
            <v>9225</v>
          </cell>
          <cell r="B200" t="str">
            <v>TRAINING &amp; CONFERANCE</v>
          </cell>
        </row>
      </sheetData>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fo"/>
      <sheetName val="Validations"/>
      <sheetName val="BS"/>
      <sheetName val="PL"/>
      <sheetName val="Cash Flow"/>
      <sheetName val="1,2,2.1"/>
      <sheetName val="3"/>
      <sheetName val="BS_Drop Down"/>
      <sheetName val="PL_Dropdown"/>
      <sheetName val="FAR"/>
      <sheetName val="OAR Sheet"/>
      <sheetName val="JV Sheet"/>
      <sheetName val="4,5,6,7,8,9,10,11"/>
      <sheetName val="11.1"/>
      <sheetName val="15,16,17,18"/>
      <sheetName val="19,20,21,22"/>
      <sheetName val="23,24,25,26"/>
    </sheetNames>
    <sheetDataSet>
      <sheetData sheetId="0"/>
      <sheetData sheetId="1"/>
      <sheetData sheetId="2">
        <row r="28">
          <cell r="C28">
            <v>573494435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9">
          <cell r="C69">
            <v>49109216</v>
          </cell>
        </row>
      </sheetData>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M&amp;Admin"/>
      <sheetName val="Accounts"/>
      <sheetName val="Cash flow"/>
      <sheetName val="Equity"/>
      <sheetName val="Investments"/>
      <sheetName val="Notes"/>
      <sheetName val="Int."/>
      <sheetName val="profit reco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S2groupcode"/>
      <sheetName val="Index"/>
      <sheetName val="준검 내역서"/>
      <sheetName val="Embk top (2)"/>
      <sheetName val="profit reco (2)"/>
      <sheetName val="Model"/>
      <sheetName val="fa"/>
      <sheetName val="maing1"/>
      <sheetName val="basdat"/>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stimate"/>
      <sheetName val="Financials -Jan 03-Mar04"/>
    </sheetNames>
    <sheetDataSet>
      <sheetData sheetId="0" refreshError="1">
        <row r="2">
          <cell r="A2" t="str">
            <v>CHHQOUGM001</v>
          </cell>
        </row>
        <row r="3">
          <cell r="A3" t="str">
            <v>SIELMLE7004</v>
          </cell>
        </row>
        <row r="4">
          <cell r="A4" t="str">
            <v>CHHQOUGM002</v>
          </cell>
        </row>
        <row r="5">
          <cell r="A5" t="str">
            <v>CHHQMSMS001</v>
          </cell>
        </row>
        <row r="6">
          <cell r="A6" t="str">
            <v>SIELAUAL001</v>
          </cell>
        </row>
        <row r="7">
          <cell r="A7" t="str">
            <v>SIELAUAL002</v>
          </cell>
        </row>
        <row r="8">
          <cell r="A8" t="str">
            <v>SIELAUAL003</v>
          </cell>
        </row>
        <row r="9">
          <cell r="A9" t="str">
            <v>SIELAUAL004</v>
          </cell>
        </row>
        <row r="10">
          <cell r="A10" t="str">
            <v>SIELAUAL005</v>
          </cell>
        </row>
        <row r="11">
          <cell r="A11" t="str">
            <v>SIELAUAL006</v>
          </cell>
        </row>
        <row r="12">
          <cell r="A12" t="str">
            <v>SIELAUAL007</v>
          </cell>
        </row>
        <row r="13">
          <cell r="A13" t="str">
            <v>SIELAUAL008</v>
          </cell>
        </row>
        <row r="14">
          <cell r="A14" t="str">
            <v>SIELAUAL009</v>
          </cell>
        </row>
        <row r="15">
          <cell r="A15" t="str">
            <v>SIELAUAL010</v>
          </cell>
        </row>
        <row r="16">
          <cell r="A16" t="str">
            <v>SIELAUAL011</v>
          </cell>
        </row>
        <row r="17">
          <cell r="A17" t="str">
            <v>SIELAUAL012</v>
          </cell>
        </row>
        <row r="18">
          <cell r="A18" t="str">
            <v>SIELAUAL013</v>
          </cell>
        </row>
        <row r="19">
          <cell r="A19" t="str">
            <v>SIELNOFT001</v>
          </cell>
        </row>
        <row r="20">
          <cell r="A20" t="str">
            <v>SIELITAL001</v>
          </cell>
        </row>
        <row r="21">
          <cell r="A21" t="str">
            <v>SIELMLC1001</v>
          </cell>
        </row>
        <row r="22">
          <cell r="A22" t="str">
            <v>SIELMLC1002</v>
          </cell>
        </row>
        <row r="23">
          <cell r="A23" t="str">
            <v>SIELMLC1003</v>
          </cell>
        </row>
        <row r="24">
          <cell r="A24" t="str">
            <v>SIELMLC1004</v>
          </cell>
        </row>
        <row r="25">
          <cell r="A25" t="str">
            <v>SIELMLC1005</v>
          </cell>
        </row>
        <row r="26">
          <cell r="A26" t="str">
            <v>SIELMLC1006</v>
          </cell>
        </row>
        <row r="27">
          <cell r="A27" t="str">
            <v>SIELMLC1007</v>
          </cell>
        </row>
        <row r="28">
          <cell r="A28" t="str">
            <v>SIELMLOU001</v>
          </cell>
        </row>
        <row r="29">
          <cell r="A29" t="str">
            <v>SIELMLOU002</v>
          </cell>
        </row>
        <row r="30">
          <cell r="A30" t="str">
            <v>SIELMLOU003</v>
          </cell>
        </row>
        <row r="31">
          <cell r="A31" t="str">
            <v>SIELMLOU004</v>
          </cell>
        </row>
        <row r="32">
          <cell r="A32" t="str">
            <v>SIELMLOU005</v>
          </cell>
        </row>
        <row r="33">
          <cell r="A33" t="str">
            <v>SIELMLOU006</v>
          </cell>
        </row>
        <row r="34">
          <cell r="A34" t="str">
            <v>SIELMLOU007</v>
          </cell>
        </row>
        <row r="35">
          <cell r="A35" t="str">
            <v>SIELMLOU008</v>
          </cell>
        </row>
        <row r="36">
          <cell r="A36" t="str">
            <v>SIELMOAL001</v>
          </cell>
        </row>
        <row r="37">
          <cell r="A37" t="str">
            <v>SIELMOAL002</v>
          </cell>
        </row>
        <row r="38">
          <cell r="A38" t="str">
            <v>SIELMOAL003</v>
          </cell>
        </row>
        <row r="39">
          <cell r="A39" t="str">
            <v>SIELMOAL004</v>
          </cell>
        </row>
        <row r="40">
          <cell r="A40" t="str">
            <v>SIELMOAL005</v>
          </cell>
        </row>
        <row r="41">
          <cell r="A41" t="str">
            <v>SIELMOAL006</v>
          </cell>
        </row>
        <row r="42">
          <cell r="A42" t="str">
            <v>SIELMOAL007</v>
          </cell>
        </row>
        <row r="43">
          <cell r="A43" t="str">
            <v>SIELMOAL008</v>
          </cell>
        </row>
        <row r="44">
          <cell r="A44" t="str">
            <v>SIELMOMB001</v>
          </cell>
        </row>
        <row r="45">
          <cell r="A45" t="str">
            <v>SIELMOMB002</v>
          </cell>
        </row>
        <row r="46">
          <cell r="A46" t="str">
            <v>SIELMOMB003</v>
          </cell>
        </row>
        <row r="47">
          <cell r="A47" t="str">
            <v>SIELMOMB004</v>
          </cell>
        </row>
        <row r="48">
          <cell r="A48" t="str">
            <v>SIELMOMB006</v>
          </cell>
        </row>
        <row r="49">
          <cell r="A49" t="str">
            <v>SIELMOMB007</v>
          </cell>
        </row>
        <row r="50">
          <cell r="A50" t="str">
            <v>SIELMOMB008</v>
          </cell>
        </row>
        <row r="51">
          <cell r="A51" t="str">
            <v>SIELMOMB009</v>
          </cell>
        </row>
        <row r="52">
          <cell r="A52" t="str">
            <v>SIELMOMB010</v>
          </cell>
        </row>
        <row r="53">
          <cell r="A53" t="str">
            <v>SIELMOMB011</v>
          </cell>
        </row>
        <row r="54">
          <cell r="A54" t="str">
            <v>SIELMOMB012</v>
          </cell>
        </row>
        <row r="55">
          <cell r="A55" t="str">
            <v>SIELMOMB013</v>
          </cell>
        </row>
        <row r="56">
          <cell r="A56" t="str">
            <v>SIELMOMB014</v>
          </cell>
        </row>
        <row r="57">
          <cell r="A57" t="str">
            <v>SIELMOMB015</v>
          </cell>
        </row>
        <row r="58">
          <cell r="A58" t="str">
            <v>SIELMOOU001</v>
          </cell>
        </row>
        <row r="59">
          <cell r="A59" t="str">
            <v>SIELSSKJ001</v>
          </cell>
        </row>
        <row r="60">
          <cell r="A60" t="str">
            <v>SIELSSKJ002</v>
          </cell>
        </row>
        <row r="61">
          <cell r="A61" t="str">
            <v>TRITALCO001</v>
          </cell>
        </row>
        <row r="62">
          <cell r="A62" t="str">
            <v>SIELMLC1008</v>
          </cell>
        </row>
        <row r="63">
          <cell r="A63" t="str">
            <v>SIELMLC1009</v>
          </cell>
        </row>
        <row r="64">
          <cell r="A64" t="str">
            <v>SIELMLC1010</v>
          </cell>
        </row>
        <row r="65">
          <cell r="A65" t="str">
            <v>SIELMLC1011</v>
          </cell>
        </row>
        <row r="66">
          <cell r="A66" t="str">
            <v>SIELMLC1012</v>
          </cell>
        </row>
        <row r="67">
          <cell r="A67" t="str">
            <v>SIELMLC1013</v>
          </cell>
        </row>
        <row r="68">
          <cell r="A68" t="str">
            <v>TRITALCO002</v>
          </cell>
        </row>
        <row r="69">
          <cell r="A69" t="str">
            <v>SIELAUAL014</v>
          </cell>
        </row>
        <row r="70">
          <cell r="A70" t="str">
            <v>SIELAUAL015</v>
          </cell>
        </row>
        <row r="71">
          <cell r="A71" t="str">
            <v>SIELMLC1014</v>
          </cell>
        </row>
        <row r="72">
          <cell r="A72" t="str">
            <v>SIELMLC1015</v>
          </cell>
        </row>
        <row r="73">
          <cell r="A73" t="str">
            <v>SIELMOMB016</v>
          </cell>
        </row>
        <row r="74">
          <cell r="A74" t="str">
            <v>SIELMLOU009</v>
          </cell>
        </row>
        <row r="75">
          <cell r="A75" t="str">
            <v>SIELMLOU010</v>
          </cell>
        </row>
        <row r="76">
          <cell r="A76" t="str">
            <v>SIELMLOU011</v>
          </cell>
        </row>
        <row r="77">
          <cell r="A77" t="str">
            <v>SIELMLOU012</v>
          </cell>
        </row>
        <row r="78">
          <cell r="A78" t="str">
            <v>SIELMLOU013</v>
          </cell>
        </row>
        <row r="79">
          <cell r="A79" t="str">
            <v>SIELMLOU014</v>
          </cell>
        </row>
        <row r="80">
          <cell r="A80" t="str">
            <v>SIELMLOU015</v>
          </cell>
        </row>
        <row r="81">
          <cell r="A81" t="str">
            <v>SIELMOMB017</v>
          </cell>
        </row>
        <row r="82">
          <cell r="A82" t="str">
            <v>SIELRFCO001</v>
          </cell>
        </row>
        <row r="83">
          <cell r="A83" t="str">
            <v>SIELRFCO002</v>
          </cell>
        </row>
        <row r="84">
          <cell r="A84" t="str">
            <v>SIELAUAL016</v>
          </cell>
        </row>
        <row r="85">
          <cell r="A85" t="str">
            <v>SIELALEX001</v>
          </cell>
        </row>
        <row r="86">
          <cell r="A86" t="str">
            <v>PORTMLAL001</v>
          </cell>
        </row>
        <row r="87">
          <cell r="A87" t="str">
            <v>OGMAMLAL001</v>
          </cell>
        </row>
        <row r="88">
          <cell r="A88" t="str">
            <v>MUDRCOAL001</v>
          </cell>
        </row>
        <row r="89">
          <cell r="A89" t="str">
            <v>MUDRCOAL002</v>
          </cell>
        </row>
        <row r="90">
          <cell r="A90" t="str">
            <v>MUDRCOAL003</v>
          </cell>
        </row>
        <row r="91">
          <cell r="A91" t="str">
            <v>TRITALCO003</v>
          </cell>
        </row>
        <row r="92">
          <cell r="A92" t="str">
            <v>SIELMLC1016</v>
          </cell>
        </row>
        <row r="93">
          <cell r="A93" t="str">
            <v>SIELAUAL017</v>
          </cell>
        </row>
        <row r="94">
          <cell r="A94" t="str">
            <v>SIELCRAL001</v>
          </cell>
        </row>
        <row r="95">
          <cell r="A95" t="str">
            <v>SIELMLC1017</v>
          </cell>
        </row>
        <row r="96">
          <cell r="A96" t="str">
            <v>SIELMLC1018</v>
          </cell>
        </row>
        <row r="97">
          <cell r="A97" t="str">
            <v>SIELMOMB018</v>
          </cell>
        </row>
        <row r="98">
          <cell r="A98" t="str">
            <v>SIELMOMB019</v>
          </cell>
        </row>
        <row r="99">
          <cell r="A99" t="str">
            <v>SIELMLOU016</v>
          </cell>
        </row>
        <row r="100">
          <cell r="A100" t="str">
            <v>SIELCDAL001</v>
          </cell>
        </row>
        <row r="101">
          <cell r="A101" t="str">
            <v>SIELCDAL002</v>
          </cell>
        </row>
        <row r="102">
          <cell r="A102" t="str">
            <v>SIELMLAL001</v>
          </cell>
        </row>
        <row r="103">
          <cell r="A103" t="str">
            <v>SIELMOMB020</v>
          </cell>
        </row>
        <row r="104">
          <cell r="A104" t="str">
            <v>SIELMLC1019</v>
          </cell>
        </row>
        <row r="105">
          <cell r="A105" t="str">
            <v>SIELMLC1020</v>
          </cell>
        </row>
        <row r="106">
          <cell r="A106" t="str">
            <v>SIELMLC1021</v>
          </cell>
        </row>
        <row r="107">
          <cell r="A107" t="str">
            <v>CHHQCDML001</v>
          </cell>
        </row>
        <row r="108">
          <cell r="A108" t="str">
            <v>CHHQCDML002</v>
          </cell>
        </row>
        <row r="109">
          <cell r="A109" t="str">
            <v>CHHQCDML003</v>
          </cell>
        </row>
        <row r="110">
          <cell r="A110" t="str">
            <v>CHHQCDML004</v>
          </cell>
        </row>
        <row r="111">
          <cell r="A111" t="str">
            <v>SIELMOMB021</v>
          </cell>
        </row>
        <row r="112">
          <cell r="A112" t="str">
            <v>SIELCDAL003</v>
          </cell>
        </row>
        <row r="113">
          <cell r="A113" t="str">
            <v>SIELMLOU017</v>
          </cell>
        </row>
        <row r="114">
          <cell r="A114" t="str">
            <v>SIELMLC1022</v>
          </cell>
        </row>
        <row r="115">
          <cell r="A115" t="str">
            <v>SIELMOOU002</v>
          </cell>
        </row>
        <row r="116">
          <cell r="A116" t="str">
            <v>SIELMOMB022</v>
          </cell>
        </row>
        <row r="117">
          <cell r="A117" t="str">
            <v>SIELMLC1023</v>
          </cell>
        </row>
        <row r="118">
          <cell r="A118" t="str">
            <v>SIELMLC1024</v>
          </cell>
        </row>
        <row r="119">
          <cell r="A119" t="str">
            <v>CHHQINCN001</v>
          </cell>
        </row>
        <row r="120">
          <cell r="A120" t="str">
            <v>SIELCDAL004</v>
          </cell>
        </row>
        <row r="121">
          <cell r="A121" t="str">
            <v>SIELCDAL005</v>
          </cell>
        </row>
        <row r="122">
          <cell r="A122" t="str">
            <v>SIELRFCO003</v>
          </cell>
        </row>
        <row r="123">
          <cell r="A123" t="str">
            <v>SIELMLC1025</v>
          </cell>
        </row>
        <row r="124">
          <cell r="A124" t="str">
            <v>SIELMLE7001</v>
          </cell>
        </row>
        <row r="125">
          <cell r="A125" t="str">
            <v>SIELMOAL009</v>
          </cell>
        </row>
        <row r="126">
          <cell r="A126" t="str">
            <v>SIELCDAL006</v>
          </cell>
        </row>
        <row r="127">
          <cell r="A127" t="str">
            <v>SIELCDAL007</v>
          </cell>
        </row>
        <row r="128">
          <cell r="A128" t="str">
            <v>SIELMLOU018</v>
          </cell>
        </row>
        <row r="129">
          <cell r="A129" t="str">
            <v>SIELMLOU019</v>
          </cell>
        </row>
        <row r="130">
          <cell r="A130" t="str">
            <v>SIELMLAL002</v>
          </cell>
        </row>
        <row r="131">
          <cell r="A131" t="str">
            <v>SIELMLAL003</v>
          </cell>
        </row>
        <row r="132">
          <cell r="A132" t="str">
            <v>SIELCRAL002</v>
          </cell>
        </row>
        <row r="133">
          <cell r="A133" t="str">
            <v>SIELMLGS001</v>
          </cell>
        </row>
        <row r="134">
          <cell r="A134" t="str">
            <v>SIELMLGS002</v>
          </cell>
        </row>
        <row r="135">
          <cell r="A135" t="str">
            <v>SIELMLGS003</v>
          </cell>
        </row>
        <row r="136">
          <cell r="A136" t="str">
            <v>SIELMLGS004</v>
          </cell>
        </row>
        <row r="137">
          <cell r="A137" t="str">
            <v>SIELMLGS005</v>
          </cell>
        </row>
        <row r="138">
          <cell r="A138" t="str">
            <v>SIELMLGS006</v>
          </cell>
        </row>
        <row r="139">
          <cell r="A139" t="str">
            <v>SIELMLGS007</v>
          </cell>
        </row>
        <row r="140">
          <cell r="A140" t="str">
            <v>SAPLMLGS001</v>
          </cell>
        </row>
        <row r="141">
          <cell r="A141" t="str">
            <v>SIELGRWM001</v>
          </cell>
        </row>
        <row r="142">
          <cell r="A142" t="str">
            <v>SIELMLC1026</v>
          </cell>
        </row>
        <row r="143">
          <cell r="A143" t="str">
            <v>SIELLPAL001</v>
          </cell>
        </row>
        <row r="144">
          <cell r="A144" t="str">
            <v>SECLMLAL001</v>
          </cell>
        </row>
        <row r="145">
          <cell r="A145" t="str">
            <v>SECLMLAL002</v>
          </cell>
        </row>
        <row r="146">
          <cell r="A146" t="str">
            <v>SECLMLAL003</v>
          </cell>
        </row>
        <row r="147">
          <cell r="A147" t="str">
            <v>SECLMLAL004</v>
          </cell>
        </row>
        <row r="148">
          <cell r="A148" t="str">
            <v>CHHQCDML005</v>
          </cell>
        </row>
        <row r="149">
          <cell r="A149" t="str">
            <v>SIELAUAL018</v>
          </cell>
        </row>
        <row r="150">
          <cell r="A150" t="str">
            <v>MUDRCOAL004</v>
          </cell>
        </row>
        <row r="151">
          <cell r="A151" t="str">
            <v>MUDRCOAL005</v>
          </cell>
        </row>
        <row r="152">
          <cell r="A152" t="str">
            <v>SIELLPAL002</v>
          </cell>
        </row>
        <row r="153">
          <cell r="A153" t="str">
            <v>SIELMLAL004</v>
          </cell>
        </row>
        <row r="154">
          <cell r="A154" t="str">
            <v>SIELLPAL003</v>
          </cell>
        </row>
        <row r="155">
          <cell r="A155" t="str">
            <v>SIELLPAL004</v>
          </cell>
        </row>
        <row r="156">
          <cell r="A156" t="str">
            <v>SIELLPAL005</v>
          </cell>
        </row>
        <row r="157">
          <cell r="A157" t="str">
            <v>SIELLPAL006</v>
          </cell>
        </row>
        <row r="158">
          <cell r="A158" t="str">
            <v>SIELMLAL005</v>
          </cell>
        </row>
        <row r="159">
          <cell r="A159" t="str">
            <v>SIELLPAL007</v>
          </cell>
        </row>
        <row r="160">
          <cell r="A160" t="str">
            <v>SIELITAL002</v>
          </cell>
        </row>
        <row r="161">
          <cell r="A161" t="str">
            <v>SIELITAL003</v>
          </cell>
        </row>
        <row r="162">
          <cell r="A162" t="str">
            <v>SIELMLOU020</v>
          </cell>
        </row>
        <row r="163">
          <cell r="A163" t="str">
            <v>SIELMLOU021</v>
          </cell>
        </row>
        <row r="164">
          <cell r="A164" t="str">
            <v>SIELMLOU022</v>
          </cell>
        </row>
        <row r="165">
          <cell r="A165" t="str">
            <v>SIELLPAL009</v>
          </cell>
        </row>
        <row r="166">
          <cell r="A166" t="str">
            <v>SIELMLAL006</v>
          </cell>
        </row>
        <row r="167">
          <cell r="A167" t="str">
            <v>SIELMLC1027</v>
          </cell>
        </row>
        <row r="168">
          <cell r="A168" t="str">
            <v>SIELAUAL019</v>
          </cell>
        </row>
        <row r="169">
          <cell r="A169" t="str">
            <v>SIELITAL004</v>
          </cell>
        </row>
        <row r="170">
          <cell r="A170" t="str">
            <v>SIELITAL005</v>
          </cell>
        </row>
        <row r="171">
          <cell r="A171" t="str">
            <v>SIELITAL006</v>
          </cell>
        </row>
        <row r="172">
          <cell r="A172" t="str">
            <v>SIELITAL007</v>
          </cell>
        </row>
        <row r="173">
          <cell r="A173" t="str">
            <v>SIELCDAL008</v>
          </cell>
        </row>
        <row r="174">
          <cell r="A174" t="str">
            <v>SIELACAL001</v>
          </cell>
        </row>
        <row r="175">
          <cell r="A175" t="str">
            <v>SIELACAL002</v>
          </cell>
        </row>
        <row r="176">
          <cell r="A176" t="str">
            <v>SIELAUAL020</v>
          </cell>
        </row>
        <row r="177">
          <cell r="A177" t="str">
            <v>SIELMLC1028</v>
          </cell>
        </row>
        <row r="178">
          <cell r="A178" t="str">
            <v>SIELMLC1029</v>
          </cell>
        </row>
        <row r="179">
          <cell r="A179" t="str">
            <v>SIELMLC1030</v>
          </cell>
        </row>
        <row r="180">
          <cell r="A180" t="str">
            <v>SIELMLC1031</v>
          </cell>
        </row>
        <row r="181">
          <cell r="A181" t="str">
            <v>SIELMLC1031</v>
          </cell>
        </row>
        <row r="182">
          <cell r="A182" t="str">
            <v>SIELMLC1032</v>
          </cell>
        </row>
        <row r="183">
          <cell r="A183" t="str">
            <v>SIELLPAL010</v>
          </cell>
        </row>
        <row r="184">
          <cell r="A184" t="str">
            <v>SIELITAL008</v>
          </cell>
        </row>
        <row r="185">
          <cell r="A185" t="str">
            <v>SIELMLC1033</v>
          </cell>
        </row>
        <row r="186">
          <cell r="A186" t="str">
            <v>SIELLPAL011</v>
          </cell>
        </row>
        <row r="187">
          <cell r="A187" t="str">
            <v>SIELMOAL010</v>
          </cell>
        </row>
        <row r="188">
          <cell r="A188" t="str">
            <v>SIELMLAL007</v>
          </cell>
        </row>
        <row r="189">
          <cell r="A189" t="str">
            <v>SIELMLE7002</v>
          </cell>
        </row>
        <row r="190">
          <cell r="A190" t="str">
            <v>SIELMLOU023</v>
          </cell>
        </row>
        <row r="191">
          <cell r="A191" t="str">
            <v>SIELMLOU024</v>
          </cell>
        </row>
        <row r="192">
          <cell r="A192" t="str">
            <v>SIELLPOU012</v>
          </cell>
        </row>
        <row r="193">
          <cell r="A193" t="str">
            <v>SIELCDAL009</v>
          </cell>
        </row>
        <row r="194">
          <cell r="A194" t="str">
            <v>SIELCDAL010</v>
          </cell>
        </row>
        <row r="195">
          <cell r="A195" t="str">
            <v>SIELCDAL011</v>
          </cell>
        </row>
        <row r="196">
          <cell r="A196" t="str">
            <v>SIELITAL009</v>
          </cell>
        </row>
        <row r="197">
          <cell r="A197" t="str">
            <v>SIELMLE7003</v>
          </cell>
        </row>
        <row r="198">
          <cell r="A198" t="str">
            <v>SIELAUAL021</v>
          </cell>
        </row>
        <row r="199">
          <cell r="A199" t="str">
            <v>SIELITAL010</v>
          </cell>
        </row>
        <row r="200">
          <cell r="A200" t="str">
            <v>SIELMLOU025</v>
          </cell>
        </row>
        <row r="201">
          <cell r="A201" t="str">
            <v>SIELMLOU026</v>
          </cell>
        </row>
        <row r="202">
          <cell r="A202" t="str">
            <v>SIELMLOU027</v>
          </cell>
        </row>
        <row r="203">
          <cell r="A203" t="str">
            <v>SIELMLOU028</v>
          </cell>
        </row>
        <row r="204">
          <cell r="A204" t="str">
            <v>SIELMLOU029</v>
          </cell>
        </row>
        <row r="205">
          <cell r="A205" t="str">
            <v>TRITALCO004</v>
          </cell>
        </row>
        <row r="206">
          <cell r="A206" t="str">
            <v>SIELMLC1034</v>
          </cell>
        </row>
        <row r="207">
          <cell r="A207" t="str">
            <v>SIELMLC1035</v>
          </cell>
        </row>
        <row r="208">
          <cell r="A208" t="str">
            <v>SIELMLC1036</v>
          </cell>
        </row>
        <row r="209">
          <cell r="A209" t="str">
            <v>SIELMLE7005</v>
          </cell>
        </row>
        <row r="210">
          <cell r="A210" t="str">
            <v>SIELCDAL012</v>
          </cell>
        </row>
        <row r="211">
          <cell r="A211" t="str">
            <v>SIELMLAL008</v>
          </cell>
        </row>
        <row r="212">
          <cell r="A212" t="str">
            <v>SIELAUAL022</v>
          </cell>
        </row>
        <row r="213">
          <cell r="A213" t="str">
            <v>SIELAUAL023</v>
          </cell>
        </row>
        <row r="214">
          <cell r="A214" t="str">
            <v>SIELLPOU013</v>
          </cell>
        </row>
        <row r="215">
          <cell r="A215" t="str">
            <v>SIELMLAL009</v>
          </cell>
        </row>
        <row r="216">
          <cell r="A216">
            <v>0</v>
          </cell>
        </row>
        <row r="217">
          <cell r="A217">
            <v>0</v>
          </cell>
        </row>
        <row r="218">
          <cell r="A218" t="str">
            <v>SIELSSAL001</v>
          </cell>
        </row>
        <row r="219">
          <cell r="A219" t="str">
            <v>SIELMLC1037</v>
          </cell>
        </row>
        <row r="220">
          <cell r="A220" t="str">
            <v>SIELCDAL013</v>
          </cell>
        </row>
        <row r="221">
          <cell r="A221" t="str">
            <v>SIELCTAL014</v>
          </cell>
        </row>
        <row r="222">
          <cell r="A222" t="str">
            <v>SIELCTAL015</v>
          </cell>
        </row>
        <row r="223">
          <cell r="A223" t="str">
            <v>SIELMLE7006</v>
          </cell>
        </row>
        <row r="224">
          <cell r="A224" t="str">
            <v>SIELCDAL014</v>
          </cell>
        </row>
        <row r="225">
          <cell r="A225" t="str">
            <v>SIELMLAL010</v>
          </cell>
        </row>
        <row r="226">
          <cell r="A226">
            <v>0</v>
          </cell>
        </row>
        <row r="227">
          <cell r="A227" t="str">
            <v>SIELMLAL011</v>
          </cell>
        </row>
        <row r="228">
          <cell r="A228" t="str">
            <v>SIELMLAL012</v>
          </cell>
        </row>
        <row r="229">
          <cell r="A229" t="str">
            <v>SIELMLE7007</v>
          </cell>
        </row>
        <row r="230">
          <cell r="A230" t="str">
            <v>SIELMLAL013</v>
          </cell>
        </row>
        <row r="231">
          <cell r="A231" t="str">
            <v>MUDRCOAL006</v>
          </cell>
        </row>
        <row r="232">
          <cell r="A232">
            <v>0</v>
          </cell>
        </row>
        <row r="233">
          <cell r="A233">
            <v>0</v>
          </cell>
        </row>
        <row r="234">
          <cell r="A234">
            <v>0</v>
          </cell>
        </row>
        <row r="235">
          <cell r="A235">
            <v>0</v>
          </cell>
        </row>
        <row r="236">
          <cell r="A236">
            <v>0</v>
          </cell>
        </row>
        <row r="237">
          <cell r="A237" t="str">
            <v>SIELMLOU030</v>
          </cell>
        </row>
        <row r="238">
          <cell r="A238" t="str">
            <v>SIELMLOU031</v>
          </cell>
        </row>
        <row r="239">
          <cell r="A239" t="str">
            <v>SIELMLOU032</v>
          </cell>
        </row>
        <row r="240">
          <cell r="A240" t="str">
            <v>SIELLPAL014</v>
          </cell>
        </row>
        <row r="241">
          <cell r="A241" t="str">
            <v>SIELLPAL015</v>
          </cell>
        </row>
        <row r="242">
          <cell r="A242" t="str">
            <v>SIELLPAL016</v>
          </cell>
        </row>
        <row r="243">
          <cell r="A243" t="str">
            <v>SIELLPAL017</v>
          </cell>
        </row>
        <row r="244">
          <cell r="A244" t="str">
            <v>SIELLPAL018</v>
          </cell>
        </row>
        <row r="245">
          <cell r="A245" t="str">
            <v>SIELMLS5001</v>
          </cell>
        </row>
        <row r="246">
          <cell r="A246" t="str">
            <v>SIELMLGS008</v>
          </cell>
        </row>
        <row r="247">
          <cell r="A247" t="str">
            <v>CHHQMLAL001</v>
          </cell>
        </row>
        <row r="248">
          <cell r="A248" t="str">
            <v>CHHQMLAL002</v>
          </cell>
        </row>
        <row r="249">
          <cell r="A249" t="str">
            <v>CHHQMLAL003</v>
          </cell>
        </row>
        <row r="250">
          <cell r="A250" t="str">
            <v>SIELAUAL024</v>
          </cell>
        </row>
        <row r="251">
          <cell r="A251" t="str">
            <v>SIELAUAL025</v>
          </cell>
        </row>
        <row r="252">
          <cell r="A252" t="str">
            <v>SIELLPAL019</v>
          </cell>
        </row>
        <row r="253">
          <cell r="A253" t="str">
            <v>SIELMLC1038</v>
          </cell>
        </row>
        <row r="254">
          <cell r="A254" t="str">
            <v>SIELMLC1039</v>
          </cell>
        </row>
        <row r="255">
          <cell r="A255" t="str">
            <v>SIELAUAL026</v>
          </cell>
        </row>
        <row r="256">
          <cell r="A256" t="str">
            <v>SIELAUAL027</v>
          </cell>
        </row>
        <row r="257">
          <cell r="A257" t="str">
            <v>SIELMLAL014</v>
          </cell>
        </row>
        <row r="258">
          <cell r="A258" t="str">
            <v>SIELLPAL020</v>
          </cell>
        </row>
        <row r="259">
          <cell r="A259" t="str">
            <v>SIELLPAL021</v>
          </cell>
        </row>
        <row r="260">
          <cell r="A260" t="str">
            <v>SIELCTAL016</v>
          </cell>
        </row>
        <row r="261">
          <cell r="A261" t="str">
            <v>SIELMLAL015</v>
          </cell>
        </row>
        <row r="262">
          <cell r="A262" t="str">
            <v>SIELLPAL022</v>
          </cell>
        </row>
        <row r="263">
          <cell r="A263" t="str">
            <v>SIELLPAL023</v>
          </cell>
        </row>
        <row r="264">
          <cell r="A264" t="str">
            <v>SIELMLE7008</v>
          </cell>
        </row>
        <row r="265">
          <cell r="A265" t="str">
            <v>SIELMLR2016</v>
          </cell>
        </row>
        <row r="266">
          <cell r="A266" t="str">
            <v>SIELMLR2017</v>
          </cell>
        </row>
        <row r="267">
          <cell r="A267">
            <v>0</v>
          </cell>
        </row>
        <row r="268">
          <cell r="A268" t="str">
            <v>SIELPRAL001</v>
          </cell>
        </row>
        <row r="269">
          <cell r="A269" t="str">
            <v>SIELMLE7009</v>
          </cell>
        </row>
        <row r="270">
          <cell r="A270" t="str">
            <v>SIELLPAL024</v>
          </cell>
        </row>
        <row r="271">
          <cell r="A271" t="str">
            <v>SIELACAL003</v>
          </cell>
        </row>
        <row r="272">
          <cell r="A272" t="str">
            <v>SIELCTAL017</v>
          </cell>
        </row>
        <row r="273">
          <cell r="A273" t="str">
            <v>MUDRCOAL007</v>
          </cell>
        </row>
        <row r="274">
          <cell r="A274" t="str">
            <v>SIELACAL004</v>
          </cell>
        </row>
        <row r="275">
          <cell r="A275" t="str">
            <v>SIELMLS5002</v>
          </cell>
        </row>
        <row r="276">
          <cell r="A276" t="str">
            <v>SIELMLS5002</v>
          </cell>
        </row>
        <row r="277">
          <cell r="A277" t="str">
            <v>SIELMLAL016</v>
          </cell>
        </row>
        <row r="278">
          <cell r="A278" t="str">
            <v>SIELACAL005</v>
          </cell>
        </row>
        <row r="279">
          <cell r="A279" t="str">
            <v>MUDRCOAL008</v>
          </cell>
        </row>
        <row r="280">
          <cell r="A280" t="str">
            <v>SIELACAL006</v>
          </cell>
        </row>
        <row r="281">
          <cell r="A281" t="str">
            <v>SIELMLS5003</v>
          </cell>
        </row>
        <row r="282">
          <cell r="A282" t="str">
            <v>SIELMLS5004</v>
          </cell>
        </row>
        <row r="283">
          <cell r="A283" t="str">
            <v>SIELMLOU033</v>
          </cell>
        </row>
        <row r="284">
          <cell r="A284" t="str">
            <v>SIELMLC1040</v>
          </cell>
        </row>
        <row r="285">
          <cell r="A285" t="str">
            <v>SIELCTAL018</v>
          </cell>
        </row>
        <row r="286">
          <cell r="A286" t="str">
            <v>SIELMLC1041</v>
          </cell>
        </row>
        <row r="287">
          <cell r="A287" t="str">
            <v>SIELMLC1042</v>
          </cell>
        </row>
        <row r="288">
          <cell r="A288" t="str">
            <v>SIELPRAL002</v>
          </cell>
        </row>
        <row r="289">
          <cell r="A289" t="str">
            <v>SIELCTAL019</v>
          </cell>
        </row>
        <row r="290">
          <cell r="A290" t="str">
            <v>SIELPRAL003</v>
          </cell>
        </row>
        <row r="291">
          <cell r="A291" t="str">
            <v>SIELMLAL017</v>
          </cell>
        </row>
        <row r="292">
          <cell r="A292" t="str">
            <v>SIELLPAL025</v>
          </cell>
        </row>
        <row r="293">
          <cell r="A293" t="str">
            <v>SIELDVDAL001</v>
          </cell>
        </row>
        <row r="294">
          <cell r="A294" t="str">
            <v>SIELMLC1043</v>
          </cell>
        </row>
        <row r="295">
          <cell r="A295" t="str">
            <v>SIELMLE7010</v>
          </cell>
        </row>
        <row r="296">
          <cell r="A296" t="str">
            <v>SIELMLE7011</v>
          </cell>
        </row>
        <row r="297">
          <cell r="A297" t="str">
            <v>SIEL MOAL001</v>
          </cell>
        </row>
        <row r="298">
          <cell r="A298" t="str">
            <v>SIELMLS5005</v>
          </cell>
        </row>
        <row r="299">
          <cell r="A299" t="str">
            <v>SIELMLS5006</v>
          </cell>
        </row>
        <row r="300">
          <cell r="A300" t="str">
            <v>SIELLPAL026</v>
          </cell>
        </row>
        <row r="301">
          <cell r="A301" t="str">
            <v>SIELCTAL020</v>
          </cell>
        </row>
        <row r="302">
          <cell r="A302" t="str">
            <v>SIELACAL007</v>
          </cell>
        </row>
        <row r="303">
          <cell r="A303" t="str">
            <v>SIELMLE7012</v>
          </cell>
        </row>
        <row r="304">
          <cell r="A304" t="str">
            <v>SIELMLE7013</v>
          </cell>
        </row>
        <row r="305">
          <cell r="A305" t="str">
            <v>SIELACAL008</v>
          </cell>
        </row>
        <row r="306">
          <cell r="A306" t="str">
            <v>SIELACAL009</v>
          </cell>
        </row>
        <row r="307">
          <cell r="A307" t="str">
            <v>SIELMLC1044</v>
          </cell>
        </row>
        <row r="308">
          <cell r="A308" t="str">
            <v>SIELMLC1045</v>
          </cell>
        </row>
        <row r="309">
          <cell r="A309" t="str">
            <v>SIELMLC1046</v>
          </cell>
        </row>
        <row r="310">
          <cell r="A310" t="str">
            <v>SIELMLC1047</v>
          </cell>
        </row>
        <row r="311">
          <cell r="A311" t="str">
            <v>SIELLPAL027</v>
          </cell>
        </row>
        <row r="312">
          <cell r="A312" t="str">
            <v>SIELACAL010</v>
          </cell>
        </row>
        <row r="313">
          <cell r="A313" t="str">
            <v>SIELMLC1048</v>
          </cell>
        </row>
        <row r="314">
          <cell r="A314" t="str">
            <v>SIELMLC1049</v>
          </cell>
        </row>
        <row r="315">
          <cell r="A315" t="str">
            <v>SIELMLOU034</v>
          </cell>
        </row>
        <row r="316">
          <cell r="A316" t="str">
            <v>SIELMLOU035</v>
          </cell>
        </row>
        <row r="317">
          <cell r="A317" t="str">
            <v>SIELMLAL018</v>
          </cell>
        </row>
        <row r="318">
          <cell r="A318" t="str">
            <v>SIELMLAL019</v>
          </cell>
        </row>
        <row r="319">
          <cell r="A319" t="str">
            <v>SIELMLAL020</v>
          </cell>
        </row>
        <row r="320">
          <cell r="A320">
            <v>0</v>
          </cell>
        </row>
        <row r="321">
          <cell r="A321" t="str">
            <v>SAPLCTAL001</v>
          </cell>
        </row>
        <row r="322">
          <cell r="A322" t="str">
            <v>SAPLCTAL002</v>
          </cell>
        </row>
        <row r="323">
          <cell r="A323" t="str">
            <v>SIELMLC1050</v>
          </cell>
        </row>
        <row r="324">
          <cell r="A324" t="str">
            <v>SIELMLC1051</v>
          </cell>
        </row>
        <row r="325">
          <cell r="A325" t="str">
            <v>SIELMLAL021</v>
          </cell>
        </row>
        <row r="326">
          <cell r="A326" t="str">
            <v>SIELMLAL022</v>
          </cell>
        </row>
        <row r="327">
          <cell r="A327" t="str">
            <v>SIELACAL011</v>
          </cell>
        </row>
        <row r="328">
          <cell r="A328" t="str">
            <v>SIELCTAL021</v>
          </cell>
        </row>
        <row r="329">
          <cell r="A329" t="str">
            <v>SIELCTAL022</v>
          </cell>
        </row>
        <row r="330">
          <cell r="A330" t="str">
            <v>SIELMLAL023</v>
          </cell>
        </row>
        <row r="331">
          <cell r="A331" t="str">
            <v>SIELCTAL023</v>
          </cell>
        </row>
        <row r="332">
          <cell r="A332" t="str">
            <v>SIELPRAL004</v>
          </cell>
        </row>
        <row r="333">
          <cell r="A333" t="str">
            <v>SIELPRAL005</v>
          </cell>
        </row>
        <row r="334">
          <cell r="A334" t="str">
            <v>SIELCDRW015</v>
          </cell>
        </row>
        <row r="335">
          <cell r="A335">
            <v>0</v>
          </cell>
        </row>
        <row r="336">
          <cell r="A336" t="str">
            <v>SIELMLE7014</v>
          </cell>
        </row>
        <row r="337">
          <cell r="A337">
            <v>0</v>
          </cell>
        </row>
        <row r="338">
          <cell r="A338" t="str">
            <v>SIELPRAL006</v>
          </cell>
        </row>
        <row r="339">
          <cell r="A339" t="str">
            <v>SIELCTAL024</v>
          </cell>
        </row>
        <row r="340">
          <cell r="A340" t="str">
            <v>SIELMLC1052</v>
          </cell>
        </row>
        <row r="341">
          <cell r="A341" t="str">
            <v>SIELMLC1053</v>
          </cell>
        </row>
        <row r="342">
          <cell r="A342" t="str">
            <v>SIELMLS5007</v>
          </cell>
        </row>
        <row r="343">
          <cell r="A343" t="str">
            <v>SIELMLS5008</v>
          </cell>
        </row>
        <row r="344">
          <cell r="A344" t="str">
            <v>SIELMLAL024</v>
          </cell>
        </row>
        <row r="345">
          <cell r="A345" t="str">
            <v>SIELMLAL025</v>
          </cell>
        </row>
        <row r="346">
          <cell r="A346" t="str">
            <v>SIELMLC1054</v>
          </cell>
        </row>
        <row r="347">
          <cell r="A347" t="str">
            <v>SIELMLC1055</v>
          </cell>
        </row>
        <row r="348">
          <cell r="A348" t="str">
            <v>SIELMLC1056</v>
          </cell>
        </row>
        <row r="349">
          <cell r="A349" t="str">
            <v>SIELCDRW016</v>
          </cell>
        </row>
        <row r="350">
          <cell r="A350" t="str">
            <v>SIELCTAL025</v>
          </cell>
        </row>
        <row r="351">
          <cell r="A351" t="str">
            <v>SIELLPAL028</v>
          </cell>
        </row>
        <row r="352">
          <cell r="A352" t="str">
            <v>MUDRCOAL009</v>
          </cell>
        </row>
        <row r="353">
          <cell r="A353" t="str">
            <v>SIELACAL012</v>
          </cell>
        </row>
        <row r="354">
          <cell r="A354" t="str">
            <v>SIELCTAL026</v>
          </cell>
        </row>
        <row r="355">
          <cell r="A355" t="str">
            <v>SIELCTAL027</v>
          </cell>
        </row>
        <row r="356">
          <cell r="A356" t="str">
            <v>SIELMLS5009</v>
          </cell>
        </row>
        <row r="357">
          <cell r="A357" t="str">
            <v>SIELMLS5010</v>
          </cell>
        </row>
        <row r="358">
          <cell r="A358">
            <v>0</v>
          </cell>
        </row>
        <row r="359">
          <cell r="A359" t="str">
            <v>SIELCDRW017</v>
          </cell>
        </row>
        <row r="360">
          <cell r="A360" t="str">
            <v>SIELMLX4001</v>
          </cell>
        </row>
        <row r="361">
          <cell r="A361" t="str">
            <v>SIELMLX4002</v>
          </cell>
        </row>
        <row r="362">
          <cell r="A362" t="str">
            <v>SIELMLX1001</v>
          </cell>
        </row>
        <row r="363">
          <cell r="A363" t="str">
            <v>SIELMLX1002</v>
          </cell>
        </row>
        <row r="364">
          <cell r="A364" t="str">
            <v>SIELMLC1057</v>
          </cell>
        </row>
        <row r="365">
          <cell r="A365" t="str">
            <v>SIELMLC1058</v>
          </cell>
        </row>
        <row r="366">
          <cell r="A366" t="str">
            <v>SIELMLC1059</v>
          </cell>
        </row>
        <row r="367">
          <cell r="A367" t="str">
            <v>SIELMLC1060</v>
          </cell>
        </row>
        <row r="368">
          <cell r="A368" t="str">
            <v>SIELMLCD001</v>
          </cell>
        </row>
        <row r="369">
          <cell r="A369" t="str">
            <v>SIELPRAL007</v>
          </cell>
        </row>
        <row r="370">
          <cell r="A370" t="str">
            <v>SIELPRAL008</v>
          </cell>
        </row>
        <row r="371">
          <cell r="A371" t="str">
            <v>SIELPRAL009</v>
          </cell>
        </row>
        <row r="372">
          <cell r="A372">
            <v>0</v>
          </cell>
        </row>
        <row r="373">
          <cell r="A373" t="str">
            <v>SIELPRAL010</v>
          </cell>
        </row>
        <row r="374">
          <cell r="A374" t="str">
            <v>SIELMLS5011</v>
          </cell>
        </row>
        <row r="375">
          <cell r="A375" t="str">
            <v>SIELMLAL026</v>
          </cell>
        </row>
        <row r="376">
          <cell r="A376" t="str">
            <v>SIELCRAL003</v>
          </cell>
        </row>
        <row r="377">
          <cell r="A377" t="str">
            <v>SIELMLC1061</v>
          </cell>
        </row>
        <row r="378">
          <cell r="A378" t="str">
            <v>SIELPRAL011</v>
          </cell>
        </row>
        <row r="379">
          <cell r="A379" t="str">
            <v>SIELPRAL012</v>
          </cell>
        </row>
        <row r="380">
          <cell r="A380" t="str">
            <v>SIELPRAL013</v>
          </cell>
        </row>
        <row r="381">
          <cell r="A381" t="str">
            <v>SIELMLAL027</v>
          </cell>
        </row>
        <row r="382">
          <cell r="A382" t="str">
            <v>SIELMLAL028</v>
          </cell>
        </row>
        <row r="383">
          <cell r="A383" t="str">
            <v>SIELMLCD002</v>
          </cell>
        </row>
        <row r="384">
          <cell r="A384" t="str">
            <v>MUDRCOAL010</v>
          </cell>
        </row>
        <row r="385">
          <cell r="A385" t="str">
            <v>SIELMLC1062</v>
          </cell>
        </row>
        <row r="386">
          <cell r="A386" t="str">
            <v>SIELMLC1063</v>
          </cell>
        </row>
        <row r="387">
          <cell r="A387" t="str">
            <v>CHHQMLOT001</v>
          </cell>
        </row>
        <row r="388">
          <cell r="A388" t="str">
            <v>SIELMLOU036</v>
          </cell>
        </row>
        <row r="389">
          <cell r="A389" t="str">
            <v>SIELMLOU037</v>
          </cell>
        </row>
        <row r="390">
          <cell r="A390" t="str">
            <v>SIELSSAL002</v>
          </cell>
        </row>
        <row r="391">
          <cell r="A391" t="str">
            <v>SIELACAL013</v>
          </cell>
        </row>
        <row r="392">
          <cell r="A392" t="str">
            <v>SIELCTAL028</v>
          </cell>
        </row>
        <row r="393">
          <cell r="A393" t="str">
            <v>SIELMLX1003</v>
          </cell>
        </row>
        <row r="394">
          <cell r="A394" t="str">
            <v>SIELMLE7015</v>
          </cell>
        </row>
        <row r="395">
          <cell r="A395" t="str">
            <v>SIELCTAL029</v>
          </cell>
        </row>
        <row r="396">
          <cell r="A396" t="str">
            <v>SIELCTAL030</v>
          </cell>
        </row>
        <row r="397">
          <cell r="A397" t="str">
            <v>SIELACAL014</v>
          </cell>
        </row>
        <row r="398">
          <cell r="A398" t="str">
            <v>SIELCRAL004</v>
          </cell>
        </row>
        <row r="399">
          <cell r="A399" t="str">
            <v>SIELMLAL029</v>
          </cell>
        </row>
        <row r="400">
          <cell r="A400" t="str">
            <v>SIELMLAL030</v>
          </cell>
        </row>
        <row r="401">
          <cell r="A401" t="str">
            <v>SIELMLAL031</v>
          </cell>
        </row>
        <row r="402">
          <cell r="A402" t="str">
            <v>SIELMLAL032</v>
          </cell>
        </row>
        <row r="403">
          <cell r="A403" t="str">
            <v>SIELMLS5012</v>
          </cell>
        </row>
        <row r="404">
          <cell r="A404" t="str">
            <v>SIELMLS5013</v>
          </cell>
        </row>
        <row r="405">
          <cell r="A405" t="str">
            <v>SIELLPAL029</v>
          </cell>
        </row>
        <row r="406">
          <cell r="A406" t="str">
            <v>SIELLPAL030</v>
          </cell>
        </row>
        <row r="407">
          <cell r="A407" t="str">
            <v>SIELACAL015</v>
          </cell>
        </row>
        <row r="408">
          <cell r="A408" t="str">
            <v>SIELMLS5014</v>
          </cell>
        </row>
        <row r="409">
          <cell r="A409" t="str">
            <v>SIELMLE7016</v>
          </cell>
        </row>
        <row r="410">
          <cell r="A410" t="str">
            <v>SIELMLC1064</v>
          </cell>
        </row>
        <row r="411">
          <cell r="A411">
            <v>0</v>
          </cell>
        </row>
        <row r="412">
          <cell r="A412" t="str">
            <v>SIELMLX6001</v>
          </cell>
        </row>
        <row r="413">
          <cell r="A413" t="str">
            <v>SIELCTAL031</v>
          </cell>
        </row>
        <row r="414">
          <cell r="A414" t="str">
            <v>SIELMLX1004</v>
          </cell>
        </row>
        <row r="415">
          <cell r="A415" t="str">
            <v>SIELMLX1005</v>
          </cell>
        </row>
        <row r="416">
          <cell r="A416" t="str">
            <v>SIELACAL016</v>
          </cell>
        </row>
        <row r="417">
          <cell r="A417" t="str">
            <v>SIELCTAL032</v>
          </cell>
        </row>
        <row r="418">
          <cell r="A418" t="str">
            <v>SIELACAL017</v>
          </cell>
        </row>
        <row r="419">
          <cell r="A419" t="str">
            <v>SIELMLX6002</v>
          </cell>
        </row>
        <row r="420">
          <cell r="A420" t="str">
            <v>SIELMLAL033</v>
          </cell>
        </row>
        <row r="421">
          <cell r="A421" t="str">
            <v>SIELMLX1006</v>
          </cell>
        </row>
        <row r="422">
          <cell r="A422" t="str">
            <v>SIELMLX1007</v>
          </cell>
        </row>
        <row r="423">
          <cell r="A423" t="str">
            <v>SIELCRAL005</v>
          </cell>
        </row>
        <row r="424">
          <cell r="A424" t="str">
            <v>SIELACAL018</v>
          </cell>
        </row>
        <row r="425">
          <cell r="A425" t="str">
            <v>SIELCDRW018</v>
          </cell>
        </row>
        <row r="426">
          <cell r="A426" t="str">
            <v>SIELCDRW019</v>
          </cell>
        </row>
        <row r="427">
          <cell r="A427" t="str">
            <v>SIELACAL019</v>
          </cell>
        </row>
        <row r="428">
          <cell r="A428" t="str">
            <v>SIELACAL020</v>
          </cell>
        </row>
        <row r="429">
          <cell r="A429" t="str">
            <v>SIELCTAL033</v>
          </cell>
        </row>
        <row r="430">
          <cell r="A430" t="str">
            <v>SIELCTAL034</v>
          </cell>
        </row>
        <row r="431">
          <cell r="A431" t="str">
            <v>SIELCTAL035</v>
          </cell>
        </row>
        <row r="432">
          <cell r="A432">
            <v>0</v>
          </cell>
        </row>
        <row r="433">
          <cell r="A433">
            <v>0</v>
          </cell>
        </row>
        <row r="434">
          <cell r="A434" t="str">
            <v>SIELMLAL034</v>
          </cell>
        </row>
        <row r="435">
          <cell r="A435" t="str">
            <v>SIELMLAL035</v>
          </cell>
        </row>
        <row r="436">
          <cell r="A436" t="str">
            <v>SIELCTAL036</v>
          </cell>
        </row>
        <row r="437">
          <cell r="A437" t="str">
            <v>SIELCTAL037</v>
          </cell>
        </row>
        <row r="438">
          <cell r="A438" t="str">
            <v>SIELCTAL038</v>
          </cell>
        </row>
        <row r="439">
          <cell r="A439" t="str">
            <v>SIELCTAL039</v>
          </cell>
        </row>
        <row r="440">
          <cell r="A440" t="str">
            <v>SIELMLAL036</v>
          </cell>
        </row>
        <row r="441">
          <cell r="A441" t="str">
            <v>SIELMLX6003</v>
          </cell>
        </row>
        <row r="442">
          <cell r="A442" t="str">
            <v>SIELMLX6004</v>
          </cell>
        </row>
        <row r="443">
          <cell r="A443" t="str">
            <v>SIELMLX6005</v>
          </cell>
        </row>
        <row r="444">
          <cell r="A444" t="str">
            <v>SIELAUAL028</v>
          </cell>
        </row>
        <row r="445">
          <cell r="A445" t="str">
            <v>SIELAUAL029</v>
          </cell>
        </row>
        <row r="446">
          <cell r="A446" t="str">
            <v>SIELAUAL030</v>
          </cell>
        </row>
        <row r="447">
          <cell r="A447" t="str">
            <v>SIELAUAL031</v>
          </cell>
        </row>
        <row r="448">
          <cell r="A448" t="str">
            <v>SIELMLX6006</v>
          </cell>
        </row>
        <row r="449">
          <cell r="A449" t="str">
            <v>SIELMLX6007</v>
          </cell>
        </row>
        <row r="450">
          <cell r="A450" t="str">
            <v>SIELMLX6008</v>
          </cell>
        </row>
        <row r="451">
          <cell r="A451" t="str">
            <v>CHHQMLOT002</v>
          </cell>
        </row>
        <row r="452">
          <cell r="A452" t="str">
            <v>CHHQMLOT003</v>
          </cell>
        </row>
        <row r="453">
          <cell r="A453" t="str">
            <v>CHHQMLOT004</v>
          </cell>
        </row>
        <row r="454">
          <cell r="A454" t="str">
            <v>SIELLPAL031</v>
          </cell>
        </row>
        <row r="455">
          <cell r="A455" t="str">
            <v>SIELCTAL040</v>
          </cell>
        </row>
        <row r="456">
          <cell r="A456" t="str">
            <v>SIELCTAL041</v>
          </cell>
        </row>
        <row r="457">
          <cell r="A457" t="str">
            <v>SIELMLAL037</v>
          </cell>
        </row>
        <row r="458">
          <cell r="A458" t="str">
            <v>SIELMLAL038</v>
          </cell>
        </row>
        <row r="459">
          <cell r="A459" t="str">
            <v>SIELCTAL042</v>
          </cell>
        </row>
        <row r="460">
          <cell r="A460" t="str">
            <v>SIELCTAL043</v>
          </cell>
        </row>
        <row r="461">
          <cell r="A461" t="str">
            <v>SIELCTAL044</v>
          </cell>
        </row>
        <row r="462">
          <cell r="A462" t="str">
            <v>SIELCTAL045</v>
          </cell>
        </row>
        <row r="463">
          <cell r="A463" t="str">
            <v>SIELMLAL039</v>
          </cell>
        </row>
        <row r="464">
          <cell r="A464" t="str">
            <v>SIELAUAL032</v>
          </cell>
        </row>
        <row r="465">
          <cell r="A465" t="str">
            <v>SIELACAL021</v>
          </cell>
        </row>
        <row r="466">
          <cell r="A466" t="str">
            <v>SIELCTAL046</v>
          </cell>
        </row>
        <row r="467">
          <cell r="A467" t="str">
            <v>SIELCTAL047</v>
          </cell>
        </row>
        <row r="468">
          <cell r="A468" t="str">
            <v>SIELMLX6009</v>
          </cell>
        </row>
        <row r="469">
          <cell r="A469" t="str">
            <v>SIELMLAL040</v>
          </cell>
        </row>
        <row r="470">
          <cell r="A470" t="str">
            <v>SIELCTAL048</v>
          </cell>
        </row>
        <row r="471">
          <cell r="A471" t="str">
            <v>SIELACAL022</v>
          </cell>
        </row>
        <row r="472">
          <cell r="A472" t="str">
            <v>SIELMLAL041</v>
          </cell>
        </row>
        <row r="473">
          <cell r="A473" t="str">
            <v>SIELMLX6010</v>
          </cell>
        </row>
        <row r="474">
          <cell r="A474" t="str">
            <v>SIELMLAL042</v>
          </cell>
        </row>
        <row r="475">
          <cell r="A475" t="str">
            <v>SIELMLAL043</v>
          </cell>
        </row>
        <row r="476">
          <cell r="A476" t="str">
            <v>SIELMLAL044</v>
          </cell>
        </row>
        <row r="477">
          <cell r="A477" t="str">
            <v>SIELMLAL045</v>
          </cell>
        </row>
        <row r="478">
          <cell r="A478" t="str">
            <v>SIELMLAL046</v>
          </cell>
        </row>
        <row r="479">
          <cell r="A479" t="str">
            <v>SIELCTAL049</v>
          </cell>
        </row>
        <row r="480">
          <cell r="A480" t="str">
            <v>SIELPRAL014</v>
          </cell>
        </row>
        <row r="481">
          <cell r="A481" t="str">
            <v>SIELCRAL006</v>
          </cell>
        </row>
        <row r="482">
          <cell r="A482" t="str">
            <v>SIELMLAL047</v>
          </cell>
        </row>
        <row r="483">
          <cell r="A483" t="str">
            <v>SIELMLAL048</v>
          </cell>
        </row>
        <row r="484">
          <cell r="A484" t="str">
            <v>SIELMLAL049</v>
          </cell>
        </row>
        <row r="485">
          <cell r="A485" t="str">
            <v>SIELMLAL050</v>
          </cell>
        </row>
        <row r="486">
          <cell r="A486" t="str">
            <v>SIELCDRW020</v>
          </cell>
        </row>
        <row r="487">
          <cell r="A487" t="str">
            <v>SIEL MOAL012</v>
          </cell>
        </row>
        <row r="488">
          <cell r="A488" t="str">
            <v>SIEL MOAL013</v>
          </cell>
        </row>
        <row r="489">
          <cell r="A489" t="str">
            <v>SIELPRAL015</v>
          </cell>
        </row>
        <row r="490">
          <cell r="A490" t="str">
            <v>SIELACAL023</v>
          </cell>
        </row>
        <row r="491">
          <cell r="A491" t="str">
            <v>SIELACAL024</v>
          </cell>
        </row>
        <row r="492">
          <cell r="A492" t="str">
            <v>SIELPRAL016</v>
          </cell>
        </row>
        <row r="493">
          <cell r="A493" t="str">
            <v>SIELPRAL017</v>
          </cell>
        </row>
        <row r="494">
          <cell r="A494" t="str">
            <v>SIELMLAL051</v>
          </cell>
        </row>
        <row r="495">
          <cell r="A495" t="str">
            <v>SIELPRAL018</v>
          </cell>
        </row>
        <row r="496">
          <cell r="A496" t="str">
            <v>SIELPRAL019</v>
          </cell>
        </row>
        <row r="497">
          <cell r="A497" t="str">
            <v>SIELCTAL050</v>
          </cell>
        </row>
        <row r="498">
          <cell r="A498" t="str">
            <v>SIELACAL025</v>
          </cell>
        </row>
        <row r="499">
          <cell r="A499" t="str">
            <v>TWIIMLAL001</v>
          </cell>
        </row>
        <row r="500">
          <cell r="A500" t="str">
            <v>SIELPRAL20</v>
          </cell>
        </row>
        <row r="501">
          <cell r="A501" t="str">
            <v>SIELPRAL021</v>
          </cell>
        </row>
        <row r="502">
          <cell r="A502" t="str">
            <v>SIELMLX6011</v>
          </cell>
        </row>
        <row r="503">
          <cell r="A503" t="str">
            <v>SIELMLX6012</v>
          </cell>
        </row>
        <row r="504">
          <cell r="A504">
            <v>0</v>
          </cell>
        </row>
        <row r="505">
          <cell r="A505" t="str">
            <v>CHHQTRAL004</v>
          </cell>
        </row>
        <row r="506">
          <cell r="A506" t="str">
            <v>SIELCTAL051</v>
          </cell>
        </row>
        <row r="507">
          <cell r="A507" t="str">
            <v>SIELCTAL052</v>
          </cell>
        </row>
        <row r="508">
          <cell r="A508" t="str">
            <v>SIELCTAL053</v>
          </cell>
        </row>
        <row r="509">
          <cell r="A509" t="str">
            <v>SIELCRAL007</v>
          </cell>
        </row>
        <row r="510">
          <cell r="A510" t="str">
            <v>SIELCTAL054</v>
          </cell>
        </row>
        <row r="511">
          <cell r="A511" t="str">
            <v>SIELCTAL055</v>
          </cell>
        </row>
        <row r="512">
          <cell r="A512" t="str">
            <v>SIELSSAL003</v>
          </cell>
        </row>
        <row r="513">
          <cell r="A513" t="str">
            <v>SIELCTAL056</v>
          </cell>
        </row>
        <row r="514">
          <cell r="A514" t="str">
            <v>SIELMLAL052</v>
          </cell>
        </row>
        <row r="515">
          <cell r="A515" t="str">
            <v>SIELMLAL053</v>
          </cell>
        </row>
        <row r="516">
          <cell r="A516" t="str">
            <v>SIELMLX6013</v>
          </cell>
        </row>
        <row r="517">
          <cell r="A517" t="str">
            <v>SIELMLE7017</v>
          </cell>
        </row>
        <row r="518">
          <cell r="A518" t="str">
            <v>SIELMLX6014</v>
          </cell>
        </row>
        <row r="519">
          <cell r="A519" t="str">
            <v>SIELMLX6015</v>
          </cell>
        </row>
        <row r="520">
          <cell r="A520">
            <v>0</v>
          </cell>
        </row>
        <row r="521">
          <cell r="A521" t="str">
            <v>SIELCTAL057</v>
          </cell>
        </row>
        <row r="522">
          <cell r="A522" t="str">
            <v>SIELCDRW021</v>
          </cell>
        </row>
        <row r="523">
          <cell r="A523" t="str">
            <v>SIELCDRW022</v>
          </cell>
        </row>
        <row r="524">
          <cell r="A524" t="str">
            <v>SIELMLAL054</v>
          </cell>
        </row>
        <row r="525">
          <cell r="A525" t="str">
            <v>SIELMLAL055</v>
          </cell>
        </row>
        <row r="526">
          <cell r="A526">
            <v>0</v>
          </cell>
        </row>
        <row r="527">
          <cell r="A527" t="str">
            <v>SIELCTAL058</v>
          </cell>
        </row>
        <row r="528">
          <cell r="A528" t="str">
            <v>SIELMLX6016</v>
          </cell>
        </row>
        <row r="529">
          <cell r="A529" t="str">
            <v>SIELMLX6017</v>
          </cell>
        </row>
        <row r="530">
          <cell r="A530" t="str">
            <v>SIELCTAL059</v>
          </cell>
        </row>
        <row r="531">
          <cell r="A531" t="str">
            <v>SIELCTAL060</v>
          </cell>
        </row>
        <row r="532">
          <cell r="A532" t="str">
            <v>SIELCRAL008</v>
          </cell>
        </row>
        <row r="533">
          <cell r="A533" t="str">
            <v>SIELPRAL022</v>
          </cell>
        </row>
        <row r="534">
          <cell r="A534" t="str">
            <v>SIELMLX6018</v>
          </cell>
        </row>
        <row r="535">
          <cell r="A535" t="str">
            <v>SIELCTAL061</v>
          </cell>
        </row>
        <row r="536">
          <cell r="A536" t="str">
            <v>SIELPRAL023</v>
          </cell>
        </row>
        <row r="537">
          <cell r="A537" t="str">
            <v>SIELMLAL056</v>
          </cell>
        </row>
        <row r="538">
          <cell r="A538" t="str">
            <v>SIELCRAL009</v>
          </cell>
        </row>
        <row r="539">
          <cell r="A539" t="str">
            <v>SIELMLAL057</v>
          </cell>
        </row>
        <row r="540">
          <cell r="A540">
            <v>0</v>
          </cell>
        </row>
        <row r="541">
          <cell r="A541" t="str">
            <v>CHHQMLOT005</v>
          </cell>
        </row>
        <row r="542">
          <cell r="A542" t="str">
            <v>SIELOTAL001</v>
          </cell>
        </row>
        <row r="543">
          <cell r="A543" t="str">
            <v>SIELCTAL062</v>
          </cell>
        </row>
        <row r="544">
          <cell r="A544" t="str">
            <v>SIELMLAL058</v>
          </cell>
        </row>
        <row r="545">
          <cell r="A545" t="str">
            <v>SIELMLAL059</v>
          </cell>
        </row>
        <row r="546">
          <cell r="A546" t="str">
            <v>SIELMLAL060</v>
          </cell>
        </row>
        <row r="547">
          <cell r="A547" t="str">
            <v>SIELMLX6019</v>
          </cell>
        </row>
        <row r="548">
          <cell r="A548" t="str">
            <v>SIELCRAL010</v>
          </cell>
        </row>
        <row r="549">
          <cell r="A549" t="str">
            <v>SIELCRAL011</v>
          </cell>
        </row>
        <row r="550">
          <cell r="A550" t="str">
            <v>MUDRCOAL011</v>
          </cell>
        </row>
        <row r="551">
          <cell r="A551" t="str">
            <v>SIELACAL026</v>
          </cell>
        </row>
        <row r="552">
          <cell r="A552" t="str">
            <v>SIELMLX6020</v>
          </cell>
        </row>
        <row r="553">
          <cell r="A553" t="str">
            <v>SIELMLAL061</v>
          </cell>
        </row>
        <row r="554">
          <cell r="A554" t="str">
            <v>SIELCTAL063</v>
          </cell>
        </row>
        <row r="555">
          <cell r="A555" t="str">
            <v>SIELCTAL064</v>
          </cell>
        </row>
        <row r="556">
          <cell r="A556" t="str">
            <v>SIELMLAL062</v>
          </cell>
        </row>
        <row r="557">
          <cell r="A557" t="str">
            <v>SIELMLAL063</v>
          </cell>
        </row>
        <row r="558">
          <cell r="A558">
            <v>0</v>
          </cell>
        </row>
        <row r="559">
          <cell r="A559" t="str">
            <v>SIELMLOU038</v>
          </cell>
        </row>
        <row r="560">
          <cell r="A560" t="str">
            <v>SIELCTAL065</v>
          </cell>
        </row>
        <row r="561">
          <cell r="A561" t="str">
            <v>SIELMLE7018</v>
          </cell>
        </row>
        <row r="562">
          <cell r="A562" t="str">
            <v>SIELMLX6021</v>
          </cell>
        </row>
        <row r="563">
          <cell r="A563" t="str">
            <v>SIELACAL027</v>
          </cell>
        </row>
        <row r="564">
          <cell r="A564" t="str">
            <v>SIELMLX6022</v>
          </cell>
        </row>
        <row r="565">
          <cell r="A565" t="str">
            <v>SIELCTAL066</v>
          </cell>
        </row>
        <row r="566">
          <cell r="A566" t="str">
            <v>SIELPRAL024</v>
          </cell>
        </row>
        <row r="567">
          <cell r="A567" t="str">
            <v>SIELPRAL025</v>
          </cell>
        </row>
        <row r="568">
          <cell r="A568" t="str">
            <v>SIELMLX1008</v>
          </cell>
        </row>
        <row r="569">
          <cell r="A569" t="str">
            <v>SIELMLX1009</v>
          </cell>
        </row>
        <row r="570">
          <cell r="A570" t="str">
            <v>SIELCRAL012</v>
          </cell>
        </row>
        <row r="571">
          <cell r="A571" t="str">
            <v>SIELPRAL026</v>
          </cell>
        </row>
        <row r="572">
          <cell r="A572" t="str">
            <v>SIELMLX1010</v>
          </cell>
        </row>
        <row r="573">
          <cell r="A573" t="str">
            <v>SIELMLX1011</v>
          </cell>
        </row>
        <row r="574">
          <cell r="A574" t="str">
            <v>SIELOTRAL001</v>
          </cell>
        </row>
        <row r="575">
          <cell r="A575" t="str">
            <v>SIELCTAL067</v>
          </cell>
        </row>
        <row r="576">
          <cell r="A576" t="str">
            <v>SIELCTAL068</v>
          </cell>
        </row>
        <row r="577">
          <cell r="A577" t="str">
            <v>SIELMLE7019</v>
          </cell>
        </row>
        <row r="578">
          <cell r="A578" t="str">
            <v>SIELMLE7020</v>
          </cell>
        </row>
        <row r="579">
          <cell r="A579" t="str">
            <v>SIELMLAL064</v>
          </cell>
        </row>
        <row r="580">
          <cell r="A580" t="str">
            <v>SIELMLAL065</v>
          </cell>
        </row>
        <row r="581">
          <cell r="A581" t="str">
            <v>SIELMLAL066</v>
          </cell>
        </row>
        <row r="582">
          <cell r="A582" t="str">
            <v>SIELMLAL067</v>
          </cell>
        </row>
        <row r="583">
          <cell r="A583" t="str">
            <v>SIELMLAL068</v>
          </cell>
        </row>
        <row r="584">
          <cell r="A584" t="str">
            <v>SIELMLAL069</v>
          </cell>
        </row>
        <row r="585">
          <cell r="A585" t="str">
            <v>SIELMLAL070</v>
          </cell>
        </row>
        <row r="586">
          <cell r="A586" t="str">
            <v>SIELMLAL071</v>
          </cell>
        </row>
        <row r="587">
          <cell r="A587" t="str">
            <v>SIELOTRAL002</v>
          </cell>
        </row>
        <row r="588">
          <cell r="A588" t="str">
            <v>SIELMLX4003</v>
          </cell>
        </row>
        <row r="589">
          <cell r="A589" t="str">
            <v>SIELMLX6023</v>
          </cell>
        </row>
        <row r="590">
          <cell r="A590" t="str">
            <v>SIELMLX6024</v>
          </cell>
        </row>
        <row r="591">
          <cell r="A591" t="str">
            <v>SIELCTAL068</v>
          </cell>
        </row>
        <row r="592">
          <cell r="A592" t="str">
            <v>SIELMLX6025</v>
          </cell>
        </row>
        <row r="593">
          <cell r="A593" t="str">
            <v>SIELMLX6026</v>
          </cell>
        </row>
        <row r="594">
          <cell r="A594" t="str">
            <v>SIELMLX1012</v>
          </cell>
        </row>
        <row r="595">
          <cell r="A595" t="str">
            <v>SIELMLOU039</v>
          </cell>
        </row>
        <row r="596">
          <cell r="A596" t="str">
            <v>SIELMLAL072</v>
          </cell>
        </row>
        <row r="597">
          <cell r="A597" t="str">
            <v>SIELMLOU040</v>
          </cell>
        </row>
        <row r="598">
          <cell r="A598" t="str">
            <v>SIELMLOU041</v>
          </cell>
        </row>
        <row r="599">
          <cell r="A599" t="str">
            <v>SIELMLE7021</v>
          </cell>
        </row>
        <row r="600">
          <cell r="A600" t="str">
            <v>SIELPRAL027</v>
          </cell>
        </row>
        <row r="601">
          <cell r="A601" t="str">
            <v>SIELPRAL028</v>
          </cell>
        </row>
        <row r="602">
          <cell r="A602" t="str">
            <v>SIELMLOU042</v>
          </cell>
        </row>
        <row r="603">
          <cell r="A603" t="str">
            <v>SIELMLOU043</v>
          </cell>
        </row>
        <row r="604">
          <cell r="A604" t="str">
            <v>SIELMLOU044</v>
          </cell>
        </row>
        <row r="605">
          <cell r="A605" t="str">
            <v>SIELMLOU045</v>
          </cell>
        </row>
        <row r="606">
          <cell r="A606" t="str">
            <v>SIELMLX6027</v>
          </cell>
        </row>
        <row r="607">
          <cell r="A607" t="str">
            <v>SIELCTAL069</v>
          </cell>
        </row>
        <row r="608">
          <cell r="A608" t="str">
            <v>SIELMLOU046</v>
          </cell>
        </row>
        <row r="609">
          <cell r="A609" t="str">
            <v>SIELMLX6028</v>
          </cell>
        </row>
        <row r="610">
          <cell r="A610" t="str">
            <v>SIELMLX6029</v>
          </cell>
        </row>
        <row r="611">
          <cell r="A611" t="str">
            <v>SIELMLAL073</v>
          </cell>
        </row>
        <row r="612">
          <cell r="A612">
            <v>0</v>
          </cell>
        </row>
        <row r="613">
          <cell r="A613">
            <v>0</v>
          </cell>
        </row>
        <row r="614">
          <cell r="A614" t="str">
            <v>SIELMLAL074</v>
          </cell>
        </row>
        <row r="615">
          <cell r="A615" t="str">
            <v>SIELMLAL075</v>
          </cell>
        </row>
        <row r="616">
          <cell r="A616" t="str">
            <v>SIELMLC1065</v>
          </cell>
        </row>
        <row r="617">
          <cell r="A617" t="str">
            <v>SIELMLOU047</v>
          </cell>
        </row>
        <row r="618">
          <cell r="A618" t="str">
            <v>SIELMLOU048</v>
          </cell>
        </row>
        <row r="619">
          <cell r="A619" t="str">
            <v>SIELMLOU049</v>
          </cell>
        </row>
        <row r="620">
          <cell r="A620" t="str">
            <v>SIELMLOU050</v>
          </cell>
        </row>
        <row r="621">
          <cell r="A621" t="str">
            <v>SIELMLOU051</v>
          </cell>
        </row>
        <row r="622">
          <cell r="A622" t="str">
            <v>SIELMLX6030</v>
          </cell>
        </row>
        <row r="623">
          <cell r="A623" t="str">
            <v>SIELMLAL076</v>
          </cell>
        </row>
        <row r="624">
          <cell r="A624" t="str">
            <v>SIELMLOU052</v>
          </cell>
        </row>
        <row r="625">
          <cell r="A625" t="str">
            <v>SIELCDRW023</v>
          </cell>
        </row>
        <row r="626">
          <cell r="A626" t="str">
            <v>SIELMLAL077</v>
          </cell>
        </row>
        <row r="627">
          <cell r="A627" t="str">
            <v>SIELMLAL078</v>
          </cell>
        </row>
        <row r="628">
          <cell r="A628" t="str">
            <v>SIELMLX6031</v>
          </cell>
        </row>
        <row r="629">
          <cell r="A629" t="str">
            <v>SIELCTAL070</v>
          </cell>
        </row>
        <row r="630">
          <cell r="A630" t="str">
            <v>SIELCTAL071</v>
          </cell>
        </row>
        <row r="631">
          <cell r="A631" t="str">
            <v>SIELCTAL072</v>
          </cell>
        </row>
        <row r="632">
          <cell r="A632" t="str">
            <v>SIELPRAL029</v>
          </cell>
        </row>
        <row r="633">
          <cell r="A633" t="str">
            <v>SIELMLX6032</v>
          </cell>
        </row>
        <row r="634">
          <cell r="A634" t="str">
            <v>SIELMLAL079</v>
          </cell>
        </row>
        <row r="635">
          <cell r="A635" t="str">
            <v>SIELMLAL080</v>
          </cell>
        </row>
        <row r="636">
          <cell r="A636" t="str">
            <v>SIELACAL028</v>
          </cell>
        </row>
        <row r="637">
          <cell r="A637" t="str">
            <v>SIELACAL029</v>
          </cell>
        </row>
        <row r="638">
          <cell r="A638" t="str">
            <v>SIELMLAL081</v>
          </cell>
        </row>
        <row r="639">
          <cell r="A639" t="str">
            <v>SIELMLAL082</v>
          </cell>
        </row>
        <row r="640">
          <cell r="A640" t="str">
            <v>SIELMLAL083</v>
          </cell>
        </row>
        <row r="641">
          <cell r="A641" t="str">
            <v>SIELMLAL084</v>
          </cell>
        </row>
        <row r="642">
          <cell r="A642" t="str">
            <v>SIELMLAL085</v>
          </cell>
        </row>
        <row r="643">
          <cell r="A643" t="str">
            <v>SIELMLAL086</v>
          </cell>
        </row>
        <row r="644">
          <cell r="A644" t="str">
            <v>SIELMLX6033</v>
          </cell>
        </row>
        <row r="645">
          <cell r="A645" t="str">
            <v>SIELMLX6034</v>
          </cell>
        </row>
        <row r="646">
          <cell r="A646" t="str">
            <v>SIELMLX6035</v>
          </cell>
        </row>
        <row r="647">
          <cell r="A647" t="str">
            <v>SIELLPAL032</v>
          </cell>
        </row>
        <row r="648">
          <cell r="A648">
            <v>0</v>
          </cell>
        </row>
        <row r="649">
          <cell r="A649" t="str">
            <v>SIELMLAL087</v>
          </cell>
        </row>
        <row r="650">
          <cell r="A650" t="str">
            <v>SIELCTAL073</v>
          </cell>
        </row>
        <row r="651">
          <cell r="A651" t="str">
            <v>SIELMOMB023</v>
          </cell>
        </row>
        <row r="652">
          <cell r="A652" t="str">
            <v>SIELCTAL074</v>
          </cell>
        </row>
        <row r="653">
          <cell r="A653" t="str">
            <v>SIELCTAL075</v>
          </cell>
        </row>
        <row r="654">
          <cell r="A654" t="str">
            <v>SIELMLAL088</v>
          </cell>
        </row>
        <row r="655">
          <cell r="A655" t="str">
            <v>SIELMLAL089</v>
          </cell>
        </row>
        <row r="656">
          <cell r="A656" t="str">
            <v>SIELMLAL090</v>
          </cell>
        </row>
        <row r="657">
          <cell r="A657" t="str">
            <v>SIELMLX6036</v>
          </cell>
        </row>
        <row r="658">
          <cell r="A658" t="str">
            <v>SIELPRAL030</v>
          </cell>
        </row>
        <row r="659">
          <cell r="A659" t="str">
            <v>SIELACAL030</v>
          </cell>
        </row>
        <row r="660">
          <cell r="A660" t="str">
            <v>SIELCTAL076</v>
          </cell>
        </row>
        <row r="661">
          <cell r="A661" t="str">
            <v>SIELPRAL031</v>
          </cell>
        </row>
        <row r="662">
          <cell r="A662" t="str">
            <v>SIELPRAL032</v>
          </cell>
        </row>
        <row r="663">
          <cell r="A663" t="str">
            <v>SIELMLX6037</v>
          </cell>
        </row>
        <row r="664">
          <cell r="A664" t="str">
            <v>SIELCRAL013</v>
          </cell>
        </row>
        <row r="665">
          <cell r="A665" t="str">
            <v>SIELCTAL077</v>
          </cell>
        </row>
        <row r="666">
          <cell r="A666" t="str">
            <v>SIELCRAL014</v>
          </cell>
        </row>
        <row r="667">
          <cell r="A667" t="str">
            <v>SIELMLX6038</v>
          </cell>
        </row>
        <row r="668">
          <cell r="A668" t="str">
            <v>SIELMLAL091</v>
          </cell>
        </row>
        <row r="669">
          <cell r="A669" t="str">
            <v>SIELCTAL078</v>
          </cell>
        </row>
        <row r="670">
          <cell r="A670" t="str">
            <v>SIELCTAL079</v>
          </cell>
        </row>
        <row r="671">
          <cell r="A671" t="str">
            <v>SIELMLX1013</v>
          </cell>
        </row>
        <row r="672">
          <cell r="A672" t="str">
            <v>SIELMLX1014</v>
          </cell>
        </row>
        <row r="673">
          <cell r="A673" t="str">
            <v>SIELMLX6039</v>
          </cell>
        </row>
        <row r="674">
          <cell r="A674" t="str">
            <v>SIELMLX6040</v>
          </cell>
        </row>
        <row r="675">
          <cell r="A675" t="str">
            <v>SIELPRAL033</v>
          </cell>
        </row>
        <row r="676">
          <cell r="A676" t="str">
            <v>SIELPRAL034</v>
          </cell>
        </row>
        <row r="677">
          <cell r="A677" t="str">
            <v>SIELPRAL035</v>
          </cell>
        </row>
        <row r="678">
          <cell r="A678" t="str">
            <v>SIELCTAL080</v>
          </cell>
        </row>
        <row r="679">
          <cell r="A679" t="str">
            <v>SIELCTAL081</v>
          </cell>
        </row>
        <row r="680">
          <cell r="A680" t="str">
            <v>SIELPRAL036</v>
          </cell>
        </row>
        <row r="681">
          <cell r="A681" t="str">
            <v>SIELCRAL015</v>
          </cell>
        </row>
        <row r="682">
          <cell r="A682" t="str">
            <v>SIELCRAL016</v>
          </cell>
        </row>
        <row r="683">
          <cell r="A683" t="str">
            <v>SIELMLAL092</v>
          </cell>
        </row>
        <row r="684">
          <cell r="A684" t="str">
            <v>SIELMLAL093</v>
          </cell>
        </row>
        <row r="685">
          <cell r="A685" t="str">
            <v>SIELMLAL094</v>
          </cell>
        </row>
        <row r="686">
          <cell r="A686" t="str">
            <v>SIELMLAL095</v>
          </cell>
        </row>
        <row r="687">
          <cell r="A687" t="str">
            <v>SIELMLAL096</v>
          </cell>
        </row>
        <row r="688">
          <cell r="A688" t="str">
            <v>SIELMLAL097</v>
          </cell>
        </row>
        <row r="689">
          <cell r="A689" t="str">
            <v>SIELMLAL098</v>
          </cell>
        </row>
        <row r="690">
          <cell r="A690" t="str">
            <v>SIELMLAL099</v>
          </cell>
        </row>
        <row r="691">
          <cell r="A691" t="str">
            <v>SIELMLAL100</v>
          </cell>
        </row>
        <row r="692">
          <cell r="A692" t="str">
            <v>SIELMLAL101</v>
          </cell>
        </row>
        <row r="693">
          <cell r="A693" t="str">
            <v>SIELMLAL102</v>
          </cell>
        </row>
        <row r="694">
          <cell r="A694" t="str">
            <v>SIELMLAL103</v>
          </cell>
        </row>
        <row r="695">
          <cell r="A695" t="str">
            <v>SIELMLAL104</v>
          </cell>
        </row>
        <row r="696">
          <cell r="A696" t="str">
            <v>SIELMLAL105</v>
          </cell>
        </row>
        <row r="697">
          <cell r="A697" t="str">
            <v>SIELMLAL106</v>
          </cell>
        </row>
        <row r="698">
          <cell r="A698" t="str">
            <v>SIELMLAL107</v>
          </cell>
        </row>
        <row r="699">
          <cell r="A699" t="str">
            <v>SIELMLAL108</v>
          </cell>
        </row>
        <row r="700">
          <cell r="A700" t="str">
            <v>SIELMLAL109</v>
          </cell>
        </row>
        <row r="701">
          <cell r="A701" t="str">
            <v>SIELMLAL110</v>
          </cell>
        </row>
        <row r="702">
          <cell r="A702" t="str">
            <v>SIELMLAL111</v>
          </cell>
        </row>
        <row r="703">
          <cell r="A703" t="str">
            <v>SIELMLAL112</v>
          </cell>
        </row>
        <row r="704">
          <cell r="A704" t="str">
            <v>SIELMLAL113</v>
          </cell>
        </row>
        <row r="705">
          <cell r="A705" t="str">
            <v>SIELMLAL114</v>
          </cell>
        </row>
        <row r="706">
          <cell r="A706" t="str">
            <v>SIELMLAL115</v>
          </cell>
        </row>
        <row r="707">
          <cell r="A707" t="str">
            <v>SIELMLAL116</v>
          </cell>
        </row>
        <row r="708">
          <cell r="A708" t="str">
            <v>SIELCRAL017</v>
          </cell>
        </row>
        <row r="709">
          <cell r="A709" t="str">
            <v>SIELMLAL117</v>
          </cell>
        </row>
        <row r="710">
          <cell r="A710" t="str">
            <v>SIELCRAL018</v>
          </cell>
        </row>
        <row r="711">
          <cell r="A711" t="str">
            <v>SIELMLX6041</v>
          </cell>
        </row>
        <row r="712">
          <cell r="A712" t="str">
            <v>SIELMLAL118</v>
          </cell>
        </row>
        <row r="713">
          <cell r="A713" t="str">
            <v>SIELMLAL119</v>
          </cell>
        </row>
        <row r="714">
          <cell r="A714" t="str">
            <v>SIELMLX6042</v>
          </cell>
        </row>
        <row r="715">
          <cell r="A715" t="str">
            <v>SIELMLAL120</v>
          </cell>
        </row>
        <row r="716">
          <cell r="A716" t="str">
            <v>SIELMLAL121</v>
          </cell>
        </row>
        <row r="717">
          <cell r="A717" t="str">
            <v>SIELCTAL082</v>
          </cell>
        </row>
        <row r="718">
          <cell r="A718" t="str">
            <v>SIELCTAL083</v>
          </cell>
        </row>
        <row r="719">
          <cell r="A719" t="str">
            <v>SIELMLCDMA001</v>
          </cell>
        </row>
        <row r="720">
          <cell r="A720" t="str">
            <v>SIELPRAL037</v>
          </cell>
        </row>
        <row r="721">
          <cell r="A721" t="str">
            <v>SIELPRAL038</v>
          </cell>
        </row>
        <row r="722">
          <cell r="A722" t="str">
            <v>SIELMLAL122</v>
          </cell>
        </row>
        <row r="723">
          <cell r="A723" t="str">
            <v>SIELMLAL123</v>
          </cell>
        </row>
        <row r="724">
          <cell r="A724" t="str">
            <v>SIELMLAL124</v>
          </cell>
        </row>
        <row r="725">
          <cell r="A725" t="str">
            <v>SIELMLAL125</v>
          </cell>
        </row>
        <row r="726">
          <cell r="A726" t="str">
            <v>SIELMLAL126</v>
          </cell>
        </row>
        <row r="727">
          <cell r="A727" t="str">
            <v>SIELMLAL127</v>
          </cell>
        </row>
        <row r="728">
          <cell r="A728" t="str">
            <v>SIELMLAL128</v>
          </cell>
        </row>
        <row r="729">
          <cell r="A729" t="str">
            <v>SIELMLAL129</v>
          </cell>
        </row>
        <row r="730">
          <cell r="A730" t="str">
            <v>SIELMLAL130</v>
          </cell>
        </row>
        <row r="731">
          <cell r="A731" t="str">
            <v>SIELMLAL131</v>
          </cell>
        </row>
        <row r="732">
          <cell r="A732" t="str">
            <v>SIELMLAL132</v>
          </cell>
        </row>
        <row r="733">
          <cell r="A733" t="str">
            <v>SIELMLAL133</v>
          </cell>
        </row>
        <row r="734">
          <cell r="A734" t="str">
            <v>SIELMLCDMA002</v>
          </cell>
        </row>
        <row r="735">
          <cell r="A735" t="str">
            <v>SIELMLAL134</v>
          </cell>
        </row>
        <row r="736">
          <cell r="A736" t="str">
            <v>SIELMLAL135</v>
          </cell>
        </row>
        <row r="737">
          <cell r="A737" t="str">
            <v>SIELMLAL136</v>
          </cell>
        </row>
        <row r="738">
          <cell r="A738" t="str">
            <v>SIELMLAL137</v>
          </cell>
        </row>
        <row r="739">
          <cell r="A739" t="str">
            <v>SIELCRAL019</v>
          </cell>
        </row>
        <row r="740">
          <cell r="A740" t="str">
            <v>SIELMLAL138</v>
          </cell>
        </row>
        <row r="741">
          <cell r="A741" t="str">
            <v>SIELMLAL139</v>
          </cell>
        </row>
        <row r="742">
          <cell r="A742" t="str">
            <v>SIELMLAL140</v>
          </cell>
        </row>
        <row r="743">
          <cell r="A743" t="str">
            <v>SIELMLAL141</v>
          </cell>
        </row>
        <row r="744">
          <cell r="A744" t="str">
            <v>SIELMLAL142</v>
          </cell>
        </row>
        <row r="745">
          <cell r="A745" t="str">
            <v>SIELMLAL143</v>
          </cell>
        </row>
        <row r="746">
          <cell r="A746" t="str">
            <v>SIELMLAL144</v>
          </cell>
        </row>
        <row r="747">
          <cell r="A747" t="str">
            <v>SIELMLAL145</v>
          </cell>
        </row>
        <row r="748">
          <cell r="A748" t="str">
            <v>SIELMLAL146</v>
          </cell>
        </row>
        <row r="749">
          <cell r="A749" t="str">
            <v>SIELMLAL147</v>
          </cell>
        </row>
        <row r="750">
          <cell r="A750" t="str">
            <v>SIELMLAL148</v>
          </cell>
        </row>
        <row r="751">
          <cell r="A751" t="str">
            <v>SIELMLAL149</v>
          </cell>
        </row>
        <row r="752">
          <cell r="A752" t="str">
            <v>SIELMLAL150</v>
          </cell>
        </row>
        <row r="753">
          <cell r="A753" t="str">
            <v>SIELMLX1015</v>
          </cell>
        </row>
        <row r="754">
          <cell r="A754" t="str">
            <v>SIELMLX1016</v>
          </cell>
        </row>
        <row r="755">
          <cell r="A755" t="str">
            <v>SIELCRAL020</v>
          </cell>
        </row>
        <row r="756">
          <cell r="A756" t="str">
            <v>SIELCRAL021</v>
          </cell>
        </row>
        <row r="757">
          <cell r="A757" t="str">
            <v>SIELMLAL151</v>
          </cell>
        </row>
        <row r="758">
          <cell r="A758" t="str">
            <v>SIELMLAL152</v>
          </cell>
        </row>
        <row r="759">
          <cell r="A759" t="str">
            <v>SIELMLAL153</v>
          </cell>
        </row>
        <row r="760">
          <cell r="A760" t="str">
            <v>SIELMLAL154</v>
          </cell>
        </row>
        <row r="761">
          <cell r="A761" t="str">
            <v>SIELMLAL155</v>
          </cell>
        </row>
        <row r="762">
          <cell r="A762" t="str">
            <v>SIELMLAL156</v>
          </cell>
        </row>
        <row r="763">
          <cell r="A763" t="str">
            <v>SIELMLAL157</v>
          </cell>
        </row>
        <row r="764">
          <cell r="A764" t="str">
            <v>SIELMLAL158</v>
          </cell>
        </row>
        <row r="765">
          <cell r="A765" t="str">
            <v>SIELMLAL159</v>
          </cell>
        </row>
        <row r="766">
          <cell r="A766" t="str">
            <v>SIELMLAL160</v>
          </cell>
        </row>
        <row r="767">
          <cell r="A767" t="str">
            <v>CHHQMLAN001</v>
          </cell>
        </row>
        <row r="768">
          <cell r="A768" t="str">
            <v>SIELMLAL161</v>
          </cell>
        </row>
        <row r="769">
          <cell r="A769" t="str">
            <v>SIELMLAL162</v>
          </cell>
        </row>
        <row r="770">
          <cell r="A770" t="str">
            <v>SIELMLAL163</v>
          </cell>
        </row>
        <row r="771">
          <cell r="A771" t="str">
            <v>SIELMLAL164</v>
          </cell>
        </row>
        <row r="772">
          <cell r="A772" t="str">
            <v>SIELMLAL165</v>
          </cell>
        </row>
        <row r="773">
          <cell r="A773" t="str">
            <v>SIELMLAL166</v>
          </cell>
        </row>
        <row r="774">
          <cell r="A774" t="str">
            <v>SIELMLAL167</v>
          </cell>
        </row>
        <row r="775">
          <cell r="A775" t="str">
            <v>SIELMLAL168</v>
          </cell>
        </row>
        <row r="776">
          <cell r="A776" t="str">
            <v>SIELMLAL169</v>
          </cell>
        </row>
        <row r="777">
          <cell r="A777" t="str">
            <v>SIELMLAL170</v>
          </cell>
        </row>
        <row r="778">
          <cell r="A778" t="str">
            <v>SIELMLAL171</v>
          </cell>
        </row>
        <row r="779">
          <cell r="A779" t="str">
            <v>SIELAUAL033</v>
          </cell>
        </row>
        <row r="780">
          <cell r="A780" t="str">
            <v>SIELAUAL034</v>
          </cell>
        </row>
        <row r="781">
          <cell r="A781">
            <v>0</v>
          </cell>
        </row>
        <row r="782">
          <cell r="A782" t="str">
            <v>SIELMLAL172</v>
          </cell>
        </row>
        <row r="783">
          <cell r="A783" t="str">
            <v>SIELMLAL173</v>
          </cell>
        </row>
        <row r="784">
          <cell r="A784" t="str">
            <v>SIELMLAL174</v>
          </cell>
        </row>
        <row r="785">
          <cell r="A785" t="str">
            <v>SIELMLAL175</v>
          </cell>
        </row>
        <row r="786">
          <cell r="A786" t="str">
            <v>SIELMLAL176</v>
          </cell>
        </row>
        <row r="787">
          <cell r="A787" t="str">
            <v>SIELMLAL177</v>
          </cell>
        </row>
        <row r="788">
          <cell r="A788" t="str">
            <v>SIELMLAL178</v>
          </cell>
        </row>
        <row r="789">
          <cell r="A789" t="str">
            <v>SIELPRAL039</v>
          </cell>
        </row>
        <row r="790">
          <cell r="A790" t="str">
            <v>SIELPRAL040</v>
          </cell>
        </row>
        <row r="791">
          <cell r="A791" t="str">
            <v>SIELMLAL179</v>
          </cell>
        </row>
        <row r="792">
          <cell r="A792" t="str">
            <v>SIELMLAL180</v>
          </cell>
        </row>
        <row r="793">
          <cell r="A793" t="str">
            <v>SIELMLAL181</v>
          </cell>
        </row>
        <row r="794">
          <cell r="A794" t="str">
            <v>SIELMLX1017</v>
          </cell>
        </row>
        <row r="795">
          <cell r="A795" t="str">
            <v>SIELMLX1018</v>
          </cell>
        </row>
        <row r="796">
          <cell r="A796" t="str">
            <v>SIELCTAL084</v>
          </cell>
        </row>
        <row r="797">
          <cell r="A797" t="str">
            <v>SIELCTAL085</v>
          </cell>
        </row>
        <row r="798">
          <cell r="A798" t="str">
            <v>SIELMLAL182</v>
          </cell>
        </row>
        <row r="799">
          <cell r="A799" t="str">
            <v>SIELPRAL041</v>
          </cell>
        </row>
        <row r="800">
          <cell r="A800" t="str">
            <v>SIELMLX6043</v>
          </cell>
        </row>
        <row r="801">
          <cell r="A801" t="str">
            <v>SIELCRAL022</v>
          </cell>
        </row>
        <row r="802">
          <cell r="A802" t="str">
            <v>SIELMLX6044</v>
          </cell>
        </row>
        <row r="803">
          <cell r="A803" t="str">
            <v>SIELMLX6045</v>
          </cell>
        </row>
        <row r="804">
          <cell r="A804" t="str">
            <v>SIELCRAL023</v>
          </cell>
        </row>
        <row r="805">
          <cell r="A805" t="str">
            <v>SIELMLC1066</v>
          </cell>
        </row>
        <row r="806">
          <cell r="A806" t="str">
            <v>SIELMLAL183</v>
          </cell>
        </row>
        <row r="807">
          <cell r="A807" t="str">
            <v>SIELPRAL042</v>
          </cell>
        </row>
        <row r="808">
          <cell r="A808">
            <v>0</v>
          </cell>
        </row>
        <row r="809">
          <cell r="A809" t="str">
            <v>SIELLPAL033</v>
          </cell>
        </row>
        <row r="810">
          <cell r="A810" t="str">
            <v>SIELMLCDMA003</v>
          </cell>
        </row>
        <row r="811">
          <cell r="A811" t="str">
            <v>SIELMLAL184</v>
          </cell>
        </row>
        <row r="812">
          <cell r="A812" t="str">
            <v>SIELMLAL185</v>
          </cell>
        </row>
        <row r="813">
          <cell r="A813" t="str">
            <v>SIELMLAL186</v>
          </cell>
        </row>
        <row r="814">
          <cell r="A814" t="str">
            <v>SIELMLAL187</v>
          </cell>
        </row>
        <row r="815">
          <cell r="A815" t="str">
            <v>SIELMLAL188</v>
          </cell>
        </row>
        <row r="816">
          <cell r="A816" t="str">
            <v>SIELMLAL189</v>
          </cell>
        </row>
        <row r="817">
          <cell r="A817" t="str">
            <v>SIELMLAL190</v>
          </cell>
        </row>
        <row r="818">
          <cell r="A818" t="str">
            <v>SIELMLAL191</v>
          </cell>
        </row>
        <row r="819">
          <cell r="A819" t="str">
            <v>SIELMLAL192</v>
          </cell>
        </row>
        <row r="820">
          <cell r="A820" t="str">
            <v>SIELMLAL193</v>
          </cell>
        </row>
        <row r="821">
          <cell r="A821" t="str">
            <v>SIELMLAL194</v>
          </cell>
        </row>
        <row r="822">
          <cell r="A822" t="str">
            <v>SIELMLAL195</v>
          </cell>
        </row>
        <row r="823">
          <cell r="A823" t="str">
            <v>SIELMLC1067</v>
          </cell>
        </row>
        <row r="824">
          <cell r="A824" t="str">
            <v>SIELCRAL024</v>
          </cell>
        </row>
        <row r="825">
          <cell r="A825" t="str">
            <v>SIELCTAL086</v>
          </cell>
        </row>
        <row r="826">
          <cell r="A826" t="str">
            <v>SIELITAL011</v>
          </cell>
        </row>
        <row r="827">
          <cell r="A827" t="str">
            <v>SIELMLAL196</v>
          </cell>
        </row>
        <row r="828">
          <cell r="A828" t="str">
            <v>SIELMLAL197</v>
          </cell>
        </row>
        <row r="829">
          <cell r="A829" t="str">
            <v>SIELCTAL087</v>
          </cell>
        </row>
        <row r="830">
          <cell r="A830" t="str">
            <v>SIELCTAL088</v>
          </cell>
        </row>
        <row r="831">
          <cell r="A831" t="str">
            <v>SIELMLX6046</v>
          </cell>
        </row>
        <row r="832">
          <cell r="A832" t="str">
            <v>SIELPRAL043</v>
          </cell>
        </row>
        <row r="833">
          <cell r="A833" t="str">
            <v>SIELCTAL089</v>
          </cell>
        </row>
        <row r="834">
          <cell r="A834" t="str">
            <v>SIELCRAL025</v>
          </cell>
        </row>
        <row r="835">
          <cell r="A835" t="str">
            <v>SIELMLAL198</v>
          </cell>
        </row>
        <row r="836">
          <cell r="A836" t="str">
            <v>SIELMLAL199</v>
          </cell>
        </row>
        <row r="837">
          <cell r="A837" t="str">
            <v>SIELMLAL200</v>
          </cell>
        </row>
        <row r="838">
          <cell r="A838" t="str">
            <v>SIELMLAL201</v>
          </cell>
        </row>
        <row r="839">
          <cell r="A839" t="str">
            <v>SIELCAMAL001</v>
          </cell>
        </row>
        <row r="840">
          <cell r="A840" t="str">
            <v>SIELCAMAL002</v>
          </cell>
        </row>
        <row r="841">
          <cell r="A841" t="str">
            <v>SIELMLAL202</v>
          </cell>
        </row>
        <row r="842">
          <cell r="A842" t="str">
            <v>SIELCRAL026</v>
          </cell>
        </row>
        <row r="843">
          <cell r="A843" t="str">
            <v>SIELCTAL090</v>
          </cell>
        </row>
        <row r="844">
          <cell r="A844" t="str">
            <v>SIELCTAL091</v>
          </cell>
        </row>
        <row r="845">
          <cell r="A845" t="str">
            <v>SIELCRAL027</v>
          </cell>
        </row>
        <row r="846">
          <cell r="A846" t="str">
            <v>SIELCRAL028</v>
          </cell>
        </row>
        <row r="847">
          <cell r="A847" t="str">
            <v>SIELCRAL029</v>
          </cell>
        </row>
        <row r="848">
          <cell r="A848" t="str">
            <v>SIELMLAL203</v>
          </cell>
        </row>
        <row r="849">
          <cell r="A849">
            <v>0</v>
          </cell>
        </row>
        <row r="850">
          <cell r="A850" t="str">
            <v>SIELSSAL004</v>
          </cell>
        </row>
        <row r="851">
          <cell r="A851" t="str">
            <v>SIELSSAL005</v>
          </cell>
        </row>
        <row r="852">
          <cell r="A852" t="str">
            <v>SIELMLX6047</v>
          </cell>
        </row>
        <row r="853">
          <cell r="A853" t="str">
            <v>SIELCRAL030</v>
          </cell>
        </row>
        <row r="854">
          <cell r="A854" t="str">
            <v>SIELMLAL204</v>
          </cell>
        </row>
        <row r="855">
          <cell r="A855" t="str">
            <v>SIELMLAL205</v>
          </cell>
        </row>
        <row r="856">
          <cell r="A856" t="str">
            <v>SIELMLAL206</v>
          </cell>
        </row>
        <row r="857">
          <cell r="A857" t="str">
            <v>SIELMLAL207</v>
          </cell>
        </row>
        <row r="858">
          <cell r="A858" t="str">
            <v>SIELMLAL208</v>
          </cell>
        </row>
        <row r="859">
          <cell r="A859" t="str">
            <v>SIELPRAL044</v>
          </cell>
        </row>
        <row r="860">
          <cell r="A860" t="str">
            <v>SIELMLX6048</v>
          </cell>
        </row>
        <row r="861">
          <cell r="A861" t="str">
            <v>SIELCRAL031</v>
          </cell>
        </row>
        <row r="862">
          <cell r="A862" t="str">
            <v>SIELCRAL032</v>
          </cell>
        </row>
        <row r="863">
          <cell r="A863" t="str">
            <v>SIELACAL031</v>
          </cell>
        </row>
        <row r="864">
          <cell r="A864" t="str">
            <v>SIELPRAL045</v>
          </cell>
        </row>
        <row r="865">
          <cell r="A865" t="str">
            <v>SIELPRAL046</v>
          </cell>
        </row>
        <row r="866">
          <cell r="A866" t="str">
            <v>SIELMLAL209</v>
          </cell>
        </row>
        <row r="867">
          <cell r="A867" t="str">
            <v>SIELAUAL035</v>
          </cell>
        </row>
        <row r="868">
          <cell r="A868" t="str">
            <v>SIELLPAL034</v>
          </cell>
        </row>
        <row r="869">
          <cell r="A869" t="str">
            <v>SIELCRAL033</v>
          </cell>
        </row>
        <row r="870">
          <cell r="A870" t="str">
            <v>SIELCRAL034</v>
          </cell>
        </row>
        <row r="871">
          <cell r="A871">
            <v>0</v>
          </cell>
        </row>
        <row r="872">
          <cell r="A872">
            <v>0</v>
          </cell>
        </row>
        <row r="873">
          <cell r="A873">
            <v>0</v>
          </cell>
        </row>
        <row r="874">
          <cell r="A874">
            <v>0</v>
          </cell>
        </row>
        <row r="875">
          <cell r="A875">
            <v>0</v>
          </cell>
        </row>
        <row r="876">
          <cell r="A876">
            <v>0</v>
          </cell>
        </row>
        <row r="877">
          <cell r="A877">
            <v>0</v>
          </cell>
        </row>
        <row r="878">
          <cell r="A878">
            <v>0</v>
          </cell>
        </row>
        <row r="879">
          <cell r="A879">
            <v>0</v>
          </cell>
        </row>
        <row r="880">
          <cell r="A880">
            <v>0</v>
          </cell>
        </row>
        <row r="881">
          <cell r="A881">
            <v>0</v>
          </cell>
        </row>
        <row r="882">
          <cell r="A882">
            <v>0</v>
          </cell>
        </row>
        <row r="883">
          <cell r="A883">
            <v>0</v>
          </cell>
        </row>
        <row r="884">
          <cell r="A884">
            <v>0</v>
          </cell>
        </row>
        <row r="885">
          <cell r="A885">
            <v>0</v>
          </cell>
        </row>
        <row r="886">
          <cell r="A886">
            <v>0</v>
          </cell>
        </row>
        <row r="887">
          <cell r="A887">
            <v>0</v>
          </cell>
        </row>
        <row r="888">
          <cell r="A888">
            <v>0</v>
          </cell>
        </row>
        <row r="889">
          <cell r="A889">
            <v>0</v>
          </cell>
        </row>
        <row r="890">
          <cell r="A890">
            <v>0</v>
          </cell>
        </row>
        <row r="891">
          <cell r="A891">
            <v>0</v>
          </cell>
        </row>
        <row r="892">
          <cell r="A892">
            <v>0</v>
          </cell>
        </row>
        <row r="893">
          <cell r="A893">
            <v>0</v>
          </cell>
        </row>
        <row r="894">
          <cell r="A894">
            <v>0</v>
          </cell>
        </row>
        <row r="895">
          <cell r="A895">
            <v>0</v>
          </cell>
        </row>
        <row r="896">
          <cell r="A896">
            <v>0</v>
          </cell>
        </row>
        <row r="897">
          <cell r="A897">
            <v>0</v>
          </cell>
        </row>
        <row r="898">
          <cell r="A898">
            <v>0</v>
          </cell>
        </row>
        <row r="899">
          <cell r="A899">
            <v>0</v>
          </cell>
        </row>
        <row r="900">
          <cell r="A900">
            <v>0</v>
          </cell>
        </row>
        <row r="901">
          <cell r="A901">
            <v>0</v>
          </cell>
        </row>
      </sheetData>
      <sheetData sheetId="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c"/>
      <sheetName val="P &amp; L"/>
      <sheetName val="Sch Bsc"/>
      <sheetName val="Sche P &amp; L"/>
      <sheetName val="Sub Sch BS"/>
      <sheetName val="Sub Sch P&amp;L"/>
      <sheetName val="Cash Flow"/>
      <sheetName val="Defered tax"/>
      <sheetName val="FA Schedule"/>
      <sheetName val="Dep Working"/>
      <sheetName val="FA -addition"/>
      <sheetName val="Computation"/>
      <sheetName val="234"/>
      <sheetName val="EPS"/>
      <sheetName val="IT dep"/>
      <sheetName val="TCS"/>
      <sheetName val="TDS"/>
      <sheetName val="Sub Sch BS ROUGH"/>
    </sheetNames>
    <sheetDataSet>
      <sheetData sheetId="0"/>
      <sheetData sheetId="1"/>
      <sheetData sheetId="2"/>
      <sheetData sheetId="3"/>
      <sheetData sheetId="4" refreshError="1"/>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تدفقات و مدفوعات"/>
      <sheetName val="WORK COV"/>
      <sheetName val="اجور .ف1"/>
      <sheetName val="سلعيه"/>
      <sheetName val="خدمى"/>
      <sheetName val="مقاولين"/>
      <sheetName val="تحو"/>
      <sheetName val="تخصيصيه"/>
      <sheetName val="اهلاك"/>
      <sheetName val="معد .خ"/>
      <sheetName val="معد .ث"/>
      <sheetName val="B2826"/>
      <sheetName val="Index"/>
      <sheetName val="Form 1"/>
      <sheetName val="Form 2"/>
      <sheetName val="Form 3"/>
      <sheetName val="Form 4"/>
      <sheetName val="Form 5"/>
      <sheetName val="Form 7"/>
      <sheetName val="Form 6"/>
      <sheetName val="Form 8"/>
      <sheetName val="Form 9"/>
      <sheetName val="Form 10"/>
      <sheetName val="Form 11"/>
      <sheetName val="S1BOQ"/>
      <sheetName val="S2groupcode"/>
      <sheetName val="S3workplanqty"/>
      <sheetName val="S3workplanamt"/>
      <sheetName val="Shadow BOQ"/>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eason Dircost"/>
      <sheetName val="Chart1"/>
      <sheetName val="Chart-2"/>
      <sheetName val="Chart3"/>
      <sheetName val="Expenses"/>
      <sheetName val="turnover"/>
      <sheetName val="Chart4"/>
      <sheetName val="Chart5"/>
      <sheetName val="Sheet3"/>
      <sheetName val="est"/>
      <sheetName val="02.06.07 (2)"/>
      <sheetName val="B2753"/>
      <sheetName val="Page-1"/>
      <sheetName val="page-2"/>
      <sheetName val="Page-3"/>
      <sheetName val="Page-4"/>
      <sheetName val="Page-5"/>
      <sheetName val="Page-6"/>
      <sheetName val="30-7"/>
      <sheetName val="Proj Details"/>
      <sheetName val="."/>
      <sheetName val="Final Tender"/>
      <sheetName val="Sch A-Viaduct"/>
      <sheetName val="Sch A - Typ Station "/>
      <sheetName val="Q-Abstract"/>
      <sheetName val="FOB"/>
      <sheetName val=","/>
      <sheetName val=";"/>
      <sheetName val="Sch B"/>
      <sheetName val="Strip Plan"/>
      <sheetName val="Major Items"/>
      <sheetName val="Cost of equip,fabrication"/>
      <sheetName val="Schedule"/>
      <sheetName val="Late start"/>
      <sheetName val="early start"/>
      <sheetName val="Q-INP"/>
      <sheetName val="Q Baricade"/>
      <sheetName val="Q-Pil"/>
      <sheetName val="Q-PC"/>
      <sheetName val="Q-Pier"/>
      <sheetName val="Q-Seg"/>
      <sheetName val="Q-Para"/>
      <sheetName val="Q-CB"/>
      <sheetName val="Q-Be"/>
      <sheetName val="Q-HTS"/>
      <sheetName val="Q-CT"/>
      <sheetName val="Q-OS"/>
      <sheetName val="Q HR"/>
      <sheetName val="R-Mat"/>
      <sheetName val="R-Subcon"/>
      <sheetName val="R-Hire"/>
      <sheetName val="Equip Depl"/>
      <sheetName val="R-Con"/>
      <sheetName val="R-Stations"/>
      <sheetName val="R-Pil"/>
      <sheetName val="R-PC"/>
      <sheetName val="R-Pier"/>
      <sheetName val="R-Void Slab"/>
      <sheetName val="R-Seg"/>
      <sheetName val="R-Prest"/>
      <sheetName val="R-Laun"/>
      <sheetName val="R-OS"/>
      <sheetName val="R-SKB"/>
      <sheetName val="R-Bear"/>
      <sheetName val="R-CB"/>
      <sheetName val="R-Para"/>
      <sheetName val="R - portal"/>
      <sheetName val="R CLC"/>
      <sheetName val="R-CT"/>
      <sheetName val="P-Summary"/>
      <sheetName val="P-Ins &amp; Bonds"/>
      <sheetName val="P-Finance"/>
      <sheetName val="P-Salary"/>
      <sheetName val="P Staff fac"/>
      <sheetName val="P-Site fac"/>
      <sheetName val="P-Clients fac"/>
      <sheetName val="P-others"/>
      <sheetName val="P-Travel"/>
      <sheetName val="P-Admn"/>
      <sheetName val="P-Lab"/>
      <sheetName val="P Cash Flow"/>
      <sheetName val="??? .?"/>
      <sheetName val="Total Collection"/>
      <sheetName val="DMRC3"/>
      <sheetName val="BORING "/>
      <sheetName val="LINER"/>
      <sheetName val="EXPANSION JOINT"/>
      <sheetName val="CIS MAIN BERTH-1"/>
      <sheetName val="BOQ 725-769"/>
      <sheetName val="EVM-INDEX"/>
      <sheetName val="Flow Chart"/>
      <sheetName val="EVM1-Proj1"/>
      <sheetName val="EVM2-Proj1"/>
      <sheetName val="EVM2-Proj2"/>
      <sheetName val="EVM2-Proj3"/>
      <sheetName val="EVM3"/>
      <sheetName val="EVM4"/>
      <sheetName val="Performance Graph"/>
      <sheetName val="Format"/>
      <sheetName val="cost Format"/>
      <sheetName val="CJPC   "/>
      <sheetName val="Abstract "/>
      <sheetName val="Piling MB"/>
      <sheetName val="Abs of Pile Rein"/>
      <sheetName val="Reinforcement "/>
      <sheetName val="Pre cast Beam M.B"/>
      <sheetName val="Abs of Beam"/>
      <sheetName val="Pre cast Beam BBS"/>
      <sheetName val="C.In Situ Muff M.B."/>
      <sheetName val="P.C.Muff M.B"/>
      <sheetName val="Abs.of Muff"/>
      <sheetName val="Pre &amp; cast  Muff  BBS"/>
      <sheetName val="Abs. Cross Beam "/>
      <sheetName val="Sheet1"/>
      <sheetName val="BBS CROSS Beam"/>
      <sheetName val="Cross Beam M.B. "/>
      <sheetName val="Con.Pedstal M.B."/>
      <sheetName val="BBS C.B.P."/>
      <sheetName val="Total Abstract"/>
      <sheetName val="Reco_1"/>
      <sheetName val="Reco_2"/>
      <sheetName val="Walk-way M.B."/>
      <sheetName val="concrete"/>
      <sheetName val="Con Rate"/>
      <sheetName val="concrete detail"/>
      <sheetName val="CJPC"/>
      <sheetName val="Table of Contents"/>
      <sheetName val="Table of Contents (2)"/>
      <sheetName val="Abstract-Cert"/>
      <sheetName val="Abstract"/>
      <sheetName val="Index Sheet"/>
      <sheetName val="Meas-1"/>
      <sheetName val="Meas-2"/>
      <sheetName val="Meas-3"/>
      <sheetName val="Meas-4"/>
      <sheetName val="Meas-5"/>
      <sheetName val="Meas-6"/>
      <sheetName val="Extra Item"/>
      <sheetName val="1.04-1"/>
      <sheetName val="2.01(a)-1"/>
      <sheetName val="G-13 2.01-2"/>
      <sheetName val="G-13 2.01-3"/>
      <sheetName val="G-13 2.01-4"/>
      <sheetName val="R-2 2.01-5"/>
      <sheetName val="MRR-1 2.01-6"/>
      <sheetName val="G-13 2.01-7"/>
      <sheetName val="2.01-b-II-1"/>
      <sheetName val="2.01-b-II-2"/>
      <sheetName val="2.01-b-II-3"/>
      <sheetName val="2.07-1"/>
      <sheetName val="2.07-2"/>
      <sheetName val="2.07-3"/>
      <sheetName val="2.07-4"/>
      <sheetName val="2.07-5"/>
      <sheetName val="2.07-6"/>
      <sheetName val="3.01-1"/>
      <sheetName val="3.01-2"/>
      <sheetName val="3.01-3"/>
      <sheetName val="3.01-4"/>
      <sheetName val="3.01-5"/>
      <sheetName val="3.02-1"/>
      <sheetName val="3.02-2"/>
      <sheetName val="3.02-3"/>
      <sheetName val="3.02-4"/>
      <sheetName val="3.02-5"/>
      <sheetName val="3.02-6"/>
      <sheetName val="3.02-7"/>
      <sheetName val="3.02-8"/>
      <sheetName val="3.02-9"/>
      <sheetName val="3.02-10"/>
      <sheetName val="3.02-11"/>
      <sheetName val="3.02-13"/>
      <sheetName val="4.01-1"/>
      <sheetName val="4.02-1"/>
      <sheetName val="4.04-1"/>
      <sheetName val="4.04-2"/>
      <sheetName val="E03-1"/>
      <sheetName val="E03-2"/>
      <sheetName val="E12-1"/>
      <sheetName val="Rock Filling"/>
      <sheetName val="Cement Reconciliation"/>
      <sheetName val="Bitumen Reconciliation"/>
      <sheetName val="Steel"/>
      <sheetName val="Bitumen"/>
      <sheetName val="Bitumen-Consumption"/>
      <sheetName val="Prime Coat"/>
      <sheetName val="Tack Coat"/>
      <sheetName val="BM"/>
      <sheetName val="DBM"/>
      <sheetName val="Gate Pass"/>
      <sheetName val="print"/>
      <sheetName val="Bill"/>
      <sheetName val="Final"/>
      <sheetName val="Sheet2"/>
      <sheetName val="SEP-08(34)"/>
      <sheetName val="SEP-08 (5-9)"/>
      <sheetName val="Meas"/>
      <sheetName val="CJPC (2)"/>
      <sheetName val="RA-markate"/>
      <sheetName val="Civil Boq"/>
      <sheetName val="___ ._"/>
      <sheetName val="산근"/>
      <sheetName val="#REF"/>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_REF"/>
      <sheetName val="집계표_OPTION_"/>
      <sheetName val="당초"/>
      <sheetName val="단가(자재)"/>
      <sheetName val="단가(노임)"/>
      <sheetName val="기초목록"/>
      <sheetName val="노임단가"/>
      <sheetName val="???"/>
      <sheetName val="VC2 10.99"/>
      <sheetName val="예산"/>
      <sheetName val="KP1590_E"/>
      <sheetName val="영업2"/>
      <sheetName val="1월"/>
      <sheetName val="inter"/>
      <sheetName val="ERECIN"/>
      <sheetName val="INPUT DATA"/>
      <sheetName val="BQMPALOC"/>
      <sheetName val="공문"/>
      <sheetName val="영업3"/>
      <sheetName val="금액내역서"/>
      <sheetName val="BQ_Utl_Off"/>
      <sheetName val="??"/>
      <sheetName val="수입"/>
      <sheetName val="집계표 (25,26ဩ"/>
      <sheetName val="»ê±Ù"/>
      <sheetName val="12CGOU"/>
      <sheetName val="경영혁신본부"/>
      <sheetName val="Final(1)summary"/>
      <sheetName val="BD集計用"/>
      <sheetName val="연돌일위집계"/>
      <sheetName val="Form 0"/>
      <sheetName val="COVER"/>
      <sheetName val="___"/>
      <sheetName val="DESCRIPTION"/>
      <sheetName val="95삼성급(본사)"/>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갑지"/>
      <sheetName val="세금자료"/>
      <sheetName val="Form D-1"/>
      <sheetName val="Form B-1"/>
      <sheetName val="Form F-1"/>
      <sheetName val="Assist(B-1)"/>
      <sheetName val="Form A"/>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
      <sheetName val="집계표_(25,26ဩ"/>
      <sheetName val="Form_0"/>
      <sheetName val="Form_D-1"/>
      <sheetName val="Form_B-1"/>
      <sheetName val="Form_F-1"/>
      <sheetName val="Form_A"/>
      <sheetName val="Basic_Rate"/>
      <sheetName val="appendix_2_5_final_accounts"/>
      <sheetName val="Labour"/>
      <sheetName val="Material"/>
      <sheetName val="Sheet1_(2)"/>
      <sheetName val="General Data"/>
      <sheetName val="__"/>
      <sheetName val="LABOR &amp; 자재"/>
      <sheetName val="제작도"/>
      <sheetName val="입출재고현황 (2)"/>
      <sheetName val="SANDAN"/>
      <sheetName val="뜃맟뭁돽띿맟?-BLDG"/>
      <sheetName val="SALA-002"/>
      <sheetName val="TTL"/>
      <sheetName val="DRUM"/>
      <sheetName val="eq_data"/>
      <sheetName val="기성내역"/>
      <sheetName val="General_Data"/>
      <sheetName val="DHEQSUPT"/>
      <sheetName val="CB"/>
      <sheetName val="3.공통공사대비"/>
      <sheetName val="M-EQPT-Z"/>
      <sheetName val="주간기성"/>
      <sheetName val="간접비 총괄"/>
      <sheetName val="POWER"/>
      <sheetName val="ESCON"/>
      <sheetName val="뜃맟뭁돽띿맟_-BLDG"/>
      <sheetName val="내역ࠜĀ_x0000_M4)"/>
      <sheetName val="???(OPTION)"/>
      <sheetName val="B"/>
      <sheetName val="IN"/>
      <sheetName val="Price Schedule"/>
      <sheetName val="간접비내역-1"/>
      <sheetName val="Lup2"/>
      <sheetName val="당진1,2호기전선관설치및접지4차공사내역서-을지"/>
      <sheetName val="노임단가표"/>
      <sheetName val="6PILE  (돌출)"/>
      <sheetName val="h-013211-2"/>
      <sheetName val="표지"/>
      <sheetName val="Cash2"/>
      <sheetName val="Z"/>
      <sheetName val="A"/>
      <sheetName val="내역서 耰&quot;_x0000__x0000_"/>
      <sheetName val="_x0008_"/>
      <sheetName val="비교검토"/>
      <sheetName val="合成単価作成表-BLDG"/>
      <sheetName val="INSTR"/>
      <sheetName val="BOROUGE2"/>
      <sheetName val="CAL."/>
      <sheetName val="EQT-ESTN"/>
      <sheetName val="???¡§????"/>
      <sheetName val="????¢ç¢®¡¿????"/>
      <sheetName val="??????????¢ç??????"/>
      <sheetName val="???????¢ç¢®¢¯????"/>
      <sheetName val="???????®¡¿????"/>
      <sheetName val="??????????????????"/>
      <sheetName val="PRICES"/>
      <sheetName val="Q&amp;pl-V"/>
      <sheetName val="WE'T"/>
      <sheetName val="CTEMCOST"/>
      <sheetName val="Rate Analysis"/>
      <sheetName val="내역ࠜĀ?M4)"/>
      <sheetName val="F4-F7"/>
      <sheetName val="내역서 耰&quot;??"/>
      <sheetName val="24V"/>
      <sheetName val="EQUIPMENT -2"/>
      <sheetName val="LEGEND"/>
      <sheetName val="내역ࠜĀ_x005f_x0000_M4)"/>
      <sheetName val="물량"/>
      <sheetName val="WEIGHT LIST"/>
      <sheetName val="산#2-1 (2)"/>
      <sheetName val="POL6차-PIPING"/>
      <sheetName val="산#3-1"/>
      <sheetName val="BEND LOSS"/>
      <sheetName val="찍기"/>
      <sheetName val="PBS"/>
      <sheetName val="내역서 耰&quot;_x005f_x0000__x005f_x0000_"/>
      <sheetName val="_x005f_x0008_"/>
      <sheetName val="내역ࠜĀ_x005f_x005f_x005f_x0000_M4)"/>
      <sheetName val="PI"/>
      <sheetName val="EQUIP LIST"/>
      <sheetName val="내역"/>
      <sheetName val="단면 (2)"/>
      <sheetName val="SOURCE"/>
      <sheetName val="실행"/>
      <sheetName val="EQUIP"/>
      <sheetName val="공사비 내역 (가)"/>
      <sheetName val="Static Equip"/>
      <sheetName val="CAT_5"/>
      <sheetName val="3.Breakdown Direct Paint"/>
      <sheetName val="Spl"/>
      <sheetName val="내역ࠜĀ"/>
      <sheetName val="PROCURE"/>
      <sheetName val="BID"/>
      <sheetName val="국내"/>
      <sheetName val="Form A "/>
      <sheetName val="jobhist"/>
      <sheetName val="Quantity"/>
      <sheetName val="___(OPTION)"/>
      <sheetName val="____¢ç¢®¡¿____"/>
      <sheetName val="__________¢ç______"/>
      <sheetName val="___¡§____"/>
      <sheetName val="_______¢ç¢®¢¯____"/>
      <sheetName val="_______®¡¿____"/>
      <sheetName val="__________________"/>
      <sheetName val="내역서 耰&quot;__"/>
      <sheetName val="Summary Sheets"/>
      <sheetName val="내역서 耰&quot;"/>
      <sheetName val="내역ࠜĀ_M4)"/>
      <sheetName val="AOC"/>
      <sheetName val="01"/>
      <sheetName val="02"/>
      <sheetName val="03"/>
      <sheetName val="04"/>
      <sheetName val="05"/>
      <sheetName val="06"/>
      <sheetName val="07"/>
      <sheetName val="08"/>
      <sheetName val="09"/>
      <sheetName val="BoQ"/>
      <sheetName val="Budget Bearing _Samut"/>
      <sheetName val="Qty Bearing-Samut"/>
      <sheetName val="Basic Rate"/>
      <sheetName val="Summary of Cost"/>
      <sheetName val="Bill- 1"/>
      <sheetName val="Bill- 2"/>
      <sheetName val="Bill- 3"/>
      <sheetName val="Bill- 4"/>
      <sheetName val="Bill- 5"/>
      <sheetName val="Bill- 6"/>
      <sheetName val="Bill- 7"/>
      <sheetName val="Bill-8"/>
      <sheetName val="Bill- 9"/>
      <sheetName val="Bill- 10"/>
      <sheetName val="Bill-11"/>
      <sheetName val="Bill-12"/>
      <sheetName val="Bill-13"/>
      <sheetName val="Bill- 14"/>
      <sheetName val="Sheet1 (2)"/>
      <sheetName val="Copy of Prog"/>
      <sheetName val="B2826 Cost Bkp"/>
      <sheetName val="B2827"/>
      <sheetName val="B2827 Cost Bkp"/>
      <sheetName val="B2833"/>
      <sheetName val="B2833 Cost Bkp"/>
      <sheetName val="NS 34 &amp; 35 H1,11 CTC Analysis"/>
      <sheetName val="appendix 2.5 final accounts"/>
      <sheetName val="ftstaff"/>
      <sheetName val="1 Labour"/>
      <sheetName val="Station for phy s curve"/>
      <sheetName val="for phy s curve viaduct"/>
      <sheetName val="Rev Cash Flow"/>
      <sheetName val="fin S Curve"/>
      <sheetName val="for phy s curve FOB"/>
      <sheetName val="for phy s curve sch B"/>
      <sheetName val="Budget"/>
      <sheetName val="BCWS-CTC"/>
      <sheetName val="CTC Summary"/>
      <sheetName val="BCWP"/>
      <sheetName val="Site &amp; Administration Cost"/>
      <sheetName val="EVM1"/>
      <sheetName val="EVM2"/>
      <sheetName val="EVM4A"/>
      <sheetName val="EVM5"/>
      <sheetName val="EVM5- Revised"/>
      <sheetName val="W block"/>
      <sheetName val="Table 41"/>
      <sheetName val="Table 9"/>
      <sheetName val="Table11"/>
      <sheetName val="K-1"/>
      <sheetName val="K-2"/>
      <sheetName val="K-3"/>
      <sheetName val="Table 1"/>
      <sheetName val="Table 2"/>
      <sheetName val="Table 3"/>
      <sheetName val="Table 4"/>
      <sheetName val="Table 5"/>
      <sheetName val="Table 6"/>
      <sheetName val="Pivot"/>
      <sheetName val="Pivot 2"/>
      <sheetName val="DOT-Customer-data"/>
      <sheetName val="Fund Utilisation"/>
      <sheetName val="Consol"/>
      <sheetName val="Hyderabad_NLA"/>
      <sheetName val="Silokhera_NLA"/>
      <sheetName val="Cyber City_NLA"/>
      <sheetName val="Chennai_NLA"/>
      <sheetName val="Summary"/>
      <sheetName val="Chennai "/>
      <sheetName val="Tenant-Chennai"/>
      <sheetName val="Hyderabad"/>
      <sheetName val="Tanent-W Block"/>
      <sheetName val="W block (2)"/>
      <sheetName val="Silokhera"/>
      <sheetName val="Table 7"/>
      <sheetName val="Project Data"/>
      <sheetName val="Unleased area"/>
      <sheetName val="Assumption"/>
      <sheetName val="Pivot (2)"/>
      <sheetName val="Building Matrix"/>
      <sheetName val="Related - Construction"/>
      <sheetName val="TB31.12.2008"/>
      <sheetName val="BS &amp; PL"/>
      <sheetName val="Cash Flow"/>
      <sheetName val="BS Schedule"/>
      <sheetName val="Sch 4 FA Sch"/>
      <sheetName val="Sch 5- Investment"/>
      <sheetName val="P&amp;L Schedule"/>
      <sheetName val="Inventory"/>
      <sheetName val="POCM - 31.12.08"/>
      <sheetName val="Final - Plots  "/>
      <sheetName val="Final - Town Houses"/>
      <sheetName val="Deferred  Tax"/>
      <sheetName val="Tax Provision"/>
      <sheetName val="Dep As per IT act "/>
      <sheetName val="FBT-Working "/>
      <sheetName val="Details "/>
      <sheetName val="Fixed Assets Register"/>
      <sheetName val="AR TB"/>
      <sheetName val="ICD- interest Income  "/>
      <sheetName val="Interest CCD- Expenses"/>
      <sheetName val="Group -31.12.2008"/>
      <sheetName val="Related Party"/>
      <sheetName val="Balance Sheet"/>
      <sheetName val="Interest Allocation "/>
      <sheetName val="DTA &amp; C TAX"/>
      <sheetName val="One Pager"/>
      <sheetName val="P &amp; L Schedule"/>
      <sheetName val="Grouping Sheet"/>
      <sheetName val="Revised TB Ramco"/>
      <sheetName val="TB 31.03.10"/>
      <sheetName val="Ramco TB"/>
      <sheetName val="Pocm Sheet"/>
      <sheetName val="Q-1 Sale"/>
      <sheetName val="Project Summary"/>
      <sheetName val="Fixed Assets "/>
      <sheetName val="IT -Assets"/>
      <sheetName val="Furniture &amp; Fixture"/>
      <sheetName val="office equipment"/>
      <sheetName val="Leasehold"/>
      <sheetName val="Development Rights"/>
      <sheetName val="PF Details"/>
      <sheetName val="DRDL Int ICD"/>
      <sheetName val="DCDL Int ICD"/>
      <sheetName val="DHDL Int. CCD"/>
      <sheetName val="Clogs Int.CCD"/>
      <sheetName val="Epop Working"/>
      <sheetName val="Rent Equalization"/>
      <sheetName val="GAM Text"/>
      <sheetName val="BS SAC YS Ver 2.0"/>
      <sheetName val="P&amp;L SAC YS Ver 2.0"/>
      <sheetName val="BS SAC Ver 1.0"/>
      <sheetName val="P&amp;L SAC Ver 1.0"/>
      <sheetName val="YS SAC"/>
      <sheetName val="Schedule VI"/>
      <sheetName val="foundation"/>
      <sheetName val="substructure"/>
      <sheetName val="PSC SUP(5x15)"/>
      <sheetName val="PSC SUP(5x15) SR"/>
      <sheetName val="FIXED ITEMS"/>
      <sheetName val="Area Statement"/>
      <sheetName val="Calculation sheet"/>
      <sheetName val="Shuttering"/>
      <sheetName val="Eqpt.Running"/>
      <sheetName val="BOQ-CODE-SFP "/>
      <sheetName val="Activitywise Qty"/>
      <sheetName val="Time"/>
      <sheetName val="Qty"/>
      <sheetName val="Requiered"/>
      <sheetName val="Module1"/>
      <sheetName val="operat_staff"/>
      <sheetName val="Rate Ana"/>
      <sheetName val="estimate"/>
      <sheetName val="Book1"/>
      <sheetName val="BHANDUP"/>
      <sheetName val="PLAN_FEB97"/>
      <sheetName val=""/>
      <sheetName val="Bridges"/>
      <sheetName val="Bridges (Abst)"/>
      <sheetName val="Overpass"/>
      <sheetName val="Slab Culvert"/>
      <sheetName val="Underpass"/>
      <sheetName val="Admin"/>
      <sheetName val="Decision Table"/>
      <sheetName val="Dates"/>
      <sheetName val="EPC Cost"/>
      <sheetName val="PrjCost Assumptions"/>
      <sheetName val="Finance Assumptions"/>
      <sheetName val="Revenue Assumptions"/>
      <sheetName val="Traffic Assum"/>
      <sheetName val="TP1 - High Case"/>
      <sheetName val="TP1 - Base Case"/>
      <sheetName val="TP1 - Low Case"/>
      <sheetName val="TP2 - High Case"/>
      <sheetName val="TP2 - Base Case"/>
      <sheetName val="TP2 - Low Case"/>
      <sheetName val="O&amp;M Assumptions"/>
      <sheetName val="Abstract (2)"/>
      <sheetName val="Project Cost"/>
      <sheetName val="MoF"/>
      <sheetName val="LoanSch - Options"/>
      <sheetName val="LoanSch"/>
      <sheetName val="Securitization"/>
      <sheetName val="Traffic"/>
      <sheetName val="Toll Rates"/>
      <sheetName val="Toll Revenues"/>
      <sheetName val="O&amp;M"/>
      <sheetName val="Misc"/>
      <sheetName val="Revenue Share"/>
      <sheetName val="Profit &amp; Loss"/>
      <sheetName val="Ratios"/>
      <sheetName val="Traffic&gt;&gt;"/>
      <sheetName val="High Case"/>
      <sheetName val="Base case with Ganga"/>
      <sheetName val="Base case without Ganga"/>
      <sheetName val="Low Case"/>
      <sheetName val="O&amp;M&gt;&gt;"/>
      <sheetName val="Capex Cost"/>
      <sheetName val="Maintainence per kms cost"/>
      <sheetName val="MAintenance cost per month"/>
      <sheetName val="ATMS and Toll system"/>
      <sheetName val="staff"/>
      <sheetName val="Periodic Maintaince"/>
      <sheetName val="Road-Analysis"/>
      <sheetName val="Road-Boq"/>
      <sheetName val="Analy"/>
      <sheetName val="AppeE"/>
      <sheetName val="Boq-with fire"/>
      <sheetName val="Boq-wo fire"/>
      <sheetName val="Compare"/>
      <sheetName val="Shutter"/>
      <sheetName val="Appendix-E"/>
      <sheetName val="ANALYS"/>
      <sheetName val="Summary - Page 1"/>
      <sheetName val="Interest"/>
      <sheetName val="Facility"/>
      <sheetName val="P&amp;M"/>
      <sheetName val="Salary"/>
      <sheetName val="cons profitability statement"/>
      <sheetName val="cons volume"/>
      <sheetName val="cons captial employed"/>
      <sheetName val="cons cashflow"/>
      <sheetName val="cons scorecard"/>
      <sheetName val="agro_cons"/>
      <sheetName val="agroQrtWise"/>
      <sheetName val="Sumary"/>
      <sheetName val="AGRO Summary (2)"/>
      <sheetName val="energy only (2)"/>
      <sheetName val="energy _cashflow"/>
      <sheetName val="AGRO Summary"/>
      <sheetName val="agrops&amp;ce"/>
      <sheetName val="MSEZ_PMC 28022007"/>
      <sheetName val="MSEZL 28022007"/>
      <sheetName val="BS Group"/>
      <sheetName val="Grouping MSEZL"/>
      <sheetName val="Pivot Trial Balance"/>
      <sheetName val="MPSEZL"/>
      <sheetName val="PMC_MPSEZL"/>
      <sheetName val="MSEZ"/>
      <sheetName val="PMC_MSEZ"/>
      <sheetName val="ACL"/>
      <sheetName val="Grouping"/>
      <sheetName val="Trial Balances"/>
      <sheetName val="Highlight"/>
      <sheetName val="BirdEyeView"/>
      <sheetName val="Mundraport"/>
      <sheetName val="ContainerTerminal"/>
      <sheetName val="Container_Working"/>
      <sheetName val="SBMTerminal"/>
      <sheetName val="SBM_Working"/>
      <sheetName val="Variation"/>
      <sheetName val="AEL_NonAEL"/>
      <sheetName val="Marinesummary"/>
      <sheetName val="Marine_Working"/>
      <sheetName val="Marine_variation"/>
      <sheetName val="BerthFinIndicators"/>
      <sheetName val="DrySummary"/>
      <sheetName val="Dry_Working"/>
      <sheetName val="Coal"/>
      <sheetName val="DryCargo_THC"/>
      <sheetName val="DryCargo_THC (2)"/>
      <sheetName val="Liquid"/>
      <sheetName val="LiquidWorking"/>
      <sheetName val="Rail_Summary"/>
      <sheetName val="Rail_Working"/>
      <sheetName val="OtherIncome"/>
      <sheetName val="OtherIncome_Working"/>
      <sheetName val="Electricity"/>
      <sheetName val="FOH Details"/>
      <sheetName val="salient feature"/>
      <sheetName val="Brief Scope of work"/>
      <sheetName val="PVC"/>
      <sheetName val="Insurance"/>
      <sheetName val="BG"/>
      <sheetName val="Priority"/>
      <sheetName val="Payment"/>
      <sheetName val="Norms "/>
      <sheetName val="Eqpt Nos"/>
      <sheetName val="Cycle Time"/>
      <sheetName val="GC"/>
      <sheetName val="M.Qty"/>
      <sheetName val="Subcon Master"/>
      <sheetName val="Subcon"/>
      <sheetName val="Equipment Hr"/>
      <sheetName val="Material (2)"/>
      <sheetName val="S0 Key dates"/>
      <sheetName val="S41-1MATqty-code"/>
      <sheetName val="S41-2MATexp-code"/>
      <sheetName val="Note 14 (4)"/>
      <sheetName val="Fin P&amp;L"/>
      <sheetName val="notes to balancesheet and P&amp;L"/>
      <sheetName val="Fin BS"/>
      <sheetName val="NCL-fsv"/>
      <sheetName val="Significant ACing Policies"/>
      <sheetName val="Fixed Assets Schedule"/>
      <sheetName val="CASHFLOW"/>
      <sheetName val="CASH FLOW WORKING"/>
      <sheetName val="NCA as on 31.03.2012"/>
      <sheetName val="NCA "/>
      <sheetName val="BC as on 31.03.2012"/>
      <sheetName val="BC As on 31.03.2011"/>
      <sheetName val="NCL as on 31.03.2012"/>
      <sheetName val="SL_TB 2011"/>
      <sheetName val="Borrowings-sch.(31.12.2011)"/>
      <sheetName val="list of FDs kept as security"/>
      <sheetName val="status of Borrowings dec'11"/>
      <sheetName val="Note 14"/>
      <sheetName val="DLP status"/>
      <sheetName val="IDBI 3 Receipts Accrued"/>
      <sheetName val="Loans-CL and NCL"/>
      <sheetName val="exchange diff(31.12.2011)"/>
      <sheetName val="FD-YEs Bank"/>
      <sheetName val="UBI"/>
      <sheetName val="SBH"/>
      <sheetName val="IOB"/>
      <sheetName val="canara"/>
      <sheetName val="final 3 receipts"/>
      <sheetName val="Tirupur Court IDBI FD"/>
      <sheetName val="IDBI-GOMTI FD"/>
      <sheetName val="Lead Schedule"/>
      <sheetName val="N1.1"/>
      <sheetName val="N1.3"/>
      <sheetName val="N1.6"/>
      <sheetName val="N.2.13"/>
      <sheetName val="N1.8"/>
      <sheetName val="E.1"/>
      <sheetName val="E.2"/>
      <sheetName val="E.3"/>
      <sheetName val="POCM Working"/>
      <sheetName val="Q-2 Revised Sale Report"/>
      <sheetName val="Q2 Sale Report"/>
      <sheetName val="Q1 Sale Report "/>
      <sheetName val="Q3 Sale report"/>
      <sheetName val="Development Right"/>
      <sheetName val="Personnel expenses"/>
      <sheetName val="Kakanad"/>
      <sheetName val="Sriperamathur"/>
      <sheetName val="OMR - II"/>
      <sheetName val="Constructions Expenses"/>
      <sheetName val="Management expenses"/>
      <sheetName val="Project Management Expenses"/>
      <sheetName val="Financial expenses"/>
      <sheetName val="Interest allocation June 10"/>
      <sheetName val="Interest allocation Mar 2010"/>
      <sheetName val="._ls___ls___ls_Site Detail"/>
      <sheetName val="._ls_._ls_._ls_Site Detail"/>
      <sheetName val="po"/>
      <sheetName val="landed cost tower cranes"/>
      <sheetName val="Tender Summary"/>
      <sheetName val="Markup"/>
      <sheetName val="CCS"/>
      <sheetName val="Non-Rec"/>
      <sheetName val="Data"/>
      <sheetName val="Prelims"/>
      <sheetName val="Bill1"/>
      <sheetName val="1.1 Staff"/>
      <sheetName val="3.1 Labour"/>
      <sheetName val="4.1 Site_Offices"/>
      <sheetName val="6.1 Plant"/>
      <sheetName val="6.5.1 Ext Scaffold"/>
      <sheetName val="6.5.2 Int Scaffold"/>
      <sheetName val="POCM"/>
      <sheetName val="POCM - Entries"/>
      <sheetName val="POCM - working"/>
      <sheetName val="Inventory Main sheet"/>
      <sheetName val="Construction"/>
      <sheetName val="Approval Cost"/>
      <sheetName val="EDC IDC"/>
      <sheetName val="EDC &amp; IDC 118.562"/>
      <sheetName val="EDC &amp; IDC 34.01"/>
      <sheetName val="GL_SL-ACC CODE MATRIX"/>
      <sheetName val="GL-ACCOUNT CODE MAPPING"/>
      <sheetName val="coa_ramco_168"/>
      <sheetName val="Annexure"/>
      <sheetName val="Trial Balance"/>
      <sheetName val="Capital work in Progress"/>
      <sheetName val="CAPTLISATION OF INTEREST"/>
      <sheetName val="Consolidation Cash Flow"/>
      <sheetName val="Capital Commitment"/>
      <sheetName val="depreciation"/>
      <sheetName val="Prov Dec'09 (1)"/>
      <sheetName val="Prov Dec'09 (2)"/>
      <sheetName val="MLCP"/>
      <sheetName val="BALSHEET"/>
      <sheetName val="PROFIT&amp;LOSS"/>
      <sheetName val="Sech 01,02,03"/>
      <sheetName val="Sech 04"/>
      <sheetName val="Sch 05,06,07,08"/>
      <sheetName val="Sech 09,10"/>
      <sheetName val="Sech 11,12"/>
      <sheetName val="Sech 13,14,15,16"/>
      <sheetName val="6310"/>
      <sheetName val="6300"/>
      <sheetName val="7100"/>
      <sheetName val="5400"/>
      <sheetName val="5300"/>
      <sheetName val="5100"/>
      <sheetName val="5500"/>
      <sheetName val="8100"/>
      <sheetName val="8400"/>
      <sheetName val="Misc Expe"/>
      <sheetName val="S DR"/>
      <sheetName val="S CR"/>
      <sheetName val="8300 (3)"/>
      <sheetName val="Interest-8600"/>
      <sheetName val="6100"/>
      <sheetName val="8500"/>
      <sheetName val="Trial 31Dec07"/>
      <sheetName val="analysis"/>
      <sheetName val="summarywith exindia comparison"/>
      <sheetName val="datalcmar"/>
      <sheetName val="ex-india"/>
      <sheetName val="ebtreco"/>
      <sheetName val="DATA_INR"/>
      <sheetName val="Corp_EBTytd"/>
      <sheetName val="Global ytd"/>
      <sheetName val="Corp_Salesytd"/>
      <sheetName val="interco"/>
      <sheetName val="Backup of global consolidation "/>
      <sheetName val="Tracker"/>
      <sheetName val="Entries"/>
      <sheetName val="Provisional entries"/>
      <sheetName val="DCDL Consol June 06"/>
      <sheetName val="Infocity-Chandigarh"/>
      <sheetName val="Infocity-Kolkata"/>
      <sheetName val="DCDL-final"/>
      <sheetName val="Info city-Bangalore"/>
      <sheetName val="Info city-Hyderabad"/>
      <sheetName val="GKS"/>
      <sheetName val="Roadtech"/>
      <sheetName val="Udipti"/>
      <sheetName val="Bhoruka"/>
      <sheetName val="Shivaji"/>
      <sheetName val="Real Estate"/>
      <sheetName val="Info city- Chennai"/>
      <sheetName val="GT_Custom"/>
      <sheetName val="Passion"/>
      <sheetName val="infinity "/>
      <sheetName val="Related party new-format"/>
      <sheetName val="working of related party"/>
      <sheetName val="dep 8.2006"/>
      <sheetName val="corporate green"/>
      <sheetName val="Building 8"/>
      <sheetName val="IBM"/>
      <sheetName val="dAKSH"/>
      <sheetName val="Interest 30.11.06"/>
      <sheetName val="PROVISIONS"/>
      <sheetName val="ACCENTURE"/>
      <sheetName val="cwip 11.2006"/>
      <sheetName val="Balance sheet DCCDL Nov 06"/>
      <sheetName val="Cashflow for int"/>
      <sheetName val="CosntCostdata"/>
      <sheetName val="Const cost"/>
      <sheetName val="Rental PAT"/>
      <sheetName val="BU_Quarterly (3)"/>
      <sheetName val="Detailed-FY 08-09 (2)"/>
      <sheetName val="Detail P&amp;L"/>
      <sheetName val="Qwisepatfinal"/>
      <sheetName val="Qwisepatfinal Scen2"/>
      <sheetName val="fitout margin"/>
      <sheetName val="FrontsheetNew"/>
      <sheetName val="Final Cashflow"/>
      <sheetName val="Qwisecashflow"/>
      <sheetName val="Inputsheet"/>
      <sheetName val="Inputsheet qwise"/>
      <sheetName val="Security"/>
      <sheetName val="7.5%"/>
      <sheetName val="Corporate Debts"/>
      <sheetName val="Land Repfund"/>
      <sheetName val="Clearing house"/>
      <sheetName val="Land Payables"/>
      <sheetName val="LRD"/>
      <sheetName val="LRD Computation"/>
      <sheetName val="Debtpaymentschedule"/>
      <sheetName val="Assumption Sheet"/>
      <sheetName val="Sale rate"/>
      <sheetName val="Overheads"/>
      <sheetName val="Sale data"/>
      <sheetName val="Construction data"/>
      <sheetName val="Con schedule"/>
      <sheetName val="Sales value"/>
      <sheetName val="Cost"/>
      <sheetName val="Master"/>
      <sheetName val="Phasedates"/>
      <sheetName val="Existing buildings"/>
      <sheetName val="Other incomes"/>
      <sheetName val="Other incomes12onwards"/>
      <sheetName val="GL-ACCOUNT CODE MAPPING - 8FEB"/>
      <sheetName val="RAMCO COA 8-FEB-2008"/>
      <sheetName val="GL-SL-ACC CODE MAPPING 8FEB"/>
      <sheetName val="07-08"/>
      <sheetName val="Q1 08-09"/>
      <sheetName val="Depriciation"/>
      <sheetName val="blank ..."/>
      <sheetName val="worksheet for reference"/>
      <sheetName val="Review Form A"/>
      <sheetName val="Labour Chart"/>
      <sheetName val="Subcon - JAN 05"/>
      <sheetName val="Plant"/>
      <sheetName val="Notes - Plant"/>
      <sheetName val="Payment Summary"/>
      <sheetName val="RVs"/>
      <sheetName val="Notes - Accruals"/>
      <sheetName val="Notes - Formwork"/>
      <sheetName val="Notes - Concrete"/>
      <sheetName val="Notes - Reinforcement"/>
      <sheetName val="Notes - Building Fabric"/>
      <sheetName val="Notes - Sundries"/>
      <sheetName val="Area Build 8"/>
      <sheetName val="Budget Vs Actual- Bldg.8"/>
      <sheetName val="Area"/>
      <sheetName val="Interest 30.11.2006 for 337 and"/>
      <sheetName val="Budget Vs Actual- Infinity"/>
      <sheetName val="Interest 30.11.06 exp 337 &amp; 343"/>
      <sheetName val="Net assets"/>
      <sheetName val="BELDEN06"/>
      <sheetName val="DSP-06"/>
      <sheetName val="DOD-06"/>
      <sheetName val="EDWARD"/>
      <sheetName val="CONSOL 2006"/>
      <sheetName val="New Gen06"/>
      <sheetName val="DUL06"/>
      <sheetName val="Beverly06"/>
      <sheetName val="Akruti06"/>
      <sheetName val="DHDL06"/>
      <sheetName val="BHORUKA6"/>
      <sheetName val="DSL06"/>
      <sheetName val="DRDL06"/>
      <sheetName val="Kolkata"/>
      <sheetName val="DEDL"/>
      <sheetName val="FALGUNI"/>
      <sheetName val="AYUSHI"/>
      <sheetName val="SOLID"/>
      <sheetName val="SUMEDHA"/>
      <sheetName val="GULIKA"/>
      <sheetName val="GANIKA"/>
      <sheetName val="Ananti"/>
      <sheetName val="Monishka"/>
      <sheetName val="Dhyan"/>
      <sheetName val="Abhiraj"/>
      <sheetName val="Breeze"/>
      <sheetName val="ANJULI"/>
      <sheetName val="Natwar"/>
      <sheetName val="Gyan"/>
      <sheetName val="KAMINI"/>
      <sheetName val="DHOOMKETU"/>
      <sheetName val="CARLTON"/>
      <sheetName val="AMISHI"/>
      <sheetName val="ALOKI"/>
      <sheetName val="aadarshini"/>
      <sheetName val="KAIRAV"/>
      <sheetName val="PALIWAL"/>
      <sheetName val="JWALA"/>
      <sheetName val="Passion builders"/>
      <sheetName val="VSK"/>
      <sheetName val="UMED"/>
      <sheetName val="VALINI"/>
      <sheetName val="Talika"/>
      <sheetName val="Trisha"/>
      <sheetName val="Tuhina"/>
      <sheetName val="SIMBALA"/>
      <sheetName val="DIWAKAR"/>
      <sheetName val="Shrila"/>
      <sheetName val="Sanchalli"/>
      <sheetName val="EILA"/>
      <sheetName val="Rajika"/>
      <sheetName val="GOLF"/>
      <sheetName val="PHASE IV"/>
      <sheetName val="real est limited"/>
      <sheetName val="Chennai"/>
      <sheetName val="Bangalore"/>
      <sheetName val="Chandigarh"/>
      <sheetName val="DRP"/>
      <sheetName val="Avinashi"/>
      <sheetName val="DRB"/>
      <sheetName val="WELLINGTON"/>
      <sheetName val="DPD"/>
      <sheetName val="RBD"/>
      <sheetName val="Kavicon-06"/>
      <sheetName val="NILAYAM"/>
      <sheetName val="NOIDA"/>
      <sheetName val="NILIMA"/>
      <sheetName val="DHCL"/>
      <sheetName val="Nilgiri"/>
      <sheetName val="DALMIA"/>
      <sheetName val="DCDL"/>
      <sheetName val="rec foun"/>
      <sheetName val="DFSL"/>
      <sheetName val="CPC"/>
      <sheetName val="ridgewood"/>
      <sheetName val="COMPARISON"/>
      <sheetName val="STANDALONE"/>
      <sheetName val="BS"/>
      <sheetName val="P&amp;L"/>
      <sheetName val="CF (08)"/>
      <sheetName val="addl info"/>
      <sheetName val="SH1-2"/>
      <sheetName val="SH3-4"/>
      <sheetName val="SH5-6"/>
      <sheetName val="SH7"/>
      <sheetName val="SH8-11"/>
      <sheetName val="SH12-14"/>
      <sheetName val="SH15"/>
      <sheetName val="SH16-17"/>
      <sheetName val="SH18-22"/>
      <sheetName val="SH-23"/>
      <sheetName val="cons"/>
      <sheetName val="adjustment"/>
      <sheetName val="3"/>
      <sheetName val="CF"/>
      <sheetName val="Back up working"/>
      <sheetName val="SH18-21"/>
      <sheetName val="SH-22"/>
      <sheetName val="ENTERIES"/>
      <sheetName val="STANDALONE (2)"/>
      <sheetName val="review2audit"/>
      <sheetName val="Backup"/>
      <sheetName val="SH-7"/>
      <sheetName val="SH-22-23"/>
      <sheetName val="STANDALONE (3)"/>
      <sheetName val="Standalone_BS"/>
      <sheetName val="STANDALONE (4)"/>
      <sheetName val="Lead_sheet"/>
      <sheetName val="PL_Group"/>
      <sheetName val="P&amp;L_31"/>
      <sheetName val="L&amp;A (2)"/>
      <sheetName val="BS_31"/>
      <sheetName val="Deffered_Tax"/>
      <sheetName val="Const-ggn"/>
      <sheetName val="Non-Const-GGN"/>
      <sheetName val="Saket"/>
      <sheetName val="Club-V"/>
      <sheetName val="Dwarka"/>
      <sheetName val="Mumbai_Branch"/>
      <sheetName val="Marine_drive"/>
      <sheetName val="Bangalore_Branch"/>
      <sheetName val="L&amp;a"/>
      <sheetName val="CL"/>
      <sheetName val="INTERUNIT"/>
      <sheetName val="Lucknow_Branch"/>
      <sheetName val="Interest_reco"/>
      <sheetName val="LY REGROUP"/>
      <sheetName val="bs_Group"/>
      <sheetName val="Interest-others"/>
      <sheetName val="Covera 2011-12"/>
      <sheetName val="Other"/>
      <sheetName val="FIRE SI 2009-10"/>
      <sheetName val="DT CINEMAS &amp; FC"/>
      <sheetName val="DUL"/>
      <sheetName val="GOLF CLUB"/>
      <sheetName val="SHOPPING COMPLEX"/>
      <sheetName val="SHOPPING MALL"/>
      <sheetName val="HOME"/>
      <sheetName val="WATER TANKS"/>
      <sheetName val="WIP"/>
      <sheetName val="FLOP+ Other Add On"/>
      <sheetName val="Missl"/>
      <sheetName val="Summary (2)"/>
      <sheetName val="Fire SI 2011-12"/>
      <sheetName val="DT Cinemas &amp; Food Court"/>
      <sheetName val="sold malls stock"/>
      <sheetName val="dsl emporio"/>
      <sheetName val="dsl courtyard"/>
      <sheetName val="dsl promenade"/>
      <sheetName val="dsl chandigarh mall"/>
      <sheetName val="leased mall asset(mall own co)"/>
      <sheetName val="FAR Malls DSL"/>
      <sheetName val="BKS"/>
      <sheetName val="SN"/>
      <sheetName val="city court sikander pur"/>
      <sheetName val="Gateway Tower"/>
      <sheetName val="Infinity"/>
      <sheetName val="B-8"/>
      <sheetName val="B-5"/>
      <sheetName val="B-10"/>
      <sheetName val="F-Block"/>
      <sheetName val="Saket Mall"/>
      <sheetName val="V.K.Mall"/>
      <sheetName val="Chennai-Final"/>
      <sheetName val="All Accounts Summary"/>
      <sheetName val="Major Account Summ"/>
      <sheetName val="Non-Major Account Summary"/>
      <sheetName val="Major Accounts"/>
      <sheetName val="All Accounts Detail"/>
      <sheetName val="Lying Stock 1.4.99"/>
      <sheetName val="Issues-RTS 0499 to 0999"/>
      <sheetName val="Phy Stock 30.9.99"/>
      <sheetName val="Lying Stock 30.9.99"/>
      <sheetName val="MAT0499"/>
      <sheetName val="Final Sheet"/>
      <sheetName val="MAT Summary"/>
      <sheetName val="MAT Consolidated"/>
      <sheetName val="Debit MAT 499 to 999"/>
      <sheetName val="Income"/>
      <sheetName val="Contractor wise work done (2)"/>
      <sheetName val="Contractor wise work done"/>
      <sheetName val="VCH-SLC"/>
      <sheetName val="Item Master"/>
      <sheetName val="Supplier"/>
      <sheetName val="gateway tower 0999 ctc"/>
      <sheetName val="CONTR+MATERIAL CTC"/>
      <sheetName val="Gateway Contractor 1099 - FINAL"/>
      <sheetName val="Balance Order 0110"/>
      <sheetName val="mat"/>
      <sheetName val="mat summ"/>
      <sheetName val="STR. BASEMENT WITH FDN"/>
      <sheetName val="F.ISSUE  (BASEMENT WITH FDN)"/>
      <sheetName val="STR. BASEMENT WITHOUT FDN"/>
      <sheetName val="F.ISSUE  (BASEMENT WITHOUT FDN)"/>
      <sheetName val="FINISHING (BASEMENT)"/>
      <sheetName val="Conference"/>
      <sheetName val="guidance"/>
      <sheetName val="Detailed-DCF"/>
      <sheetName val="Main Sheet"/>
      <sheetName val="Daily"/>
      <sheetName val="Rupee-P&amp;L"/>
      <sheetName val="Bill-rates"/>
      <sheetName val="Billrt-margin"/>
      <sheetName val="DCF (2)"/>
      <sheetName val="Assumptions"/>
      <sheetName val="Results"/>
      <sheetName val="Sales(%)"/>
      <sheetName val="Sales(Rsm)"/>
      <sheetName val="SalesIncr(%)"/>
      <sheetName val="Profitability"/>
      <sheetName val="Dummy"/>
      <sheetName val="EVA"/>
      <sheetName val="Qtrly"/>
      <sheetName val="HY-Analysis"/>
      <sheetName val="Questions"/>
      <sheetName val="TMT"/>
      <sheetName val="S-w exports"/>
      <sheetName val="Employees"/>
      <sheetName val="Customers"/>
      <sheetName val="Profits"/>
      <sheetName val="Content"/>
      <sheetName val="Introduction"/>
      <sheetName val="Executive Summary"/>
      <sheetName val="Basis of the Cost Plan"/>
      <sheetName val="Inclusions Exclusions"/>
      <sheetName val="Appendix A"/>
      <sheetName val="Build-up"/>
      <sheetName val="Appendix B"/>
      <sheetName val="Staff Distrubution"/>
      <sheetName val="Histogram"/>
      <sheetName val="Appendix C"/>
      <sheetName val="Org Cost Summary"/>
      <sheetName val="Organisation Costs"/>
      <sheetName val="Appendix D"/>
      <sheetName val="Key"/>
      <sheetName val="Time Line"/>
      <sheetName val="Int Walls"/>
      <sheetName val="Buildups"/>
      <sheetName val="Euros"/>
      <sheetName val="GBP"/>
      <sheetName val="Sign Off"/>
      <sheetName val="Comm Final"/>
      <sheetName val="Maint final"/>
      <sheetName val="Maint"/>
      <sheetName val="Trial_SEZ FB_31.03.10"/>
      <sheetName val="Cyber SEZ Profit (80IAB)"/>
      <sheetName val="A302101-000-017"/>
      <sheetName val="P&amp;L variance"/>
      <sheetName val="Galaxy"/>
      <sheetName val="Sheet8"/>
      <sheetName val="rent prov"/>
      <sheetName val="comm prov"/>
      <sheetName val="TDS recoverable"/>
      <sheetName val="Current Liab"/>
      <sheetName val="Debtors"/>
      <sheetName val="Loan &amp; Advances"/>
      <sheetName val="stock reco"/>
      <sheetName val="Advance Tax"/>
      <sheetName val="Income Tax"/>
      <sheetName val="maintenance income"/>
      <sheetName val="misc income"/>
      <sheetName val="Sheet5"/>
      <sheetName val="Advance Ageing"/>
      <sheetName val="Sheet4"/>
      <sheetName val="Sheet7"/>
      <sheetName val="Sheet6"/>
      <sheetName val="adjust"/>
      <sheetName val="Creditor Ageing"/>
      <sheetName val="reqt"/>
      <sheetName val="unsec Loan"/>
      <sheetName val="Advances"/>
      <sheetName val="FDR"/>
      <sheetName val="corp bank"/>
      <sheetName val="Bank book"/>
      <sheetName val="SDR"/>
      <sheetName val="Security Deposit"/>
      <sheetName val="stock"/>
      <sheetName val="maint deb"/>
      <sheetName val="rent deb"/>
      <sheetName val="Amortization Table"/>
      <sheetName val="HRM Data"/>
      <sheetName val="cflwmpbswc"/>
      <sheetName val="Working Sheet"/>
      <sheetName val="Sales &amp; Profit"/>
      <sheetName val="Perf-summary"/>
      <sheetName val="profit"/>
      <sheetName val="Explanation "/>
      <sheetName val="QMM-Graph"/>
      <sheetName val="CONSOLIDATED"/>
      <sheetName val="MHO"/>
      <sheetName val="sbu1"/>
      <sheetName val="F A Sch sbu-2"/>
      <sheetName val="sbu-3"/>
      <sheetName val="sbu-4"/>
      <sheetName val="F A SBU-5"/>
      <sheetName val="F A Sch SBU-6"/>
      <sheetName val="sbu-7"/>
      <sheetName val="sbu-9"/>
      <sheetName val="F A Sch sbu-11"/>
      <sheetName val="eob"/>
      <sheetName val="ped"/>
      <sheetName val="F A Sch NBDD"/>
      <sheetName val="F A Sch HTC"/>
      <sheetName val="F A Sch EOU"/>
      <sheetName val="eou polymer"/>
      <sheetName val="F A Sch SPBU-1"/>
      <sheetName val="Old"/>
      <sheetName val="Operating Statistics"/>
      <sheetName val="Financials"/>
      <sheetName val="Financials(O)"/>
      <sheetName val="PL"/>
      <sheetName val="70% stake"/>
      <sheetName val="BS'03"/>
      <sheetName val="Cap. Exp."/>
      <sheetName val="Three Aces"/>
      <sheetName val="Tax Calculation"/>
      <sheetName val="Labour_Cess_Bill"/>
      <sheetName val="Work done Value"/>
      <sheetName val="QUANTITY CALCULATION FULLY UNIT"/>
      <sheetName val="ACP CLADDING"/>
      <sheetName val="spider glazing"/>
      <sheetName val="challan summary"/>
      <sheetName val="page 1 of 2"/>
      <sheetName val="page 2 of 2"/>
      <sheetName val="Explanation"/>
      <sheetName val="More Exp."/>
      <sheetName val="Database"/>
      <sheetName val="E-Core version"/>
      <sheetName val="list"/>
      <sheetName val="Laptop Loan Req Form"/>
      <sheetName val="Laptop Release Form"/>
      <sheetName val="FT-06-02"/>
      <sheetName val="key dates"/>
      <sheetName val="Actual"/>
      <sheetName val="Actual projected"/>
      <sheetName val="CFForecast detail"/>
      <sheetName val="CFTable2"/>
      <sheetName val="CFGraphs"/>
      <sheetName val="CSIRO"/>
      <sheetName val="CF%Print"/>
      <sheetName val="Profit n loss varience"/>
      <sheetName val="Revenue "/>
      <sheetName val="Personnel cost"/>
      <sheetName val="Expenditure-1"/>
      <sheetName val="Income- (2)"/>
      <sheetName val="Pl items"/>
      <sheetName val="Group Summary"/>
      <sheetName val="Sap Trl as at 300606 (2)"/>
      <sheetName val="C2 - CAJEs"/>
      <sheetName val=" WIP AS ON March '12"/>
      <sheetName val="Cost for Allocation of DO"/>
      <sheetName val="TB &amp; Detail of Provision"/>
      <sheetName val="Lead Sheet"/>
      <sheetName val="Control Sheet"/>
      <sheetName val="Gross Summary"/>
      <sheetName val="Rotation"/>
      <sheetName val="adeli"/>
      <sheetName val="DHRL_OLD"/>
      <sheetName val="DHRL"/>
      <sheetName val="DHHL"/>
      <sheetName val="anabel"/>
      <sheetName val="Group Com"/>
      <sheetName val="Other Com"/>
      <sheetName val="Paean"/>
      <sheetName val="Domus RE"/>
      <sheetName val="Good"/>
      <sheetName val="HAMILTON"/>
      <sheetName val="Seemless"/>
      <sheetName val="Top-sheet "/>
      <sheetName val="con-99"/>
      <sheetName val="P&amp;L-6"/>
      <sheetName val="Sheet9"/>
      <sheetName val="Sheet10"/>
      <sheetName val="pldt"/>
      <sheetName val="consolidations AFTER FINAL TRIA"/>
      <sheetName val="CON2001"/>
      <sheetName val="BS ( Revised)"/>
      <sheetName val="PL ( revised)"/>
      <sheetName val="Note 2"/>
      <sheetName val="Note 3"/>
      <sheetName val="Note 4"/>
      <sheetName val="Note 8-11"/>
      <sheetName val="Note 5"/>
      <sheetName val="Note 12-13"/>
      <sheetName val="Note 17"/>
      <sheetName val="Note 18"/>
      <sheetName val="Note 19"/>
      <sheetName val="Note 20"/>
      <sheetName val="Note 21-22"/>
      <sheetName val="Note 15-16"/>
      <sheetName val="Note 23-24"/>
      <sheetName val="Note 25-26"/>
      <sheetName val="NOTE 27-29"/>
      <sheetName val="P&amp;L_29"/>
      <sheetName val="Y.G.Realty CCD II"/>
      <sheetName val="Akriti"/>
      <sheetName val="Laverene"/>
      <sheetName val="Flora"/>
      <sheetName val="Mufallah"/>
      <sheetName val="Sangam"/>
      <sheetName val="City Gold Investment"/>
      <sheetName val="Isabel"/>
      <sheetName val="Marala"/>
      <sheetName val="marala_OLD"/>
      <sheetName val="muafa"/>
      <sheetName val="DLF Infra Hol"/>
      <sheetName val="delanco home &amp; resort"/>
      <sheetName val="DLF Southern"/>
      <sheetName val="bhamini"/>
      <sheetName val="BABETTE"/>
      <sheetName val="aINSTEY"/>
      <sheetName val="Cayenne"/>
      <sheetName val="Calista"/>
      <sheetName val="Cachet"/>
      <sheetName val="Dabria"/>
      <sheetName val="Delta"/>
      <sheetName val="Candace"/>
      <sheetName val="Calvine"/>
      <sheetName val="Galvin"/>
      <sheetName val="Melosa"/>
      <sheetName val="Mariposa"/>
      <sheetName val="Lenore"/>
      <sheetName val="Nerina"/>
      <sheetName val="First"/>
      <sheetName val="Shinanee"/>
      <sheetName val="Royalton"/>
      <sheetName val="Rochelle"/>
      <sheetName val="Vilina"/>
      <sheetName val="Vinanti"/>
      <sheetName val="padvamasa"/>
      <sheetName val="Naja"/>
      <sheetName val="Tusti"/>
      <sheetName val="Rosalind"/>
      <sheetName val="Ernesta"/>
      <sheetName val="Adeline"/>
      <sheetName val="Belden"/>
      <sheetName val="Domus"/>
      <sheetName val="Akiva"/>
      <sheetName val="Best"/>
      <sheetName val="Betha"/>
      <sheetName val="Beyonce"/>
      <sheetName val="Cadence"/>
      <sheetName val="Devdutta"/>
      <sheetName val="Devak"/>
      <sheetName val="Karida"/>
      <sheetName val="Lgnacio"/>
      <sheetName val="Subodhini"/>
      <sheetName val="Tamonash"/>
      <sheetName val="Tamish"/>
      <sheetName val="Vamil"/>
      <sheetName val="Zareb"/>
      <sheetName val="Eskana"/>
      <sheetName val="Elvira"/>
      <sheetName val="Delanco Real Estate"/>
      <sheetName val="Samali"/>
      <sheetName val="DLF Infra"/>
      <sheetName val="AKRUTI"/>
      <sheetName val="Bes Buildcon"/>
      <sheetName val="Catriona"/>
      <sheetName val="DLF Homes"/>
      <sheetName val="Durgapur"/>
      <sheetName val="Del Realtors"/>
      <sheetName val="Delta Buildcon"/>
      <sheetName val="Var Infratech"/>
      <sheetName val="DLF Homes Pune"/>
      <sheetName val="Rajapura"/>
      <sheetName val="DLF Southern Town-CCD"/>
      <sheetName val="Homes Rajapura -interest accrue"/>
      <sheetName val="Rajapur_CCD"/>
      <sheetName val="Rajapura ICD"/>
      <sheetName val="southern town"/>
      <sheetName val=" southern townCCD"/>
      <sheetName val="DLF Garden"/>
      <sheetName val="Indiabulls"/>
      <sheetName val="Kanan"/>
      <sheetName val="Mariana"/>
      <sheetName val="Saravati"/>
      <sheetName val="Nellis"/>
      <sheetName val="DLF Homes Panch"/>
      <sheetName val="DLF Homes Panch_CCD"/>
      <sheetName val="DLF Garden_CCD"/>
      <sheetName val="DLF Homes Ambala"/>
      <sheetName val="DLF Sez"/>
      <sheetName val="DLF Homes Services"/>
      <sheetName val="Mens"/>
      <sheetName val="Mhaya"/>
      <sheetName val="Nambi"/>
      <sheetName val="Rati"/>
      <sheetName val="Premium home"/>
      <sheetName val="Arash"/>
      <sheetName val="Janya"/>
      <sheetName val="G.K.Resi"/>
      <sheetName val="Chaitra"/>
      <sheetName val="Pune"/>
      <sheetName val="Zoria Infratech "/>
      <sheetName val="DLF Commercial Complexes"/>
      <sheetName val="Alvita"/>
      <sheetName val="Star alubuild"/>
      <sheetName val="DLF SEZ Holdings Ltd"/>
      <sheetName val="Urvashi Infratech Pvt Ltd"/>
      <sheetName val="DHRL_OLD Working"/>
      <sheetName val="Marala_OLD Working"/>
      <sheetName val="muafa (2)"/>
      <sheetName val="muafa (3)"/>
      <sheetName val="tb dec"/>
      <sheetName val="system Tb"/>
      <sheetName val="TRL"/>
      <sheetName val="CFS"/>
      <sheetName val="RP"/>
      <sheetName val="taxpaid"/>
      <sheetName val="int loan"/>
      <sheetName val="int fdd"/>
      <sheetName val="PART-IV"/>
      <sheetName val="P&amp;L_17"/>
      <sheetName val="P&amp;L_30"/>
      <sheetName val="BS_29"/>
      <sheetName val="BS_17"/>
      <sheetName val="Sch_MiscIncome_MiscExpenses"/>
      <sheetName val="BS_30"/>
      <sheetName val="Tax_computation"/>
      <sheetName val="0000"/>
      <sheetName val="xxxx"/>
      <sheetName val="P&amp;L  sep 09"/>
      <sheetName val="BS schedules"/>
      <sheetName val="Sch 4 Fixed Assets"/>
      <sheetName val="PL schedules"/>
      <sheetName val="Trial"/>
      <sheetName val="CCD Interest"/>
      <sheetName val="ICD Interest"/>
      <sheetName val="Lead Inventory"/>
      <sheetName val="Prov Apr-Jun"/>
      <sheetName val="TB 06-07"/>
      <sheetName val="TB05-06"/>
      <sheetName val="Star Tower-Silokhera"/>
      <sheetName val="Galleria-mayur vihar"/>
      <sheetName val="5(a)"/>
      <sheetName val="PARTY DETAILS"/>
      <sheetName val="Notes"/>
      <sheetName val="P &amp; L"/>
      <sheetName val="SCH 1-5"/>
      <sheetName val="SCH  6-7"/>
      <sheetName val="Details"/>
      <sheetName val="Trial 31.03.10"/>
      <sheetName val="Lease rent details "/>
      <sheetName val="Related Party New Format"/>
      <sheetName val="Bank Reco"/>
      <sheetName val="Investment"/>
      <sheetName val="I.TAX"/>
      <sheetName val="invest"/>
      <sheetName val="PARTIV"/>
      <sheetName val="PROJECT-EXP"/>
      <sheetName val="Intt &amp; TDS"/>
      <sheetName val="PIE-DETAILS"/>
      <sheetName val="CONTINGENT LIAB"/>
      <sheetName val="Notes to Accounts"/>
      <sheetName val="ANNEXURE TO NOTES TO ACCOUNTS"/>
      <sheetName val="CASH FLOW 2006"/>
      <sheetName val="delanco"/>
      <sheetName val="carmen"/>
      <sheetName val="Cachet "/>
      <sheetName val="DLF  Hotels and resorts"/>
      <sheetName val="Dabaria"/>
      <sheetName val="Deltaland real "/>
      <sheetName val="Marala "/>
      <sheetName val="Lenore "/>
      <sheetName val="First City"/>
      <sheetName val="Paen  Estate"/>
      <sheetName val="Delanco Home"/>
      <sheetName val="Vilina Estate Developers"/>
      <sheetName val="Tusti "/>
      <sheetName val="SKN "/>
      <sheetName val="Loans under the same management"/>
      <sheetName val="Loans to Subsidairy Companies "/>
      <sheetName val="Sch"/>
      <sheetName val="Sale"/>
      <sheetName val="Comp"/>
      <sheetName val="PACS"/>
      <sheetName val="Fur_Fixt"/>
      <sheetName val="Off_Eqp"/>
      <sheetName val="Vehicles"/>
      <sheetName val="Lease B9_dep"/>
      <sheetName val="&lt;5000"/>
      <sheetName val="TB-PL"/>
      <sheetName val="PL Gropuings"/>
      <sheetName val="P&amp;L &amp; Sch. 9-13"/>
      <sheetName val="TB-BS"/>
      <sheetName val="BS Groupings"/>
      <sheetName val="BS Schedule 1-4"/>
      <sheetName val="BS Sch. 5"/>
      <sheetName val="BS Schedule 6-8"/>
      <sheetName val="Gen. Business Profile"/>
      <sheetName val="AG00059"/>
      <sheetName val="AG00060"/>
      <sheetName val="AG00061"/>
      <sheetName val="AG00062"/>
      <sheetName val="AG00063"/>
      <sheetName val="AG00064"/>
      <sheetName val="AG00065"/>
      <sheetName val="Cover Letter"/>
      <sheetName val="General Information"/>
      <sheetName val="Index (CFC)"/>
      <sheetName val="Index (NC)"/>
      <sheetName val="Index (USEC)"/>
      <sheetName val="Ownership Changes"/>
      <sheetName val="Disclosure Data"/>
      <sheetName val="Boycott Questionaire"/>
      <sheetName val="Income Statement"/>
      <sheetName val="Sales &amp; Transfers"/>
      <sheetName val="Sales &amp; Transfers (USEC)"/>
      <sheetName val="Monthly Data (USEC)"/>
      <sheetName val="Equity Earnings &amp; Investments"/>
      <sheetName val="Other Income"/>
      <sheetName val="Dividends Received &amp; Paid"/>
      <sheetName val="Exchange Gain &amp; Loss"/>
      <sheetName val="Intercompany Transactions"/>
      <sheetName val="Intercompany Tran. (USEC)"/>
      <sheetName val="Interco (USEC) by Month"/>
      <sheetName val="Current Year Income Taxes"/>
      <sheetName val="Changes to Prior Year Taxes"/>
      <sheetName val="U.S. Source Income"/>
      <sheetName val="Other E&amp;P Adj. (USEC)"/>
      <sheetName val="Service tax"/>
      <sheetName val="comparision with sec 90-ANEX1"/>
      <sheetName val="BOQ SBM"/>
      <sheetName val="SA"/>
      <sheetName val="Stru. Backup sheet"/>
      <sheetName val="BUA A-Y"/>
      <sheetName val="CONSU qty 26-05-2009"/>
      <sheetName val="Stru. Coeff  CONSU "/>
      <sheetName val="Tower A (Rev 11_06)"/>
      <sheetName val="DSR DELHI MAR,08"/>
      <sheetName val="SHORT ANALYSIS"/>
      <sheetName val="PRW-DEC,08 "/>
      <sheetName val="BASIS -DEC 08"/>
      <sheetName val="Wastage"/>
      <sheetName val="FINISHING BOQ"/>
      <sheetName val="Tower _ A"/>
      <sheetName val="Tower _ B"/>
      <sheetName val="Tower _ C"/>
      <sheetName val="Tower _ D"/>
      <sheetName val="Tower _ E"/>
      <sheetName val="FinDSR JAN'09"/>
      <sheetName val="FinRate Analysis"/>
      <sheetName val="FinMaterial analysis"/>
      <sheetName val="FinPRW analysis"/>
      <sheetName val="plumbing &amp; fire"/>
      <sheetName val="Unit wise"/>
      <sheetName val="CHINAWARE &amp; CP"/>
      <sheetName val="FLUSHING"/>
      <sheetName val="Water Supply"/>
      <sheetName val="Pumping Equipment"/>
      <sheetName val="Soil Waste Rain"/>
      <sheetName val="Balcony Drain"/>
      <sheetName val="FIRE Basement "/>
      <sheetName val="Fire Tower"/>
      <sheetName val="Hot water Supply"/>
      <sheetName val="EXT Water Supply &amp; Yard Hydrant"/>
      <sheetName val="Deluge Sys"/>
      <sheetName val="Disposal of storm &amp; Sewer"/>
      <sheetName val="EXT Storm, Sewer, RWH"/>
      <sheetName val="execa. diff."/>
      <sheetName val="Fire Pump"/>
      <sheetName val="SERVICES"/>
      <sheetName val="BOQ SBM (2)"/>
      <sheetName val="CVF SHEET"/>
      <sheetName val="Test"/>
      <sheetName val="Electricity- Begur"/>
      <sheetName val="A302003R"/>
      <sheetName val="A302001revised"/>
      <sheetName val="POCM entries -Begur"/>
      <sheetName val="Customer- Begur Sep 2010"/>
      <sheetName val="POCM- Begur"/>
      <sheetName val="Summary-  Begur"/>
      <sheetName val="Bngl -Const"/>
      <sheetName val="Begur -others"/>
      <sheetName val="POCM-WorkingJune10"/>
      <sheetName val="POCM-Working- March 2010"/>
      <sheetName val="Sales return - Dec2010"/>
      <sheetName val="MSData-march "/>
      <sheetName val="A302001-worked"/>
      <sheetName val="A302001-OMR"/>
      <sheetName val="A302001-Begur"/>
      <sheetName val="A302001-Base"/>
      <sheetName val="A302003"/>
      <sheetName val="A302003-Begur"/>
      <sheetName val="A302312"/>
      <sheetName val="APT - POCM- DEC10"/>
      <sheetName val="SHOP POCM AFTER FORMAT 31.12.10"/>
      <sheetName val="Entry OMR"/>
      <sheetName val="OMR-SHOP Customer-Working"/>
      <sheetName val="APT POCM after ch in area_31.3."/>
      <sheetName val="POCM - OMR"/>
      <sheetName val="OMR-inv"/>
      <sheetName val="Chennai- details"/>
      <sheetName val="Begur -details"/>
      <sheetName val="Begur- Inv"/>
      <sheetName val="begur Customer-working"/>
      <sheetName val="WIP - Cons Div"/>
      <sheetName val="Entry"/>
      <sheetName val="BEGUR"/>
      <sheetName val="OMR- Sample Flat"/>
      <sheetName val="Customer"/>
      <sheetName val="JV"/>
      <sheetName val="Ramco Data TB dump"/>
      <sheetName val="Ramco TB dump"/>
      <sheetName val="Trial-Balance"/>
      <sheetName val="B S "/>
      <sheetName val="Sch 1-3"/>
      <sheetName val="Sch-4-15"/>
      <sheetName val="Detail"/>
      <sheetName val="Commercial TB"/>
      <sheetName val="CWIP"/>
      <sheetName val="Schedule of Balance Sheet"/>
      <sheetName val="Annexure of balance sheet"/>
      <sheetName val="Working Cap Commit."/>
      <sheetName val="BS- TRIAL BALANCE"/>
      <sheetName val="Reconciliation_Consol"/>
      <sheetName val="Reco  Books vs ITR vs 26 as"/>
      <sheetName val="LEDGER"/>
      <sheetName val="Report (2)"/>
      <sheetName val="CLIENT WISE AS PER BOOKS"/>
      <sheetName val="Download_TDS_Ledgers"/>
      <sheetName val="Working"/>
      <sheetName val="PIVOT 26AS "/>
      <sheetName val="PIVOT 26AS WORKING"/>
      <sheetName val="26AS"/>
      <sheetName val="MPHASIS"/>
      <sheetName val="31.03.08 (2)"/>
      <sheetName val="Provision Tab_2"/>
      <sheetName val="A105001"/>
      <sheetName val="A105602"/>
      <sheetName val="31.03.07"/>
      <sheetName val="31.03.08"/>
      <sheetName val="31.03.08 (4)"/>
      <sheetName val="31.03.08 (3)"/>
      <sheetName val="A904001"/>
      <sheetName val="A302404-31.3.8"/>
      <sheetName val="A302404-000-000"/>
      <sheetName val="A105101"/>
      <sheetName val="POCM 08-09-Q4 Actual"/>
      <sheetName val="Actual Spent"/>
      <sheetName val="POCM 08-09-Q4"/>
      <sheetName val="POCM 08-09-Q2"/>
      <sheetName val="TURN OVER"/>
      <sheetName val="POCM W Block"/>
      <sheetName val="POCM Chennai"/>
      <sheetName val="POCM Hyderabad"/>
      <sheetName val="status (3)"/>
      <sheetName val="Inner Parts stock"/>
      <sheetName val="Check"/>
      <sheetName val="Permanent Materials"/>
      <sheetName val="Dom SCs"/>
      <sheetName val="Temporary Materials"/>
      <sheetName val="nv besix sa"/>
      <sheetName val="Prov Sums"/>
      <sheetName val="Revised Contract Sum"/>
      <sheetName val="Revised Contract Sum (2)"/>
      <sheetName val="Local Accruals"/>
      <sheetName val="JIL Accruals"/>
      <sheetName val="deep"/>
      <sheetName val="Shivaji-Marg"/>
      <sheetName val="Star Tower-Silokhera (2)"/>
      <sheetName val="Crosspoint(galleria2)-Gurgaon"/>
      <sheetName val="Corporate park block 1"/>
      <sheetName val="Corporate Park -4B"/>
      <sheetName val="Corporate Park-4A"/>
      <sheetName val="CITY COURT-Sikanderpur"/>
      <sheetName val="Okh"/>
      <sheetName val="Precalculation"/>
      <sheetName val="IDC"/>
      <sheetName val="Misc. points"/>
      <sheetName val="qty abst"/>
      <sheetName val="Programe"/>
      <sheetName val="basic "/>
      <sheetName val="bua"/>
      <sheetName val="topsheet"/>
      <sheetName val="Iron Steel &amp; handrails"/>
      <sheetName val="Top Sheet"/>
      <sheetName val="Publicbuilding"/>
      <sheetName val="Deduction Summary F"/>
      <sheetName val="Deduction Summary "/>
      <sheetName val="P.O.Annex Deduction"/>
      <sheetName val="Misc Cash Exp Deduction "/>
      <sheetName val="Salary Deduction "/>
      <sheetName val="W.O. Annex Deduction "/>
      <sheetName val="Plant Hire Deduction"/>
      <sheetName val="Welfare"/>
      <sheetName val="Index 1"/>
      <sheetName val="Trial May 2010"/>
      <sheetName val="Trial May 2010 1"/>
      <sheetName val="Recon for DLF"/>
      <sheetName val="Recon for DLF 1"/>
      <sheetName val="Summary 1"/>
      <sheetName val="DLF Top Sheet"/>
      <sheetName val="DLF Top Sheet 1"/>
      <sheetName val="Abstract_IT  DLF"/>
      <sheetName val="Abstract_IT  DLF 1"/>
      <sheetName val="Revised service Tax-7"/>
      <sheetName val="Revised service Tax-7 1"/>
      <sheetName val="Purchase Order Annexure 1"/>
      <sheetName val="Purchase Order Annexure 2 1"/>
      <sheetName val="StockStatusAsOnDate.rpt 1"/>
      <sheetName val="Vat Output-10  (2)"/>
      <sheetName val="Vat Output-10  (2) 1"/>
      <sheetName val="Work Order Annexure 2"/>
      <sheetName val=" Staff Cost-3"/>
      <sheetName val="Misc Cash Exp. Ann-4"/>
      <sheetName val="Welfare Fac ANN-5"/>
      <sheetName val="Free Issue Mat Annexure-6"/>
      <sheetName val="Markup sheet Annexure(8)"/>
      <sheetName val="Plant Hire-Annex-11"/>
      <sheetName val="Shuttering-Annex-12(WDV)"/>
      <sheetName val="star"/>
      <sheetName val="Cost Head"/>
      <sheetName val="RMC Annexure 9"/>
      <sheetName val="SBM BOQ "/>
      <sheetName val="SBM BOQ  (2)"/>
      <sheetName val="INDEX "/>
      <sheetName val="MOEF Deviation"/>
      <sheetName val="Top-sheet 09.09.09"/>
      <sheetName val="Service tax (red)"/>
      <sheetName val="Reasons wrt SECTOR 90 STR."/>
      <sheetName val="structure boq "/>
      <sheetName val="DSR Chennai Dec 08"/>
      <sheetName val="WORKDONE TILL 06-07-2009"/>
      <sheetName val="PRW-DEC 08 "/>
      <sheetName val="Total Recd qty &amp; Value 31072009"/>
      <sheetName val="finishing"/>
      <sheetName val="Meas Tower A"/>
      <sheetName val="Meas Tower&quot;B&quot;"/>
      <sheetName val="Meas Tower &quot;C&quot;"/>
      <sheetName val="Misc."/>
      <sheetName val="Meas tower D"/>
      <sheetName val="finishing SUMMARY red"/>
      <sheetName val="plumbing &amp; fire (red)"/>
      <sheetName val="SERVICES "/>
      <sheetName val="SERVICES  (RED)"/>
      <sheetName val="builtup area"/>
      <sheetName val="OMR consultanCy"/>
      <sheetName val="budget analysis_tender "/>
      <sheetName val="budget analysis"/>
      <sheetName val="Refs"/>
      <sheetName val="boq_b2b_tender"/>
      <sheetName val="boq_b2b"/>
      <sheetName val="indirect cost"/>
      <sheetName val="equipment"/>
      <sheetName val="labour camp"/>
      <sheetName val="structure_split"/>
      <sheetName val="REVIEW"/>
      <sheetName val="Staff Forecast spread"/>
      <sheetName val="Labour Rates Used"/>
      <sheetName val="Subcontractors"/>
      <sheetName val="Sub Contract Liab Form"/>
      <sheetName val="Calc_ISC"/>
      <sheetName val="Interface_ISC"/>
      <sheetName val="Risk Analysis ISC"/>
      <sheetName val="Cash Flow Input Data_ISC"/>
      <sheetName val="Cash Flow Chart_ISC"/>
      <sheetName val="Calc_SC"/>
      <sheetName val="Interface_SC"/>
      <sheetName val="Risk Analysis SC"/>
      <sheetName val="Cash Flow Input Data_SC"/>
      <sheetName val="Cash Flow Chart_SC"/>
      <sheetName val="GD"/>
      <sheetName val="OS_PG"/>
      <sheetName val="Top-sheet vytilla"/>
      <sheetName val="STR-TYPE-1-2"/>
      <sheetName val="DATA SHEET"/>
      <sheetName val="M+L"/>
      <sheetName val="Structure BOQ VYTILLA 090709 r3"/>
      <sheetName val="PRW-JAN,09 "/>
      <sheetName val="BASIS -Jan, 09"/>
      <sheetName val="DSR 09 "/>
      <sheetName val="Structure BOQ VYTILLA (2)"/>
      <sheetName val="Structure BOQ VYTILLA"/>
      <sheetName val="SHUTTERING matt wthout taxes"/>
      <sheetName val="BOQ pro consul"/>
      <sheetName val="Material reconc"/>
      <sheetName val="Piling cumu bill"/>
      <sheetName val="PILING (rev) (2)"/>
      <sheetName val="PILING (rev)"/>
      <sheetName val="PILING"/>
      <sheetName val="Finishing Dec'08"/>
      <sheetName val="Block  &quot;A&quot;"/>
      <sheetName val="Block  &quot;B&quot;"/>
      <sheetName val="Block  &quot;C&quot;"/>
      <sheetName val="Block  &quot;D&quot;"/>
      <sheetName val="Block  &quot;E&quot;"/>
      <sheetName val="Vytilla FIN BOQ"/>
      <sheetName val="Vityla P&amp; ff "/>
      <sheetName val="Day Shift"/>
      <sheetName val="Night Shift"/>
      <sheetName val="Contract Day Staff"/>
      <sheetName val="Contract Night Staff"/>
      <sheetName val="Rates"/>
      <sheetName val="XXXXX"/>
      <sheetName val="XXXX0"/>
      <sheetName val="BoQ_DLF (2)"/>
      <sheetName val="BoQ_DLF"/>
      <sheetName val="DESIGN MIX"/>
      <sheetName val="Cost-Sqft"/>
      <sheetName val="BASIC"/>
      <sheetName val="Bill of Quantities"/>
      <sheetName val="P&amp;E Dep"/>
      <sheetName val="Staff Schedule"/>
      <sheetName val="HSE"/>
      <sheetName val="Lab Equp"/>
      <sheetName val="Travel"/>
      <sheetName val="Site facilities"/>
      <sheetName val="Site office &amp; Infra"/>
      <sheetName val="Preisblatt Lot B"/>
      <sheetName val="Name List"/>
      <sheetName val="Elemental Summary"/>
      <sheetName val="Detail Sheet - below Ground"/>
      <sheetName val="Detail Sheet - Above Ground"/>
      <sheetName val="Detail Sheet - Tower 1"/>
      <sheetName val="Detail Sheet - Tower 2"/>
      <sheetName val="Detail Sheet - Link Bride"/>
      <sheetName val="Detail Sheet - MP hall"/>
      <sheetName val="Detail Sheet - External"/>
      <sheetName val="2. Estimate Summary"/>
      <sheetName val="3. Elemental Summary"/>
      <sheetName val="Base"/>
      <sheetName val="Stilt"/>
      <sheetName val="Club house"/>
      <sheetName val="Tower 1"/>
      <sheetName val="Tower 2"/>
      <sheetName val="Tower 3"/>
      <sheetName val="Ext Works"/>
      <sheetName val="10. &amp; 11. Rate Code &amp; BQ"/>
      <sheetName val="4a. Trade"/>
      <sheetName val="5. Area &amp; Perimeter Statement"/>
      <sheetName val="12a. CFTable"/>
      <sheetName val="Assumption "/>
      <sheetName val="Civil"/>
      <sheetName val="Civil Chart"/>
      <sheetName val="Overall - Chart"/>
      <sheetName val="Aseet1998"/>
      <sheetName val="Main-Material"/>
      <sheetName val="경비공통"/>
      <sheetName val="BOQ Str"/>
      <sheetName val="Summary-Hardscape"/>
      <sheetName val="summary Septic Tank"/>
      <sheetName val="UPVC Windows"/>
      <sheetName val="Structural Steel"/>
      <sheetName val="Reinforcement Steel"/>
      <sheetName val="Ornamental Plaster"/>
      <sheetName val="BOQ Hardscape"/>
      <sheetName val="BOQ Septic Tank"/>
      <sheetName val="QTY Septic tank"/>
      <sheetName val="SITE OVERHEADS"/>
      <sheetName val="Additions"/>
      <sheetName val="Tax workings"/>
      <sheetName val="GSG"/>
      <sheetName val="Led"/>
      <sheetName val="Cons-RPD"/>
      <sheetName val="RPD"/>
      <sheetName val="BFSL"/>
      <sheetName val="BFSL-11"/>
      <sheetName val="Tax"/>
      <sheetName val="TB-Main"/>
      <sheetName val="TB"/>
      <sheetName val="FC"/>
      <sheetName val="DIL-BS"/>
      <sheetName val="DIL-PL"/>
      <sheetName val="CG"/>
      <sheetName val="Small cos"/>
      <sheetName val="Okhla"/>
      <sheetName val="POCM Cal"/>
      <sheetName val="S-FA"/>
      <sheetName val="FA"/>
      <sheetName val="Const"/>
      <sheetName val="Cons POCM"/>
      <sheetName val="TB-Cons"/>
      <sheetName val="Cons-Jindal"/>
      <sheetName val="Banjara"/>
      <sheetName val="Intt Inco_exp"/>
      <sheetName val="Jal"/>
      <sheetName val="AR-GL"/>
      <sheetName val="Variance"/>
      <sheetName val="Dep Sch"/>
      <sheetName val="Dep IT"/>
      <sheetName val="DEP"/>
      <sheetName val="Mumbai"/>
      <sheetName val="POCM "/>
      <sheetName val="Vari. Analy"/>
      <sheetName val="Reco"/>
      <sheetName val="Dep. wo"/>
      <sheetName val="POCM-LCK"/>
      <sheetName val="CWIP-R"/>
      <sheetName val="contrcters"/>
      <sheetName val="BvAAI"/>
      <sheetName val="P1"/>
      <sheetName val="P2"/>
      <sheetName val="P3"/>
      <sheetName val="P4"/>
      <sheetName val="P5"/>
      <sheetName val="P6"/>
      <sheetName val="P7"/>
      <sheetName val="P8"/>
      <sheetName val="P9"/>
      <sheetName val="For Blue Book"/>
      <sheetName val="Avg Cost"/>
      <sheetName val="YTD Revenue"/>
      <sheetName val="Charts"/>
      <sheetName val="Inputs AIR"/>
      <sheetName val="CApex"/>
      <sheetName val="ML DRS"/>
      <sheetName val="Actuals"/>
      <sheetName val="QTD Budget"/>
      <sheetName val="MIS"/>
      <sheetName val="Monthly Budget"/>
      <sheetName val="S.4.1_Auditors Remuneration"/>
      <sheetName val="S.4.2_Billing details"/>
      <sheetName val="S.4.3_SAP Dump"/>
      <sheetName val="S.3.1_Managerial Remuneration"/>
      <sheetName val="S.3.2_Ravi Uppal Compensation"/>
      <sheetName val="S.3.3_SRU Working"/>
      <sheetName val="S.3.4_Directors Fees"/>
      <sheetName val="S.3.5_Commission - Non Exec Dir"/>
      <sheetName val="S.3.6_GL Dump"/>
      <sheetName val="costlogic"/>
      <sheetName val="OPERATION"/>
      <sheetName val="Molyimpact"/>
      <sheetName val="Rawmatimpact"/>
      <sheetName val="27SETS"/>
      <sheetName val="FM Cost"/>
      <sheetName val="costmoly"/>
      <sheetName val="FIX_VARI"/>
      <sheetName val="FIX_V_MOLY"/>
      <sheetName val="SETNO"/>
      <sheetName val="DRGNO"/>
      <sheetName val="avg cost ring"/>
      <sheetName val="02A"/>
      <sheetName val="PRO"/>
      <sheetName val="alloy rate"/>
      <sheetName val="ALLOY"/>
      <sheetName val="ALLOYMOLY"/>
      <sheetName val="OPTSTD"/>
      <sheetName val="OPTKV1"/>
      <sheetName val="OPTIKA"/>
      <sheetName val="OPTSTEL"/>
      <sheetName val="SAPhalb"/>
      <sheetName val="ratebreakup"/>
      <sheetName val="TATA GK176MOBP"/>
      <sheetName val="TATA GK153P"/>
      <sheetName val="TATA GO582CPG"/>
      <sheetName val="LETTER"/>
      <sheetName val="LEAD"/>
      <sheetName val="COST "/>
      <sheetName val="COST  (2)"/>
      <sheetName val="LVD_2007-10 (Arthur)"/>
      <sheetName val="Pistons EU"/>
      <sheetName val="LVD_2007-10 (Sales)"/>
      <sheetName val="PRO Vs CAP (2)"/>
      <sheetName val="NGPIS (2)"/>
      <sheetName val="GIL-FORMAT SUMM (2)"/>
      <sheetName val="GIL-FORMAT SUMM"/>
      <sheetName val="sum pis&amp;pin"/>
      <sheetName val="piston-plant"/>
      <sheetName val="pin-plant"/>
      <sheetName val="BOUGHTOUT"/>
      <sheetName val="RING-MODVAT"/>
      <sheetName val="CIRCLIP"/>
      <sheetName val="LINERS"/>
      <sheetName val="Depot"/>
      <sheetName val="G I T"/>
      <sheetName val="depot no reco"/>
      <sheetName val="NGPINWW3"/>
      <sheetName val="PACKING COST"/>
      <sheetName val="NGPISWW3"/>
      <sheetName val="Alloy and OH rate"/>
      <sheetName val="Top"/>
      <sheetName val="RING"/>
      <sheetName val="plannsv"/>
      <sheetName val="indm"/>
      <sheetName val="POWER06-07"/>
      <sheetName val="LAP"/>
      <sheetName val="OE"/>
      <sheetName val="POWER05-06 (2)"/>
      <sheetName val="HCCE01"/>
      <sheetName val="PRICE (2)"/>
      <sheetName val="COST9899"/>
      <sheetName val="fdy-capnos"/>
      <sheetName val="PISCOST"/>
      <sheetName val="MC-TIME"/>
      <sheetName val="allocost"/>
      <sheetName val="PACKING"/>
      <sheetName val="QTY."/>
      <sheetName val="FDY"/>
      <sheetName val="MAT-COST"/>
      <sheetName val="SCRAP-CAL"/>
      <sheetName val="NEWMASTER"/>
      <sheetName val="BUDMASTER"/>
      <sheetName val="PRICE"/>
      <sheetName val="MC-TIMECAP"/>
      <sheetName val="CAPACITY"/>
      <sheetName val="CAP KEY"/>
      <sheetName val="FDY-BASIS"/>
      <sheetName val="RECO-COST"/>
      <sheetName val="piston-cost"/>
      <sheetName val="STORE-CONSUMED-FDY"/>
      <sheetName val="fdy-consumble"/>
      <sheetName val="FDY-COST"/>
      <sheetName val="power "/>
      <sheetName val="Split-chart"/>
      <sheetName val="MASTER-KEY"/>
      <sheetName val="Hero majestic 46 "/>
      <sheetName val="m-74"/>
      <sheetName val="rm pin saving (2)"/>
      <sheetName val="Piston 77Ø"/>
      <sheetName val="Dov 77"/>
      <sheetName val="Piston 78Ø"/>
      <sheetName val="dov 78 Ø"/>
      <sheetName val="Summary Published"/>
      <sheetName val="Detail Published"/>
      <sheetName val="Borrowing"/>
      <sheetName val="HO Analysis"/>
      <sheetName val="PAT Analysis"/>
      <sheetName val="Bng Analysis"/>
      <sheetName val="Bhd Analysis"/>
      <sheetName val="Detail Published Actual"/>
      <sheetName val="SummaryActual"/>
      <sheetName val="MAIN"/>
      <sheetName val="Scheme wise (2)"/>
      <sheetName val="Projectwise P&amp;L"/>
      <sheetName val="Zonewise P&amp;L"/>
      <sheetName val="P&amp;LSum"/>
      <sheetName val="Land  bkp old pro new cost"/>
      <sheetName val="ass suu old pro new cos"/>
      <sheetName val="Final Sum old pro new cost"/>
      <sheetName val="City Pivold pro new cost"/>
      <sheetName val="Interst 30.09.09"/>
      <sheetName val="Cap Ex"/>
      <sheetName val="CFS "/>
      <sheetName val="CF Adj"/>
      <sheetName val="BS(Revised)"/>
      <sheetName val="PL(revised)"/>
      <sheetName val="Note 2."/>
      <sheetName val="Note 4-5-6-7"/>
      <sheetName val="Note 8-9-10-11"/>
      <sheetName val="Note 12-13 FA console "/>
      <sheetName val="FA rental"/>
      <sheetName val="Note 15-16-17-18"/>
      <sheetName val="Note 19-20-21"/>
      <sheetName val="Note 22- 23"/>
      <sheetName val="Note 24 -28"/>
      <sheetName val="Note 25.3"/>
      <sheetName val="Others notes "/>
      <sheetName val="Related party note"/>
      <sheetName val="Related party working "/>
      <sheetName val="Loan summary"/>
      <sheetName val="comparative M-11"/>
      <sheetName val="March  2012 TB "/>
      <sheetName val="March 2011TB "/>
      <sheetName val="FA Register "/>
      <sheetName val="int in IHP"/>
      <sheetName val="Loans details &amp; intt"/>
      <sheetName val="Others details"/>
      <sheetName val="Tax status"/>
      <sheetName val="Deferred Tax New"/>
      <sheetName val="Tax Comp (IHP)"/>
      <sheetName val="Bifurcation of P&amp;L heads"/>
      <sheetName val="computation of deduction"/>
      <sheetName val="Normal provisons "/>
      <sheetName val="Revenue 801A"/>
      <sheetName val="MAT compuation "/>
      <sheetName val="payroll walk"/>
      <sheetName val="14A"/>
      <sheetName val="SEZ PB "/>
      <sheetName val="EPS "/>
      <sheetName val="Others details "/>
      <sheetName val="MD salary "/>
      <sheetName val="LRD loans &amp; Intt rate"/>
      <sheetName val="Intt Rate working - "/>
      <sheetName val="Extract"/>
      <sheetName val="12111001"/>
      <sheetName val="13870000"/>
      <sheetName val="15111501"/>
      <sheetName val="15312001"/>
      <sheetName val="15312002"/>
      <sheetName val="15353000"/>
      <sheetName val="15378000"/>
      <sheetName val="15417000"/>
      <sheetName val="15433508 "/>
      <sheetName val="15513000"/>
      <sheetName val="15570000"/>
      <sheetName val="15570502"/>
      <sheetName val="15570503"/>
      <sheetName val="15570506"/>
      <sheetName val="15618000"/>
      <sheetName val="15722701"/>
      <sheetName val="15892505"/>
      <sheetName val="15892508"/>
      <sheetName val="15892509"/>
      <sheetName val="15892757"/>
      <sheetName val="15923000"/>
      <sheetName val="16155502"/>
      <sheetName val="28483501"/>
      <sheetName val="CH1031"/>
      <sheetName val="PB1035"/>
      <sheetName val="HP1033"/>
      <sheetName val="UT1034"/>
      <sheetName val="DL1041"/>
      <sheetName val="SWLDL4041"/>
      <sheetName val="SWLCH4031"/>
      <sheetName val="SWLUT4034"/>
      <sheetName val="SWLHP4033"/>
      <sheetName val="HLDL2013"/>
      <sheetName val="HLUT2034"/>
      <sheetName val="Sales return after Mar-07"/>
      <sheetName val="Opening Balance"/>
      <sheetName val="FIXASET"/>
      <sheetName val="Note"/>
      <sheetName val="Details 2"/>
      <sheetName val="PL Depn"/>
      <sheetName val="INTERNAL REPORT"/>
      <sheetName val="DUE DELIGENCE"/>
      <sheetName val="IPO"/>
      <sheetName val="Wdv"/>
      <sheetName val="RFDETAIL"/>
      <sheetName val="C.O."/>
      <sheetName val="pack pnl-99"/>
      <sheetName val="old_serial no."/>
      <sheetName val="tot_ass_9697"/>
      <sheetName val="MSSL-Presentation, Action,  (2)"/>
      <sheetName val="Loan"/>
      <sheetName val="Short term loan"/>
      <sheetName val="Trade Payables"/>
      <sheetName val="Fixed Assets"/>
      <sheetName val="FAR"/>
      <sheetName val="Pre paid"/>
      <sheetName val="Contractors for work"/>
      <sheetName val="BRS"/>
      <sheetName val="Unbilled Revenue"/>
      <sheetName val="INDORAMA Group June 02"/>
      <sheetName val="IO List"/>
      <sheetName val="BMS BOQ"/>
      <sheetName val="Lead splm"/>
      <sheetName val="SLP Data"/>
      <sheetName val="Lead SLPM."/>
      <sheetName val="SLPM Data"/>
      <sheetName val="FORM7"/>
      <sheetName val="INDEX  (2)"/>
      <sheetName val="+ for Belaire"/>
      <sheetName val="variation (2)"/>
      <sheetName val="Struc. cheek sheet"/>
      <sheetName val="Structure BOQ (SBM)"/>
      <sheetName val="STRUCTURE MATERIAL SUMMARY"/>
      <sheetName val="STRUCTURE MATERIAL ANALYSIS"/>
      <sheetName val="RMC Analysis Rename"/>
      <sheetName val="Mix Design"/>
      <sheetName val="DSR SBM New delhi"/>
      <sheetName val="BASIS -RATE"/>
      <sheetName val="SBM Variation Fin PH- I &amp; I (2)"/>
      <sheetName val="VARIATION ( Str ) (Final)"/>
      <sheetName val="VARIATION ( Str ) (without fat)"/>
      <sheetName val="VARIATION ( Str )"/>
      <sheetName val="Variation_1 with OH"/>
      <sheetName val="Variation_1"/>
      <sheetName val="Consultant BOQ"/>
      <sheetName val="Comparision working"/>
      <sheetName val="Retaining wall"/>
      <sheetName val="Builtup phase I"/>
      <sheetName val="Stru. Backup Phase III"/>
      <sheetName val="Phase-III"/>
      <sheetName val="PRW-RATE"/>
      <sheetName val="SBM Variation Fin PH- I &amp; II"/>
      <sheetName val="SBM FINISHING BOQ - I &amp; II"/>
      <sheetName val="FinDSR JAN'09 SBM (M+L)"/>
      <sheetName val="FinDSR JAN'09 SBM"/>
      <sheetName val="Finishing Analysis"/>
      <sheetName val="FinRate Analysis SBM"/>
      <sheetName val="FinMaterial analysis SBM"/>
      <sheetName val="FinPRW analysis SBM"/>
      <sheetName val="Plum FF SUMMARY"/>
      <sheetName val="Indo-Tech "/>
      <sheetName val="Intangibles Amort Sched"/>
      <sheetName val="MOR-GAP"/>
      <sheetName val="BSHEET"/>
      <sheetName val="BCOST"/>
      <sheetName val="B COST DETAIL"/>
      <sheetName val="C&amp;B DETAIL"/>
      <sheetName val="ORDERS REPORT"/>
      <sheetName val="EMPLOYMENT"/>
      <sheetName val="AGENDA"/>
      <sheetName val="Task Breakdown"/>
      <sheetName val="Cash-Flow"/>
      <sheetName val="Detailed Costs"/>
      <sheetName val="2 - RTU_HMI Eng"/>
      <sheetName val="3 - Instalation"/>
      <sheetName val="4 - Panels"/>
      <sheetName val="5 - RTU Parts"/>
      <sheetName val="6 - HMI"/>
      <sheetName val="7 - T&amp;L"/>
      <sheetName val="8 - Training"/>
      <sheetName val="9 - Transport"/>
      <sheetName val="10 - Import Taxes and Hedge"/>
      <sheetName val="11 - Spare Parts &amp; Tools"/>
      <sheetName val="12 - Special Development"/>
      <sheetName val="13 - Maintenance Agreement"/>
      <sheetName val="Price - Sheet"/>
      <sheetName val="A - Proposta"/>
      <sheetName val="B - Proposta"/>
      <sheetName val="C - Proposta"/>
      <sheetName val="Tabela de Preços"/>
      <sheetName val="Reduções de preço"/>
      <sheetName val="Cronograma de desembolso"/>
      <sheetName val="Cronograma de desembolso B"/>
      <sheetName val="5.1 - D20 Pricing - nao usar"/>
      <sheetName val="5.2 - D200 Pricing - nao usar"/>
      <sheetName val="5.3 - Redundant D200 nao usar"/>
      <sheetName val="QE31-Mar-10"/>
      <sheetName val="Bal Sheet"/>
      <sheetName val="Sch 1to4"/>
      <sheetName val="FA Sch 5"/>
      <sheetName val="Sch 6 Inv"/>
      <sheetName val="Inv Details"/>
      <sheetName val="Sch 7 CA"/>
      <sheetName val="Sch 7 LA, 8"/>
      <sheetName val="Sch 9,10,11"/>
      <sheetName val="Sch 12,13,14,15"/>
      <sheetName val="Sch 16,17"/>
      <sheetName val="Grp Sch"/>
      <sheetName val="Tax, Def Tax"/>
      <sheetName val="IT Depn"/>
      <sheetName val="Wealth Tax"/>
      <sheetName val="Wealth Tax workings"/>
      <sheetName val="Ratio Analysis"/>
      <sheetName val="Debtors Analysis"/>
      <sheetName val="Provision for bad debts"/>
      <sheetName val="BG Status"/>
      <sheetName val="C-Form status"/>
      <sheetName val="Additions to FA"/>
      <sheetName val="Saidapet asset sale"/>
      <sheetName val="Marco template"/>
      <sheetName val="Walk"/>
      <sheetName val="TY est as of Jan"/>
      <sheetName val="PROFIT AND LOSS (2)"/>
      <sheetName val="Summary Presentation"/>
      <sheetName val="Shari's Estimates"/>
      <sheetName val="Top 25 - External"/>
      <sheetName val="FW 15 External"/>
      <sheetName val="FW15 Internal"/>
      <sheetName val="FW 15 External Workings"/>
      <sheetName val="Top 25 Orders"/>
      <sheetName val="GECARS Open Items Report - Dec"/>
      <sheetName val="Debit bal transfer - BRIO - Dec"/>
      <sheetName val="Brio - not due - Dec"/>
      <sheetName val="CRMPS raw"/>
      <sheetName val="CRMPS Summary"/>
      <sheetName val="December OFA raw"/>
      <sheetName val="December OFA summary"/>
      <sheetName val="All Data"/>
      <sheetName val=" Summary"/>
      <sheetName val="Receivable overview"/>
      <sheetName val="BHA Receivables Overview"/>
      <sheetName val="GEIS Receivables Overview"/>
      <sheetName val="xtab"/>
      <sheetName val="Salient features"/>
      <sheetName val="Cover Sheet"/>
      <sheetName val="Cashflow "/>
      <sheetName val="Cashflow Workings"/>
      <sheetName val="Journals"/>
      <sheetName val="COA"/>
      <sheetName val="ConsSched"/>
      <sheetName val="OP TB April 10"/>
      <sheetName val="OCTOBER PROVISION"/>
      <sheetName val="Expense details"/>
      <sheetName val="contract Labour"/>
      <sheetName val="PF&amp;ESI CONT"/>
      <sheetName val="ROYALTY"/>
      <sheetName val="PR"/>
      <sheetName val="S2G"/>
      <sheetName val="Reconciliation"/>
      <sheetName val="Press release"/>
      <sheetName val="Sch 7 8 9"/>
      <sheetName val="Sch 10 11 12"/>
      <sheetName val="Sch 13"/>
      <sheetName val="Sch 14,15.16"/>
      <sheetName val="Sch 17"/>
      <sheetName val="TB "/>
      <sheetName val="Accruals"/>
      <sheetName val="IT Depn "/>
      <sheetName val="IT Prov"/>
      <sheetName val="AS 11 "/>
      <sheetName val="Sales Register"/>
      <sheetName val="S 1"/>
      <sheetName val="S3a"/>
      <sheetName val="S 2b"/>
      <sheetName val="S 4"/>
      <sheetName val="S 5"/>
      <sheetName val="S 6 7"/>
      <sheetName val="S 8"/>
      <sheetName val="S 9 "/>
      <sheetName val="S 10"/>
      <sheetName val="S 11"/>
      <sheetName val="S 12"/>
      <sheetName val="S 13"/>
      <sheetName val="S 14"/>
      <sheetName val="s 15"/>
      <sheetName val="s16"/>
      <sheetName val="G.P."/>
      <sheetName val="Def Tax Rev"/>
      <sheetName val="IT-adj"/>
      <sheetName val="Def Tax"/>
      <sheetName val="LOSS"/>
      <sheetName val="TDS-List"/>
      <sheetName val="IIC Deletion (3)"/>
      <sheetName val="MainPage"/>
      <sheetName val="DR"/>
      <sheetName val="DR-Anx"/>
      <sheetName val="AR"/>
      <sheetName val="CARO"/>
      <sheetName val="CAROApp"/>
      <sheetName val="FundFlow"/>
      <sheetName val="Instructions"/>
      <sheetName val="BSSch"/>
      <sheetName val="FASch"/>
      <sheetName val="PLSch"/>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 val="Balance Sheet "/>
      <sheetName val="P&amp;L "/>
      <sheetName val="BS - Schedules"/>
      <sheetName val="P&amp;L Schedules"/>
      <sheetName val="sub-sch"/>
      <sheetName val="Groupings"/>
      <sheetName val="Computation"/>
      <sheetName val="Part IV"/>
      <sheetName val="TRIAL-GROUPING"/>
      <sheetName val="FIXED ASSETS FINAL (Rs. lacs)"/>
      <sheetName val="FIXEDASSET-MINERALS-FINAL"/>
      <sheetName val="PRVOSNL FA 0102"/>
      <sheetName val="FA - DEP SCH - ACCTS - 0102 "/>
      <sheetName val="Related Party Disclosure"/>
      <sheetName val="Cash Flow Statement"/>
      <sheetName val="Manual"/>
      <sheetName val="Messages"/>
      <sheetName val="CONTROL"/>
      <sheetName val="REFERENCES"/>
      <sheetName val="OPERATING ST"/>
      <sheetName val="CASH FLOW ST"/>
      <sheetName val="FINANCIAL SIT"/>
      <sheetName val="1. MACRO AND OS"/>
      <sheetName val="1.1. MACROECONOMIC INFO"/>
      <sheetName val="1.2. OPERATING STATEMENT"/>
      <sheetName val="1.3.A OS BUSINESS BGT"/>
      <sheetName val="1.4 SALES VARIATION BREAKDOWN"/>
      <sheetName val="1.5. MARGIN VARIATION"/>
      <sheetName val="2. VOLUMES &amp; PRICES"/>
      <sheetName val="2.1 SALES &amp; PRODUCTION VOLU"/>
      <sheetName val="2.2 CHANGES SALES PRICE"/>
      <sheetName val="3. COSTS &amp; EXPENSES"/>
      <sheetName val="2.1 SALES &amp; PRODUCTION VOLU (2)"/>
      <sheetName val="2.1 SALES &amp; PRODUCTION VOLU (3)"/>
      <sheetName val="3.1.A PERSONNEL "/>
      <sheetName val="3.1.B Org.chart "/>
      <sheetName val="3.2. PRODUCTION COSTS ALWAR"/>
      <sheetName val="Cost Kg Analisys Alwar Plant"/>
      <sheetName val="3.2. PROD. COSTS DEWAS"/>
      <sheetName val="Cost Kg Analysis Dewas Plant"/>
      <sheetName val="3.2. PROD. COSTS PERUNDURAI"/>
      <sheetName val="Cost Kg Analy Perundurai Plant"/>
      <sheetName val="3.2. PROD. COSTS RANIPET"/>
      <sheetName val="Cost Kg Analysis Ranipet"/>
      <sheetName val="3.2. PROD. COSTS ALL PLANTS"/>
      <sheetName val="3.3. OTHER COSTS"/>
      <sheetName val="3.4. GNRL.PRODUCTION alwar "/>
      <sheetName val="3.4. GNRL.PRODUCTION Dewas"/>
      <sheetName val="3.4. GNRL.PRODUCTION Ranipet "/>
      <sheetName val="3.4. GNRL.PRODUCTION Perund"/>
      <sheetName val="3.4. GNRL.PRODUCTION HO"/>
      <sheetName val="3.5 MArketing &amp; Sales"/>
      <sheetName val="3.5.B. PROM &amp; ADV"/>
      <sheetName val="3.6 Managem &amp; Admin"/>
      <sheetName val="3.7. FINANCIAL EXPENSES"/>
      <sheetName val="3.8 A.R. VALUE ADJUSTMENT "/>
      <sheetName val="3.9 ATYPICAL"/>
      <sheetName val="3.10 TAX"/>
      <sheetName val="4. CASHFLOW "/>
      <sheetName val="4.1 CASHFLOW STATEM. &amp; FIN."/>
      <sheetName val="4.2 Investment Budget"/>
      <sheetName val="4.2.A INVEST BUDGET Alwar"/>
      <sheetName val="4.2.B INVEST BUDGET DEWAS"/>
      <sheetName val="4.2.C INVEST BUDGET Ranipet"/>
      <sheetName val="4.2.D INVEST BUDGET PERUNDURAI"/>
      <sheetName val="4.2.E INVEST BUDGET ALLIED PROD"/>
      <sheetName val="4.2.E INVEST BUDGET HO"/>
      <sheetName val="4.4. Working capital details"/>
      <sheetName val="4.5 WORKING CAPITAL RATIO"/>
      <sheetName val="4.6. ASSETS"/>
      <sheetName val="4.7. EQUITY &amp; LIABILITIES"/>
      <sheetName val="5. ANNEX"/>
      <sheetName val="5. 1 DETAIL INVESTMENTS"/>
      <sheetName val="5. 2 HEADCOUNT DETAIL"/>
      <sheetName val="5.2A YE HEADCOUNT DETAIL"/>
      <sheetName val="ALESSI"/>
      <sheetName val="LIVING"/>
      <sheetName val="PALOMBA"/>
      <sheetName val="FORM"/>
      <sheetName val="CHULETA"/>
      <sheetName val="OPST"/>
      <sheetName val="Capital Expenditure"/>
      <sheetName val="WUPDATA"/>
      <sheetName val="Challan"/>
      <sheetName val="ACTIVO"/>
      <sheetName val="Cash payments _Rs_20_000"/>
      <sheetName val="Franchise Input"/>
      <sheetName val="OC5_Push Diag"/>
      <sheetName val="Settings"/>
      <sheetName val="한계원가"/>
      <sheetName val="유통망계획"/>
      <sheetName val="RELACION REFERENCIAS"/>
      <sheetName val="_____"/>
      <sheetName val="IT_FBT_DDTP"/>
      <sheetName val="Gap Analysis "/>
      <sheetName val="wHist_Data"/>
      <sheetName val="wInit_Frct_Data"/>
      <sheetName val="wFinal_Frct_Data"/>
      <sheetName val="oracleTB"/>
      <sheetName val="Reasons"/>
      <sheetName val="Flash "/>
      <sheetName val="high"/>
      <sheetName val="PL "/>
      <sheetName val="FP"/>
      <sheetName val="VARIANCE ANALYSIS"/>
      <sheetName val="VAR"/>
      <sheetName val="VAR - ACT VS BUD"/>
      <sheetName val=" ACT VS BUD WORKINGS(YTD) "/>
      <sheetName val=" ACT VS PR.YEA WORKINGS(MONTH) "/>
      <sheetName val=" ACT VS BUD WORKINGS(MONTH) "/>
      <sheetName val="VAR - ACT VS BUD WORKINGS"/>
      <sheetName val="VAR - PREV YR VS ACT"/>
      <sheetName val="VAR - WORKINGS PREV YR VS ACT"/>
      <sheetName val="prod"/>
      <sheetName val="prodcost"/>
      <sheetName val="exp "/>
      <sheetName val="emp"/>
      <sheetName val="int"/>
      <sheetName val="wc"/>
      <sheetName val="drs"/>
      <sheetName val="grist comp"/>
      <sheetName val="production"/>
      <sheetName val="RM CONS"/>
      <sheetName val="RM CONS YTD"/>
      <sheetName val="CHEM CONS"/>
      <sheetName val="CHEM CONS YTD"/>
      <sheetName val="PM CONS"/>
      <sheetName val="PM CONS YTD"/>
      <sheetName val="consumption 1 2003"/>
      <sheetName val="CONSUMPTIONYTD"/>
      <sheetName val="WIP workings"/>
      <sheetName val="WORKINGS"/>
      <sheetName val="Royalty-cal"/>
      <sheetName val="SALES -monthly"/>
      <sheetName val="SALES"/>
      <sheetName val="Depreication"/>
      <sheetName val="Creditors"/>
      <sheetName val="Creditor s"/>
      <sheetName val="Creditorss"/>
      <sheetName val="Debtors (2)"/>
      <sheetName val=" Creditors"/>
      <sheetName val="cost sheet based on brew"/>
      <sheetName val="COST SHEET"/>
      <sheetName val="Cost sheet based on brews YTD"/>
      <sheetName val="CL.STOCK"/>
      <sheetName val="COST SHEET YTD"/>
      <sheetName val="wastages"/>
      <sheetName val="monthly exp "/>
      <sheetName val="monthly  pl 01-02"/>
      <sheetName val="Monthly pl"/>
      <sheetName val="DEC WAGES "/>
      <sheetName val="DEC  EXP "/>
      <sheetName val="Creditors "/>
      <sheetName val="Stock Statement"/>
      <sheetName val="ytd adj"/>
      <sheetName val="Reco YTD SEPT 02"/>
      <sheetName val="Exp-YTD SEPT  02"/>
      <sheetName val="Int,Salary YTD SEPT  02"/>
      <sheetName val="SHARE CAPITAL"/>
      <sheetName val="R &amp; s"/>
      <sheetName val="Res &amp; surplus"/>
      <sheetName val="SEC LOAN "/>
      <sheetName val="UN-SEC.LOAN"/>
      <sheetName val="CASHBANK"/>
      <sheetName val="LOANS-ADV"/>
      <sheetName val="LIABILITIES"/>
      <sheetName val="PROVISION"/>
      <sheetName val="OTHER INC."/>
      <sheetName val="FinishedTraded Goods"/>
      <sheetName val="Int &amp; Fin chgs"/>
      <sheetName val="Extord-schedule"/>
      <sheetName val="Purchases"/>
      <sheetName val="Trial Bal 280203"/>
      <sheetName val="Monthly exp"/>
      <sheetName val="Billing Data"/>
      <sheetName val="WIP 280203"/>
      <sheetName val="Schedules BS"/>
      <sheetName val="Sch-7"/>
      <sheetName val="Schedules PL"/>
      <sheetName val="TB07"/>
      <sheetName val="TB06"/>
      <sheetName val="TB05"/>
      <sheetName val="TB04"/>
      <sheetName val="TB03"/>
      <sheetName val="Sec 212"/>
      <sheetName val="EPS"/>
      <sheetName val="Tax Computation"/>
      <sheetName val="depre logic"/>
      <sheetName val="far pivot"/>
      <sheetName val="Fareg"/>
      <sheetName val="cap commitment"/>
      <sheetName val="DF"/>
      <sheetName val="DT"/>
      <sheetName val="AP"/>
      <sheetName val="abst _2_"/>
      <sheetName val="IBM C BLOCK"/>
      <sheetName val="fidelity"/>
      <sheetName val="IBM D BLOCK"/>
      <sheetName val="cherryhill"/>
      <sheetName val="anz"/>
      <sheetName val="Campus"/>
      <sheetName val="Pine Valley"/>
      <sheetName val="24 bar 7"/>
      <sheetName val="COVANSYS"/>
      <sheetName val="Signature"/>
      <sheetName val="Netapps"/>
      <sheetName val="EGL-FOODCOURT"/>
      <sheetName val="IBM C Block Fitout"/>
      <sheetName val="IBM D Block Fitout"/>
      <sheetName val="24bar7 (ICON)"/>
      <sheetName val="24bar7 phase 2"/>
      <sheetName val="LG Soft Fitout"/>
      <sheetName val="kirby"/>
      <sheetName val="kirby Gs"/>
      <sheetName val="ibm1"/>
      <sheetName val="ibm2"/>
      <sheetName val="ibm3"/>
      <sheetName val="AppA1-1"/>
      <sheetName val="AppA1-2"/>
      <sheetName val="AppA2-1"/>
      <sheetName val="AppA2-2"/>
      <sheetName val="AppA3"/>
      <sheetName val="AppA4"/>
      <sheetName val="July"/>
      <sheetName val="Contents"/>
      <sheetName val="ES1"/>
      <sheetName val="ES2"/>
      <sheetName val="ES3"/>
      <sheetName val="ES4"/>
      <sheetName val="Contents (2)"/>
      <sheetName val="ES1 (2)"/>
      <sheetName val="ES3 (2)"/>
      <sheetName val="ES5"/>
      <sheetName val="ES6"/>
      <sheetName val="ES7"/>
      <sheetName val="F-1"/>
      <sheetName val="L"/>
      <sheetName val="C"/>
      <sheetName val="M"/>
      <sheetName val="CC"/>
      <sheetName val="PB"/>
      <sheetName val="BP"/>
      <sheetName val="P.CTN"/>
      <sheetName val="Total PL"/>
      <sheetName val="F-1(KL)"/>
      <sheetName val="F-2(KL)"/>
      <sheetName val="F-3(KL)"/>
      <sheetName val="F-4(KL)"/>
      <sheetName val="F-5(KL)"/>
      <sheetName val="F-22(KL)"/>
      <sheetName val="AP110"/>
      <sheetName val="A(KL)"/>
      <sheetName val="L(KL)"/>
      <sheetName val="M-MM(KL)"/>
      <sheetName val="N(KL)"/>
      <sheetName val="U(KL)"/>
      <sheetName val="U-1(KL)"/>
      <sheetName val="U-disclosure(KL)"/>
      <sheetName val="CC(KL)"/>
      <sheetName val="30(KL)"/>
      <sheetName val="Cost centre expenditure"/>
      <sheetName val="Interim --&gt; Top"/>
      <sheetName val="U-2_Sales Analysis"/>
      <sheetName val="U-1l2_Overall AR"/>
      <sheetName val="FF-3"/>
      <sheetName val="F-2"/>
      <sheetName val="F-3"/>
      <sheetName val="F-4"/>
      <sheetName val="F-5"/>
      <sheetName val="F-11"/>
      <sheetName val="F-11a"/>
      <sheetName val="F-22"/>
      <sheetName val="B-40"/>
      <sheetName val="B-50"/>
      <sheetName val="U "/>
      <sheetName val="U-10"/>
      <sheetName val="U-30"/>
      <sheetName val="BB-30"/>
      <sheetName val="CC-30"/>
      <sheetName val="FF-1"/>
      <sheetName val="FF-2"/>
      <sheetName val="FF-4"/>
      <sheetName val="FF-4a"/>
      <sheetName val="FF-5"/>
      <sheetName val="FF-6"/>
      <sheetName val="FF-7"/>
      <sheetName val="FF-8"/>
      <sheetName val="10"/>
      <sheetName val="11"/>
      <sheetName val="20"/>
      <sheetName val="21"/>
      <sheetName val="30"/>
      <sheetName val="40"/>
      <sheetName val="50"/>
      <sheetName val="DD-10"/>
      <sheetName val="FF-21(a)"/>
      <sheetName val="BPR"/>
      <sheetName val="Materiality"/>
      <sheetName val="F-6"/>
      <sheetName val="F-7"/>
      <sheetName val="F7wkg"/>
      <sheetName val="F-9"/>
      <sheetName val="BPR balance sheet"/>
      <sheetName val="BPR profit &amp; loss"/>
      <sheetName val="BPR BS analysis"/>
      <sheetName val="BPR PL analysis"/>
      <sheetName val="A-22"/>
      <sheetName val="B-1"/>
      <sheetName val="C-1"/>
      <sheetName val="N"/>
      <sheetName val="U"/>
      <sheetName val="U-100"/>
      <sheetName val="FF"/>
      <sheetName val="FF-10"/>
      <sheetName val="FF-20"/>
      <sheetName val="CA"/>
      <sheetName val="FF-22(hp)"/>
      <sheetName val="FF-23(d)"/>
      <sheetName val="FF-30"/>
      <sheetName val="FF-31"/>
      <sheetName val="FF-40"/>
      <sheetName val="PP"/>
      <sheetName val="PP(spare)"/>
      <sheetName val="PP-20"/>
      <sheetName val="31"/>
      <sheetName val="AA"/>
      <sheetName val="BB"/>
      <sheetName val="BB-1"/>
      <sheetName val="MM"/>
      <sheetName val="13"/>
      <sheetName val="14"/>
      <sheetName val="NN-12"/>
      <sheetName val="PP-30"/>
      <sheetName val="PP-31"/>
      <sheetName val="PP-40"/>
      <sheetName val="BPR-1"/>
      <sheetName val="B-30"/>
      <sheetName val="U-1 "/>
      <sheetName val="KK"/>
      <sheetName val="M&amp;MM"/>
      <sheetName val="NN"/>
      <sheetName val="sales cut off"/>
      <sheetName val="purchase cut off"/>
      <sheetName val="Hypothesis"/>
      <sheetName val="Profitability Analysis"/>
      <sheetName val="FSA"/>
      <sheetName val="F-1&amp;2"/>
      <sheetName val="CF1"/>
      <sheetName val="Purch cut off"/>
      <sheetName val="M&amp;MM-10"/>
      <sheetName val="pp-1"/>
      <sheetName val="40 (2)"/>
      <sheetName val="50 (2)"/>
      <sheetName val="60"/>
      <sheetName val="70"/>
      <sheetName val="BIF-collect"/>
      <sheetName val="BIF-OR"/>
      <sheetName val="Module2"/>
      <sheetName val="Module3"/>
      <sheetName val="Future"/>
      <sheetName val="Attachment"/>
      <sheetName val="30 "/>
      <sheetName val="Recovered_Sheet1"/>
      <sheetName val="Consol adjustments"/>
      <sheetName val="Goodwill"/>
      <sheetName val="Financial stats"/>
      <sheetName val="Segment - 2002 (new)"/>
      <sheetName val="Segment - 2002"/>
      <sheetName val="Changes in equity"/>
      <sheetName val="Inter-co"/>
      <sheetName val="Inter-co(subsidiary)"/>
      <sheetName val="MI"/>
      <sheetName val="FA-detailed"/>
      <sheetName val="P&amp;L-disclosure(2002)"/>
      <sheetName val="P&amp;L disclosure(2001)"/>
      <sheetName val="Cash flow -2001"/>
      <sheetName val="Consol cashflow"/>
      <sheetName val="URP"/>
      <sheetName val="Dev Expenditure"/>
      <sheetName val="CF-1 2-unused"/>
      <sheetName val="Disposal"/>
      <sheetName val="Associate"/>
      <sheetName val="FA movement "/>
      <sheetName val="FA-summary"/>
      <sheetName val="CF-13"/>
      <sheetName val="CF-10-unused"/>
      <sheetName val="CF-11- unused"/>
      <sheetName val="FACON- unused"/>
      <sheetName val="CF-3 1999 - unused"/>
      <sheetName val="CF-22- unused"/>
      <sheetName val="Sheet1- unused"/>
      <sheetName val="bhb0603"/>
      <sheetName val="OS"/>
      <sheetName val="BPR-PL "/>
      <sheetName val="BPR-BS"/>
      <sheetName val="F-1,2"/>
      <sheetName val="F-99"/>
      <sheetName val="A-1"/>
      <sheetName val="A-10"/>
      <sheetName val="B-2"/>
      <sheetName val="B-3"/>
      <sheetName val="L-2"/>
      <sheetName val="M MM "/>
      <sheetName val="U dis"/>
      <sheetName val="U-1"/>
      <sheetName val="U-3"/>
      <sheetName val="U-4"/>
      <sheetName val="BB-2"/>
      <sheetName val="BB-10"/>
      <sheetName val="BB-17"/>
      <sheetName val="FIN297"/>
      <sheetName val="DD"/>
      <sheetName val="DD-1"/>
      <sheetName val="FF-4(a)"/>
      <sheetName val="10,20"/>
      <sheetName val="10-1"/>
      <sheetName val="32"/>
      <sheetName val="Bank Rec review"/>
      <sheetName val="A-2"/>
      <sheetName val="C-10"/>
      <sheetName val="NRV-1"/>
      <sheetName val="NRV-2"/>
      <sheetName val="N-10"/>
      <sheetName val="N-11"/>
      <sheetName val="N-12"/>
      <sheetName val="N-20"/>
      <sheetName val="AA-3"/>
      <sheetName val="CC-24"/>
      <sheetName val="CC-50"/>
      <sheetName val="25"/>
      <sheetName val="Statement"/>
      <sheetName val="auditor"/>
      <sheetName val="acs"/>
      <sheetName val="fixed"/>
      <sheetName val="xxx"/>
      <sheetName val="accumdeprn"/>
      <sheetName val="addl cost"/>
      <sheetName val="dev_exp (2)"/>
      <sheetName val="dev_exp"/>
      <sheetName val="Addl Dev Exp"/>
      <sheetName val="F-2 (2)"/>
      <sheetName val="CF-IS"/>
      <sheetName val="CF-SCE"/>
      <sheetName val="DIVIDENDS"/>
      <sheetName val="Cash Flows"/>
      <sheetName val="Profit anal"/>
      <sheetName val="F-1l F-2"/>
      <sheetName val="Statement of Equity"/>
      <sheetName val="5 Analysis"/>
      <sheetName val="   Contents"/>
      <sheetName val="1 LeadSchedule"/>
      <sheetName val="2 Sec108"/>
      <sheetName val="3 P&amp;L - 4 Op.Exp"/>
      <sheetName val="3A Turnover 3B COS"/>
      <sheetName val="   Directors"/>
      <sheetName val="Shareholders"/>
      <sheetName val="Dividend"/>
      <sheetName val="ITA-RA"/>
      <sheetName val="Int-rest"/>
      <sheetName val="OTHER (2)"/>
      <sheetName val="Company Info"/>
      <sheetName val="Summary of Fixed Assets"/>
      <sheetName val="Disposals"/>
      <sheetName val="Hire Purchase"/>
      <sheetName val="Lease"/>
      <sheetName val="Controlled Transfer"/>
      <sheetName val="CA Comp"/>
      <sheetName val="IBA Comp "/>
      <sheetName val="FSL"/>
      <sheetName val="F-7B"/>
      <sheetName val="B-1."/>
      <sheetName val="U-2"/>
      <sheetName val="20-1"/>
      <sheetName val="20-2"/>
      <sheetName val="30-1"/>
      <sheetName val="30-2"/>
      <sheetName val="30(old)"/>
      <sheetName val="F-8-20-1"/>
      <sheetName val="TB-gl"/>
      <sheetName val="gl"/>
      <sheetName val="OSM"/>
      <sheetName val="AWPs Template"/>
      <sheetName val="A2-1 CLA"/>
      <sheetName val="A2-2 RJE"/>
      <sheetName val="A2-3 SAD"/>
      <sheetName val="A3"/>
      <sheetName val="A8"/>
      <sheetName val="Review Recon"/>
      <sheetName val="Review Cash book"/>
      <sheetName val="E"/>
      <sheetName val="E1"/>
      <sheetName val="E3 Recoverability"/>
      <sheetName val="E-1_Recoverability"/>
      <sheetName val="E-2"/>
      <sheetName val="G"/>
      <sheetName val="I"/>
      <sheetName val="J"/>
      <sheetName val="J-1 OSM"/>
      <sheetName val="J1 Devt costs breakdown"/>
      <sheetName val="J2 Budget &amp; Att profit"/>
      <sheetName val="J3 Actual 04"/>
      <sheetName val="J4  Lots sold report CHD"/>
      <sheetName val="J-1-1_Commission"/>
      <sheetName val="Recog Prof"/>
      <sheetName val="J-consol sv11"/>
      <sheetName val="J 1-1(2)"/>
      <sheetName val="K"/>
      <sheetName val="Unrecorded"/>
      <sheetName val="O"/>
      <sheetName val="O-1_Prov.Tax-2004"/>
      <sheetName val="Capital allowance"/>
      <sheetName val="DEFERRED TAX"/>
      <sheetName val="P"/>
      <sheetName val="P-1"/>
      <sheetName val="P2A"/>
      <sheetName val="P2B"/>
      <sheetName val="P3A"/>
      <sheetName val="P3B"/>
      <sheetName val="P3C"/>
      <sheetName val="T"/>
      <sheetName val="U-5"/>
      <sheetName val="U-6"/>
      <sheetName val="U1 Salary resonableness"/>
      <sheetName val="U1_Rental"/>
      <sheetName val="U2_Total Salary"/>
      <sheetName val="CHSB Salary Allocation Summary"/>
      <sheetName val="MegaPalm salary Allocation"/>
      <sheetName val="U4_RCSLS Interest"/>
      <sheetName val="E-2_Recognition of sales 03 "/>
      <sheetName val="J-5_Pre-acq dev cost alloc 03"/>
      <sheetName val="J-3_Bgt 03"/>
      <sheetName val="J-2_% of compl_Final 03"/>
      <sheetName val="J-3_Puan Sri Comm 03"/>
      <sheetName val="J-4_Rebate reasona03"/>
      <sheetName val="Listing of CNs 03"/>
      <sheetName val="Fees 03"/>
      <sheetName val="F-1 F-2"/>
      <sheetName val="D"/>
      <sheetName val="B "/>
      <sheetName val="B-4"/>
      <sheetName val="U-disc"/>
      <sheetName val="BB-5"/>
      <sheetName val="CC-3"/>
      <sheetName val="20 30"/>
      <sheetName val="70 "/>
      <sheetName val="MCMD95"/>
      <sheetName val="GL --&gt; Interim"/>
      <sheetName val="Top Summary"/>
      <sheetName val="GL Input Validations"/>
      <sheetName val="Scratchpad"/>
      <sheetName val="14 Column"/>
      <sheetName val="7 Column"/>
      <sheetName val="Cover "/>
      <sheetName val="Direct Report"/>
      <sheetName val="Dtr Rpt - 1 - 3"/>
      <sheetName val="Dtrs stmt - 4"/>
      <sheetName val="Aud Rpt - 5"/>
      <sheetName val="P&amp;L - 6"/>
      <sheetName val="BS - 7"/>
      <sheetName val="Equity - 8"/>
      <sheetName val="CF - 9"/>
      <sheetName val="Notes - 10 - 12"/>
      <sheetName val="Sch A"/>
      <sheetName val="Notes 2"/>
      <sheetName val="cashflowcomp"/>
      <sheetName val="cashflowcomp (2)"/>
      <sheetName val="A2l2"/>
      <sheetName val="Q"/>
      <sheetName val="F"/>
      <sheetName val="H"/>
      <sheetName val="SUMM"/>
      <sheetName val="OS list"/>
      <sheetName val="A3l1"/>
      <sheetName val="A3l1-1"/>
      <sheetName val="A2l1-RJE"/>
      <sheetName val="A2l2-CLA"/>
      <sheetName val="A2l3-SAD"/>
      <sheetName val="C8"/>
      <sheetName val="EA"/>
      <sheetName val="EC"/>
      <sheetName val="E1l1"/>
      <sheetName val="E7"/>
      <sheetName val="F1"/>
      <sheetName val="F2"/>
      <sheetName val="F3"/>
      <sheetName val="F4"/>
      <sheetName val="F5"/>
      <sheetName val="F6"/>
      <sheetName val="GA"/>
      <sheetName val="G1"/>
      <sheetName val="G2"/>
      <sheetName val="G4"/>
      <sheetName val="H1"/>
      <sheetName val="IA"/>
      <sheetName val="K1"/>
      <sheetName val="K2"/>
      <sheetName val="K3"/>
      <sheetName val="K3l1"/>
      <sheetName val="K4"/>
      <sheetName val="K5"/>
      <sheetName val="K6"/>
      <sheetName val="K7"/>
      <sheetName val="N1"/>
      <sheetName val="N2"/>
      <sheetName val="N8"/>
      <sheetName val="N9"/>
      <sheetName val="OA"/>
      <sheetName val="O1"/>
      <sheetName val="O2-CA"/>
      <sheetName val="O3-Disposal"/>
      <sheetName val="O4"/>
      <sheetName val="Pl1"/>
      <sheetName val="P1l2"/>
      <sheetName val="R"/>
      <sheetName val="R1-Sch I"/>
      <sheetName val="R2-Sch IIa"/>
      <sheetName val="R3-Sch IIb"/>
      <sheetName val="R4-Sch III"/>
      <sheetName val="R5-NQA04"/>
      <sheetName val="R6-NQA03"/>
      <sheetName val="R1"/>
      <sheetName val="R1l1"/>
      <sheetName val="R1l2"/>
      <sheetName val="S"/>
      <sheetName val="Issues"/>
      <sheetName val="SRM(final)"/>
      <sheetName val="SAD(not used)"/>
      <sheetName val="RJE(not used)"/>
      <sheetName val="A3-1l2"/>
      <sheetName val="A3|3"/>
      <sheetName val="E-2(not used)"/>
      <sheetName val="K(disclosure)"/>
      <sheetName val="K (2)"/>
      <sheetName val="K1-DepnReasonablenessTest"/>
      <sheetName val="N2 Prov for bonus(final)"/>
      <sheetName val="N3 Prov for audit fee(final)"/>
      <sheetName val="N4"/>
      <sheetName val="N5(final)"/>
      <sheetName val="O(final)"/>
      <sheetName val="O1(final)"/>
      <sheetName val="O2(final)"/>
      <sheetName val="R(final)"/>
      <sheetName val="R1(final)"/>
      <sheetName val="R2(final)"/>
      <sheetName val="UA-Disclosure items(final)"/>
      <sheetName val="U10|20"/>
      <sheetName val="U10|1"/>
      <sheetName val="U20|1"/>
      <sheetName val="Purchases cut off"/>
      <sheetName val="Payroll analysis(final)"/>
      <sheetName val="EPF(final)"/>
      <sheetName val="U-70"/>
      <sheetName val="PreM'sia(info)"/>
      <sheetName val="PreBrunei(info) (2)"/>
      <sheetName val="PreBrunei(info)"/>
      <sheetName val="F.G6-1 "/>
      <sheetName val="F.G6-2"/>
      <sheetName val="F.G7-1"/>
      <sheetName val="F.G7-2"/>
      <sheetName val="F.G8-1 "/>
      <sheetName val="F.G8-2"/>
      <sheetName val="Com(Brunei)"/>
      <sheetName val="Com(M'sia)"/>
      <sheetName val="H-lead"/>
      <sheetName val="H1_MGS"/>
      <sheetName val="H2_Cagamas"/>
      <sheetName val="H3_Debentures"/>
      <sheetName val="H4_Quoted Shares"/>
      <sheetName val="revised high demand"/>
      <sheetName val="BB-1 (2)"/>
      <sheetName val="A2-5"/>
      <sheetName val="A2-2"/>
      <sheetName val="Provision DD"/>
      <sheetName val="A8-2"/>
      <sheetName val="A8-5"/>
      <sheetName val="Form EYP 1"/>
      <sheetName val="FS - 1"/>
      <sheetName val="FS - 2"/>
      <sheetName val="FS - 3"/>
      <sheetName val="C1"/>
      <sheetName val="C2 FD"/>
      <sheetName val="G2-1 "/>
      <sheetName val="K1-2 Policy"/>
      <sheetName val="N7Accrual"/>
      <sheetName val="Q1"/>
      <sheetName val="Q1-1"/>
      <sheetName val="U1income statm"/>
      <sheetName val="u1ar"/>
      <sheetName val="U2direct cost"/>
      <sheetName val="U3 fees reasonable"/>
      <sheetName val="U4 EPF &amp;staff"/>
      <sheetName val="U1 (2)"/>
      <sheetName val="U3 fees reasonable (2)"/>
      <sheetName val="U4 EPF &amp;staff (2)"/>
      <sheetName val="Capital Allowances"/>
      <sheetName val="PL Mapping"/>
      <sheetName val="download 06022002"/>
      <sheetName val="Tabelle3"/>
      <sheetName val="MV INS &amp; R.TAX EXP LIST"/>
      <sheetName val="EQMT INS EXP LIST"/>
      <sheetName val="PREPAID-INS,RTAX"/>
      <sheetName val="3 P&amp;L - 3A Op.Exp"/>
      <sheetName val="4 Analysis"/>
      <sheetName val="M, MM"/>
      <sheetName val=" BB-2"/>
      <sheetName val="CC-1"/>
      <sheetName val="CC-2"/>
      <sheetName val="CC-3-1"/>
      <sheetName val="PP-2"/>
      <sheetName val="RCD 5- (APPENDIX 1)"/>
      <sheetName val="k-Discl"/>
      <sheetName val="DM"/>
      <sheetName val="LABOUR,SUB-CON,LEASE"/>
      <sheetName val="ADM&amp; OHH INCOME"/>
      <sheetName val="S.OH"/>
      <sheetName val="BPR-Bloom"/>
      <sheetName val="F-4l5"/>
      <sheetName val="UA"/>
      <sheetName val="accounts"/>
      <sheetName val="stmt of equity"/>
      <sheetName val="auditors' report"/>
      <sheetName val="Attach"/>
      <sheetName val="Hypo"/>
      <sheetName val="AP110 sup"/>
      <sheetName val="AP110sup"/>
      <sheetName val="FF "/>
      <sheetName val="FF-2 (1)"/>
      <sheetName val="FF-2 (2)"/>
      <sheetName val="FF-2 (3)"/>
      <sheetName val="KK-1"/>
      <sheetName val="MM-1"/>
      <sheetName val="MM-10"/>
      <sheetName val="NN-1"/>
      <sheetName val="Payroll"/>
      <sheetName val="U dis (3)"/>
      <sheetName val="U dis (2)"/>
      <sheetName val="F-1,2 (2)"/>
      <sheetName val="F-3 (2)"/>
      <sheetName val="F-22 (2)"/>
      <sheetName val="F-1,2 (3)"/>
      <sheetName val="F-3 (3)"/>
      <sheetName val="F-22 (3)"/>
      <sheetName val="CF-4 "/>
      <sheetName val="CF-1,2"/>
      <sheetName val="CF-3"/>
      <sheetName val="CF-4"/>
      <sheetName val="ccf"/>
      <sheetName val="A5"/>
      <sheetName val="A5l1"/>
      <sheetName val="PPE"/>
      <sheetName val="(U3-2) Realised forex loss"/>
      <sheetName val="(U3) Unrealised forex gain-loss"/>
      <sheetName val="(U3-1) Realised forex gain"/>
      <sheetName val="**_x0000__x0000_"/>
      <sheetName val="CF-1"/>
      <sheetName val="CF-2"/>
      <sheetName val="BPR - Conclusion"/>
      <sheetName val="F-1l2"/>
      <sheetName val="F-8(FSA)"/>
      <sheetName val="F-9b"/>
      <sheetName val="F-9c"/>
      <sheetName val="F-21"/>
      <sheetName val="RCD-1-1"/>
      <sheetName val="C-5"/>
      <sheetName val="C-6"/>
      <sheetName val="C-6a"/>
      <sheetName val="M MM"/>
      <sheetName val="Pnl-10"/>
      <sheetName val="10-2"/>
      <sheetName val="30-Note"/>
      <sheetName val="30a"/>
      <sheetName val="CF workings"/>
      <sheetName val="Pg7"/>
      <sheetName val="SumV2"/>
      <sheetName val="WRAP"/>
      <sheetName val="Pg8"/>
      <sheetName val="Actvs Bud"/>
      <sheetName val="Pg15"/>
      <sheetName val="Current Year"/>
      <sheetName val="Pg11"/>
      <sheetName val="OHDcom"/>
      <sheetName val="SRM"/>
      <sheetName val="A6-1l1"/>
      <sheetName val="A6-1l2"/>
      <sheetName val="A3-1"/>
      <sheetName val="A3-3"/>
      <sheetName val="A4"/>
      <sheetName val="A3-7"/>
      <sheetName val="E "/>
      <sheetName val="F "/>
      <sheetName val="G "/>
      <sheetName val="K-1 "/>
      <sheetName val="N-1"/>
      <sheetName val="O-1"/>
      <sheetName val="U1"/>
      <sheetName val="U1-1"/>
      <sheetName val="U2"/>
      <sheetName val="U2-1"/>
      <sheetName val="U3-1"/>
      <sheetName val="Waterfall"/>
      <sheetName val="Sources&amp;Apps"/>
      <sheetName val="Holdco"/>
      <sheetName val="SPV"/>
      <sheetName val="EMIR"/>
      <sheetName val="Output"/>
      <sheetName val="Consol FY08"/>
      <sheetName val="Consol FY09"/>
      <sheetName val="Prop.Summ"/>
      <sheetName val="Val.Sum"/>
      <sheetName val="Prop.Schedule"/>
      <sheetName val="Adjustments"/>
      <sheetName val="Depn"/>
      <sheetName val="(1) Pacific Dunes"/>
      <sheetName val="(2) Peach Tree"/>
      <sheetName val="(3) St.Andrews"/>
      <sheetName val="(4) Crystal Down"/>
      <sheetName val="(5) Augusta"/>
      <sheetName val="(6) Fairwinds"/>
      <sheetName val="(7-A) BlueBay"/>
      <sheetName val="(7-B) Fountain Head"/>
      <sheetName val="(8) Pine Valley"/>
      <sheetName val="(9) Eagle Ridge"/>
      <sheetName val="(10) Yahoo"/>
      <sheetName val="(11) Sunningdale"/>
      <sheetName val="(12) New Office"/>
      <sheetName val="(13) Cypress Point"/>
      <sheetName val="(14) Pine Hurst"/>
      <sheetName val="(15) Manyata Blk B"/>
      <sheetName val="(16) Manyata Blk D1"/>
      <sheetName val="(17) Manyata Blk D2"/>
      <sheetName val="(18) Manyata Blk D3"/>
      <sheetName val="Mkt.Rent"/>
      <sheetName val="Fitout.I"/>
      <sheetName val="Exist.RR"/>
      <sheetName val="New.RR"/>
      <sheetName val="Carpark.I"/>
      <sheetName val="Terrace.I"/>
      <sheetName val="Maint.I"/>
      <sheetName val="Misc.I"/>
      <sheetName val="Sensitivity"/>
      <sheetName val="Revenue by tenants"/>
      <sheetName val="Depri Rates"/>
      <sheetName val="FA on 31.12.01"/>
      <sheetName val="FA on 31.3.02-Final"/>
      <sheetName val="FA on 31.12.02-Final"/>
      <sheetName val="FA Add 1.4.02 to 31.12.02"/>
      <sheetName val="FA on 31.12.02"/>
      <sheetName val="FA on 31.12.02 v 1.0"/>
      <sheetName val="Status"/>
      <sheetName val="Controls"/>
      <sheetName val="Sal Break up"/>
      <sheetName val="Segment Workings"/>
      <sheetName val="sal cost"/>
      <sheetName val="Deferred Tax "/>
      <sheetName val="Int on TDS Disallowance"/>
      <sheetName val="IT 09-10"/>
      <sheetName val="Debtors Ageing"/>
      <sheetName val="Cash Flow working "/>
      <sheetName val="Schedules"/>
      <sheetName val="CFS Final"/>
      <sheetName val="CF workings - BSR"/>
      <sheetName val="ExistingRangeDetails"/>
      <sheetName val="IEDC"/>
      <sheetName val="FA- Sch"/>
      <sheetName val="Groupings BSR revised"/>
      <sheetName val="FA 2009 - 10"/>
      <sheetName val="IT_DEP "/>
      <sheetName val="Groupings IGAAP"/>
      <sheetName val="Depreciation  fINAL (2)"/>
      <sheetName val="Investments - 2009"/>
      <sheetName val="TB 2010"/>
      <sheetName val="Investments details"/>
      <sheetName val="bs-abs"/>
      <sheetName val="fa 000"/>
      <sheetName val="FA_Sch 07-08 (2)"/>
      <sheetName val="C Flow Final"/>
      <sheetName val="212 (1) (e) (2)"/>
      <sheetName val="217(2A)"/>
      <sheetName val="CF Lead 2010"/>
      <sheetName val="CF Work 2010"/>
      <sheetName val="short term fund"/>
      <sheetName val="Linked TB-3Unit"/>
      <sheetName val="Linked TB-EoU"/>
      <sheetName val="fa rupee"/>
      <sheetName val="Warranty"/>
      <sheetName val="note def tax"/>
      <sheetName val="IT computation 05"/>
      <sheetName val="IT computation 04"/>
      <sheetName val="Dep-28.02.2010"/>
      <sheetName val="Depreciation  fINAL"/>
      <sheetName val="Veh sale"/>
      <sheetName val="Audit entries"/>
      <sheetName val="symphony-08-09"/>
      <sheetName val="IT computaion 03"/>
      <sheetName val="FBT"/>
      <sheetName val="AUDIT ISSUES"/>
      <sheetName val="IT 07-08 Final"/>
      <sheetName val="TB 2005"/>
      <sheetName val="CF Lead 2008"/>
      <sheetName val="CF Work 2008"/>
      <sheetName val="FA_Sch-link to iggap"/>
      <sheetName val="depn schedule"/>
      <sheetName val="sale deed value"/>
      <sheetName val="land cost17000"/>
      <sheetName val="sales details-13808"/>
      <sheetName val="MergerAnalysis"/>
      <sheetName val="Contribution"/>
      <sheetName val="AcqShares"/>
      <sheetName val="TgtShares"/>
      <sheetName val="Acq IS"/>
      <sheetName val="Tgt IS"/>
      <sheetName val="PFIS"/>
      <sheetName val="SumStat"/>
      <sheetName val="BlankPage"/>
      <sheetName val="Counters"/>
      <sheetName val="Alw"/>
      <sheetName val="Dew"/>
      <sheetName val="Rpt"/>
      <sheetName val="Prd"/>
      <sheetName val="Otros Costes"/>
      <sheetName val=" GGP Alw"/>
      <sheetName val=" GGP Dew"/>
      <sheetName val=" GGP Prd"/>
      <sheetName val=" GGP Rpt"/>
      <sheetName val="Gastos Comerciales"/>
      <sheetName val="Gastos Generales"/>
      <sheetName val="INDICE "/>
      <sheetName val="OPERATING SIT."/>
      <sheetName val="CASHFLOW SIT."/>
      <sheetName val="FINANCIAL SIT."/>
      <sheetName val="1. MACROECONOMIC &amp; OPERATING ST"/>
      <sheetName val="1.1. MACROEC. INDICATORS"/>
      <sheetName val="MB"/>
      <sheetName val="A.1.3.A RESULTS BY BUS. (BGT)"/>
      <sheetName val="A.1.3.B RESULTS BY BUS.(F'CAST)"/>
      <sheetName val="KALE RESULTS BY BUS.(F'CAST)"/>
      <sheetName val="1.4. COMPAR. SALES ANALYSIS"/>
      <sheetName val="1.5. GROSS MARGIN VARIATION AN."/>
      <sheetName val="2.1. SALES &amp; PRODUCT. UTS"/>
      <sheetName val="3.1.B PERSONNEL - ORG. CHART"/>
      <sheetName val="3.2.A PRODUCTION COSTS RANIPET"/>
      <sheetName val="3.2.B PRODUCTION COSTS ALWAR"/>
      <sheetName val="3.2.C PRODUCTION COSTS DEWAS"/>
      <sheetName val="3.2.D PRODUCTION COSTS PERUND"/>
      <sheetName val="3.2.B. PURCHASED COSTS"/>
      <sheetName val="3.4.A GRAL PROD COSTS RANIPET "/>
      <sheetName val="3.4.B GRAL PROD COSTS ALWAR"/>
      <sheetName val="3.4.C GRAL PROD COSTS DEWAS"/>
      <sheetName val="3.4.D GRAL PROD COSTS PERUND"/>
      <sheetName val="3.5.A MARKETING &amp; SALES"/>
      <sheetName val="3.5.B PROMOTION &amp; ADVERTISING"/>
      <sheetName val="3.6. GNRL &amp; ADMIN."/>
      <sheetName val="3.8 A.R. VALUE ADJUSTMENT"/>
      <sheetName val="3.9 NON OPERAT. INCOME &amp; EXPS"/>
      <sheetName val="3.10 TAXES"/>
      <sheetName val="4. CASHFLOW"/>
      <sheetName val="4.1 CASHFL. STATEM &amp; FIN. SIT."/>
      <sheetName val="4.2.INVESTMENT BUDGET"/>
      <sheetName val="4.3. INVESTMENT F'CAST"/>
      <sheetName val="4.4. WORKING CAPITAL DETAIL"/>
      <sheetName val="4.5.A WORKING CAPITAL RATIOS"/>
      <sheetName val="4.5.2 WORKING CAPITAL BGT"/>
      <sheetName val="4.6 ASSETS"/>
      <sheetName val="4.7.EQUITY &amp; LIABILITIES"/>
      <sheetName val="GM COMMENTS"/>
      <sheetName val="322540-StaffWelfare"/>
      <sheetName val="ARD _ BS"/>
      <sheetName val="RPT 71-VOLUME DATA-PCI "/>
      <sheetName val="BSH"/>
      <sheetName val="sch 1,2,3"/>
      <sheetName val="Interest on i-Tax"/>
      <sheetName val="Delloite"/>
      <sheetName val="BS P&amp;L"/>
      <sheetName val="Schedule 4"/>
      <sheetName val="Schedule5"/>
      <sheetName val="STATEMENT OF INCOME"/>
      <sheetName val="DEPIT31032001"/>
      <sheetName val="80HHC DEDUCTION"/>
      <sheetName val="WORKING FOR EXPORT TRADING"/>
      <sheetName val="DONATION"/>
      <sheetName val="INT.BANK"/>
      <sheetName val="PREV YR EXP ACTD IN AY 01-02"/>
      <sheetName val="DIVIDEND RECEIVED"/>
      <sheetName val="INT ON TAX FREE BONDS"/>
      <sheetName val="INT. ON INST. BONDS"/>
      <sheetName val="DR BAL WOFF"/>
      <sheetName val="TDS CLAIM"/>
      <sheetName val="CAP.GAINS"/>
      <sheetName val="CAP.GAINS (2)"/>
      <sheetName val="Pioneer Conversions"/>
      <sheetName val="Aditya Packaging"/>
      <sheetName val="Dee Aar Packaging"/>
      <sheetName val="Baweja Traders"/>
      <sheetName val="Amar Udyog"/>
      <sheetName val="Brisk"/>
      <sheetName val="Summary_HYP"/>
      <sheetName val="Plant Stock"/>
      <sheetName val="Depot Stock"/>
      <sheetName val="GIT Stock"/>
      <sheetName val="Transporter Stock"/>
      <sheetName val="STU Stock"/>
      <sheetName val="J Stock"/>
      <sheetName val="Blank store Stock"/>
      <sheetName val="Machine ShopStock"/>
      <sheetName val="Return Material Stock"/>
      <sheetName val="G.Insert Stock"/>
      <sheetName val="G.I Sleevs"/>
      <sheetName val="MRP"/>
      <sheetName val="BOM"/>
      <sheetName val="Standard Cost Zcostsplit"/>
      <sheetName val="Ring Sale Prices"/>
      <sheetName val="engline"/>
      <sheetName val="Consolidated "/>
      <sheetName val="B_SHEET consol"/>
      <sheetName val="P&amp;L consol"/>
      <sheetName val="Cash Flow-Consol"/>
      <sheetName val="SCH 1 -20 consol"/>
      <sheetName val="Fixed assets consol"/>
      <sheetName val="B_SHEET"/>
      <sheetName val="Cash Flow-Stand alone"/>
      <sheetName val="SCH 1 -20"/>
      <sheetName val="Fixed Assets (3)"/>
      <sheetName val="Consol B &amp; Sheet"/>
      <sheetName val="Consol P &amp; L"/>
      <sheetName val="Consol Sch1-20"/>
      <sheetName val="SCH 6,7"/>
      <sheetName val="Grouping_120506"/>
      <sheetName val="Sch 15 Provisions"/>
      <sheetName val="Summary_Dec.09"/>
      <sheetName val="SUMMARY Inv"/>
      <sheetName val="EL Leave Enca_Mgr &amp; Exec"/>
      <sheetName val="PPV Nov09"/>
      <sheetName val="Rs 6000"/>
      <sheetName val="Domestic Enq."/>
      <sheetName val="EHS"/>
      <sheetName val="NSF"/>
      <sheetName val="Royalty Calculation (2)"/>
      <sheetName val="Retainer Ship"/>
      <sheetName val="ESI Cases"/>
      <sheetName val="Land Tax"/>
      <sheetName val="Rates &amp; Tax Labour"/>
      <sheetName val="Legal &amp; Local Freight"/>
      <sheetName val="LTA PROV Aug.09_FMGIL"/>
      <sheetName val="Leave En Contr"/>
      <sheetName val="Bonus Contr"/>
      <sheetName val="MBO 2009 True Up"/>
      <sheetName val="MBO Dec08"/>
      <sheetName val="S.Tax Non Eligible Input"/>
      <sheetName val="Exgratia"/>
      <sheetName val="JM MEDICAL REIMB09-10"/>
      <sheetName val="Medical "/>
      <sheetName val="Med Reim Prov"/>
      <sheetName val="Petrol Reim. Exp."/>
      <sheetName val="Bonus_Emp. Prov."/>
      <sheetName val="Professional Fees"/>
      <sheetName val="GIL WORKMEN &amp; STAFF Sep'09"/>
      <sheetName val="old GIL WORKMEN &amp; STAFF Aug.09"/>
      <sheetName val="old Aug.09 Pending Serv. Bills"/>
      <sheetName val="Sr Bils_Oct.09"/>
      <sheetName val="Aug.09 Pending Serv. Bills"/>
      <sheetName val="Incentive Sep.09"/>
      <sheetName val="Hotel Air Ticket Drivers"/>
      <sheetName val="Freight Prov"/>
      <sheetName val="현대 해외진출업체"/>
      <sheetName val="해외 진출업체 업무FLOW "/>
      <sheetName val="TA JV"/>
      <sheetName val="major"/>
      <sheetName val="S5"/>
      <sheetName val="S7"/>
      <sheetName val="S8"/>
      <sheetName val="S9"/>
      <sheetName val="S10"/>
      <sheetName val="S11"/>
      <sheetName val="S12"/>
      <sheetName val="S13"/>
      <sheetName val="S14"/>
      <sheetName val="INVENT"/>
      <sheetName val="depot stk"/>
      <sheetName val="Charts "/>
      <sheetName val="Summary (US)"/>
      <sheetName val="Summary (Foreign) (2)"/>
      <sheetName val="Summary (Foreign)"/>
      <sheetName val="Pivot Summ"/>
      <sheetName val="Pivot Check"/>
      <sheetName val="CrossRef"/>
      <sheetName val="IMF"/>
      <sheetName val="Trends"/>
      <sheetName val="%Good"/>
      <sheetName val="GTP ASSETS"/>
      <sheetName val="Comp Depr"/>
      <sheetName val="Piston Status"/>
      <sheetName val="ZMIS2"/>
      <sheetName val="Piston"/>
      <sheetName val="Pin"/>
      <sheetName val="circlips"/>
      <sheetName val="Rings"/>
      <sheetName val="Shims"/>
      <sheetName val="SLPins"/>
      <sheetName val="Blanks"/>
      <sheetName val="S023"/>
      <sheetName val="S015"/>
      <sheetName val="SM02"/>
      <sheetName val="S005"/>
      <sheetName val="S029"/>
      <sheetName val="Rec.Pin"/>
      <sheetName val="Rec.Piston"/>
      <sheetName val="KIT J STOCK"/>
      <sheetName val="Kit MODVAT Stock"/>
      <sheetName val="Piston Modvat Stock"/>
      <sheetName val="Piston J-Stock"/>
      <sheetName val="Pin Modvat"/>
      <sheetName val="Pin J-Stock"/>
      <sheetName val="Circlips (2)"/>
      <sheetName val="USD"/>
      <sheetName val="INR"/>
      <sheetName val="INCOME -DET"/>
      <sheetName val="LEAD04 (2)"/>
      <sheetName val="LEAD04"/>
      <sheetName val="NAR-PIN"/>
      <sheetName val="NAR-PISTON"/>
      <sheetName val="SCRAP-PIN"/>
      <sheetName val="KEYPIN"/>
      <sheetName val="NSV-PPCR"/>
      <sheetName val="compenents"/>
      <sheetName val="CHIPS SUMM."/>
      <sheetName val="SCRAP-PISTON"/>
      <sheetName val="KEY-(PIS)2003"/>
      <sheetName val="목차"/>
      <sheetName val="formula sheet"/>
      <sheetName val="scrap rate calclation (fdy) (2)"/>
      <sheetName val="scrap rate calclation (fdy)"/>
      <sheetName val="scrap rate calclation(Mshop)_"/>
      <sheetName val="2004-05 TARGET"/>
      <sheetName val="NAR-PIN (3)"/>
      <sheetName val="NAR-Pistons (2)"/>
      <sheetName val="CHIPS MELTING .04"/>
      <sheetName val="BUD SCRAP PISTON FDY"/>
      <sheetName val="NSV-Roylty (2)"/>
      <sheetName val="Rc Tractor pip"/>
      <sheetName val="FINISH WT"/>
      <sheetName val="MSHOP-SCARP"/>
      <sheetName val="budget 2006-07"/>
      <sheetName val="wip-blank "/>
      <sheetName val="newstoresum (2)"/>
      <sheetName val="newstoresum-TEMP"/>
      <sheetName val="Weighted  Avg Cost-fm %"/>
      <sheetName val="liners PRICE (2)-13.07."/>
      <sheetName val="Apr 07"/>
      <sheetName val="May07"/>
      <sheetName val="dept-Power (2)"/>
      <sheetName val="dept-Power"/>
      <sheetName val="Power-jan  (3)"/>
      <sheetName val="26.02.2007"/>
      <sheetName val="2005-06 power "/>
      <sheetName val="Power-jan "/>
      <sheetName val="EB"/>
      <sheetName val="malden"/>
      <sheetName val="Strat Plan"/>
      <sheetName val="GRING"/>
      <sheetName val="RM"/>
      <sheetName val="ZBILL12 (1)"/>
      <sheetName val="GTP"/>
      <sheetName val="O.INCOME"/>
      <sheetName val="NAR-Pistons"/>
      <sheetName val="Compenent"/>
      <sheetName val="HO-RM FORMAT"/>
      <sheetName val="CAP (2)"/>
      <sheetName val="454-272 Cost Summ"/>
      <sheetName val="newstoresum"/>
      <sheetName val="ploss-03-04"/>
      <sheetName val="bonding ALLOY CAL"/>
      <sheetName val=" scrp-pip"/>
      <sheetName val="BUD2004-05"/>
      <sheetName val="repiars"/>
      <sheetName val="common"/>
      <sheetName val="PIP"/>
      <sheetName val="2006-07 power-RATE"/>
      <sheetName val="Roylty"/>
      <sheetName val="Power -Sarbjeet"/>
      <sheetName val="Packing c"/>
      <sheetName val="XXXXXXXX"/>
      <sheetName val="bsvertical"/>
      <sheetName val="sch1"/>
      <sheetName val="sch2"/>
      <sheetName val="sch3"/>
      <sheetName val="sch4"/>
      <sheetName val="sch5"/>
      <sheetName val="sch6-btd"/>
      <sheetName val="sch8,9,10,11"/>
      <sheetName val="sch12,13,14"/>
      <sheetName val="B Sheet"/>
      <sheetName val="PreOp"/>
      <sheetName val="DET0900"/>
      <sheetName val="414000 UPDATED INSURANCE"/>
      <sheetName val="16862"/>
      <sheetName val="DIRECTORS DETAILS"/>
      <sheetName val="UPDATED ON 23 07 01"/>
      <sheetName val="Detail Sheet"/>
      <sheetName val="laroux"/>
      <sheetName val="BAL S"/>
      <sheetName val="BAL SHEET 12 april 02"/>
      <sheetName val="TALLY "/>
      <sheetName val="429400"/>
      <sheetName val="SHEET"/>
      <sheetName val="429400 june"/>
      <sheetName val="PROF"/>
      <sheetName val="JUNE   "/>
      <sheetName val="425230 june"/>
      <sheetName val="Bal Sheet Aug 01 (15.9.01)  (2)"/>
      <sheetName val="GIST"/>
      <sheetName val="A.1"/>
      <sheetName val="A.2"/>
      <sheetName val="D 1"/>
      <sheetName val="D 3"/>
      <sheetName val="D 4"/>
      <sheetName val="D 5"/>
      <sheetName val="D 6"/>
      <sheetName val="Balance Sheet upto Sept., 2001"/>
      <sheetName val="D 7"/>
      <sheetName val="D 7.1"/>
      <sheetName val="D 2"/>
      <sheetName val="D 8"/>
      <sheetName val="425230 apr may 01"/>
      <sheetName val="D 9"/>
      <sheetName val="D 10"/>
      <sheetName val="D 10.1"/>
      <sheetName val="D 10.2"/>
      <sheetName val="D 10.3"/>
      <sheetName val="D 11"/>
      <sheetName val="D 12"/>
      <sheetName val="D 13"/>
      <sheetName val="E.3.1"/>
      <sheetName val="E.3.2"/>
      <sheetName val="E.3.3"/>
      <sheetName val="E.4"/>
      <sheetName val="E.5"/>
      <sheetName val="E.6"/>
      <sheetName val="E.7"/>
      <sheetName val="E.8"/>
      <sheetName val="F.1"/>
      <sheetName val="F.2"/>
      <sheetName val="425229 apr may 01"/>
      <sheetName val="415030(APR01)"/>
      <sheetName val="410010"/>
      <sheetName val="COVERPAGE"/>
      <sheetName val="HIGHLIGHTS"/>
      <sheetName val="mis - reports"/>
      <sheetName val="p&amp;l  "/>
      <sheetName val="PBIDT-GROUP"/>
      <sheetName val="CONTRACT"/>
      <sheetName val="Trend"/>
      <sheetName val="EMP-LOAN"/>
      <sheetName val="INCENTIVE-1"/>
      <sheetName val="INITIATIVE-SUMM"/>
      <sheetName val="CANTEEN-SUM"/>
      <sheetName val="HIRD_VEH"/>
      <sheetName val="PROFF"/>
      <sheetName val="HRD&amp;GS"/>
      <sheetName val="REBATE"/>
      <sheetName val="W.CAP"/>
      <sheetName val="STK OP.SUPPLIES"/>
      <sheetName val="STK.SPARES"/>
      <sheetName val="STK.SIP"/>
      <sheetName val="DISC.ROLL"/>
      <sheetName val="DR.BAL-HSM"/>
      <sheetName val="DR.BAL-SIP"/>
      <sheetName val="LEFT-EMP "/>
      <sheetName val="FREE ISSUE"/>
      <sheetName val="DRS COM"/>
      <sheetName val="SCHE-12-SIP"/>
      <sheetName val="SCH_12-HSM"/>
      <sheetName val="SCH13HSM"/>
      <sheetName val="SCH13SIP"/>
      <sheetName val="FUND REP"/>
      <sheetName val="IIL-IMIL"/>
      <sheetName val="Emp loan"/>
      <sheetName val="RECOVERY LIST"/>
      <sheetName val="INITIATIVES"/>
      <sheetName val="ElectInst"/>
      <sheetName val="Plan&amp;Mach"/>
      <sheetName val="Railway"/>
      <sheetName val="Buildings"/>
      <sheetName val="Dep-Tally"/>
      <sheetName val="Final-Asset-Depre-SKG"/>
      <sheetName val="AssetMaster-Final"/>
      <sheetName val="Sch-3-fixedAssets"/>
      <sheetName val="Final-Allocation-SKG"/>
      <sheetName val="fluct-2yrs"/>
      <sheetName val="Frgn-Exch-Diff"/>
      <sheetName val="CWIP-Tally"/>
      <sheetName val="cwip-proj"/>
      <sheetName val="CWIP-remain"/>
      <sheetName val="CWIP-detl-AUC"/>
      <sheetName val="details for cwip remain"/>
      <sheetName val="Final data for DEP."/>
      <sheetName val="Main data for Dep"/>
      <sheetName val="Final Allocation Summary"/>
      <sheetName val="SINTER+CHFES+COAL INJ."/>
      <sheetName val="Tally with SAP"/>
      <sheetName val="ORIGINAL Sint+CHFES+Coal Inj"/>
      <sheetName val="NMDC Porf"/>
      <sheetName val="report"/>
      <sheetName val="ByProduct Summary"/>
      <sheetName val="RM Summary"/>
      <sheetName val="FG Summary"/>
      <sheetName val="Allocation of MP"/>
      <sheetName val="Trail Run"/>
      <sheetName val="Pub"/>
      <sheetName val="PL-Print"/>
      <sheetName val="Fund Flow"/>
      <sheetName val="Sch - BS"/>
      <sheetName val="Sch - PL"/>
      <sheetName val="Sch 5"/>
      <sheetName val="Sch - 8"/>
      <sheetName val="Sch 6&amp;7"/>
      <sheetName val="Reclassification"/>
      <sheetName val="Tax Cal."/>
      <sheetName val="PL-CPP"/>
      <sheetName val="DTA"/>
      <sheetName val="PL Approach"/>
      <sheetName val="A03.2 SI Cash Flow"/>
      <sheetName val="JVs"/>
      <sheetName val="A03.2b"/>
      <sheetName val="A03.2c"/>
      <sheetName val="REI"/>
      <sheetName val="GP Analysis"/>
      <sheetName val="LS"/>
      <sheetName val="Obsv"/>
      <sheetName val="codes"/>
      <sheetName val="Analytical"/>
      <sheetName val="Avg Rate"/>
      <sheetName val="CN  Cut-off"/>
      <sheetName val="Cut off"/>
      <sheetName val="Sample-Monthwise"/>
      <sheetName val="Sample-Productwise"/>
      <sheetName val="Excess Calc"/>
      <sheetName val="XREF"/>
      <sheetName val="Tickmarks"/>
      <sheetName val="Threshold Calc"/>
      <sheetName val="18_4_10 pm"/>
      <sheetName val="ADJ_TB"/>
      <sheetName val="Map"/>
      <sheetName val="Pub-res"/>
      <sheetName val="AR-BS"/>
      <sheetName val="AR-P&amp;L"/>
      <sheetName val="related"/>
      <sheetName val="Segment"/>
      <sheetName val="SCH 1_2"/>
      <sheetName val="SCH _3"/>
      <sheetName val="SCH_4"/>
      <sheetName val="SCH 5 (N)"/>
      <sheetName val=" SCH 6_7 "/>
      <sheetName val=" SCH 8 9 10 11"/>
      <sheetName val="SCH121314"/>
      <sheetName val="SCH 1516"/>
      <sheetName val="SCH1718"/>
      <sheetName val="SCH19"/>
      <sheetName val="CFLOW"/>
      <sheetName val="wkg cflo"/>
      <sheetName val="BS Abstract"/>
      <sheetName val="8PSCH66A-NA"/>
      <sheetName val="TRDG PROFIT"/>
      <sheetName val="sub"/>
      <sheetName val="debt"/>
      <sheetName val="PointNo.5"/>
      <sheetName val="Entity List"/>
      <sheetName val="Agra"/>
      <sheetName val="Udaipur"/>
      <sheetName val="Projections"/>
      <sheetName val="Recon"/>
      <sheetName val="Sales to schenider"/>
      <sheetName val="Sales Regr 2011-12"/>
      <sheetName val="Control Chart"/>
      <sheetName val="U_Instructions CFIAT"/>
      <sheetName val="U-1_SGA BLock Reconciliation"/>
      <sheetName val="U-2_SGA Inventory Tally"/>
      <sheetName val="U-3_Depreciation Reasonability"/>
      <sheetName val="U-4_Investments &amp; FD"/>
      <sheetName val="U-5_Raw Materials Tally"/>
      <sheetName val="U-6_Yield Analysis-RMPM"/>
      <sheetName val="U-7_Finished Goods Tally"/>
      <sheetName val="U-8_Schedule VI-FG Tally &amp; RM"/>
      <sheetName val="U-9_NRV Testing-FG"/>
      <sheetName val="U-10_Container Reconciliation"/>
      <sheetName val="U-11_Finished Goods Excise Duty"/>
      <sheetName val="U-12_Accrued Expenses Turnover"/>
      <sheetName val="U-13_Excise Duty Reasonability"/>
      <sheetName val="U-14_Sales Tax Reconciliation"/>
      <sheetName val="Sales Tax Reco-Working"/>
      <sheetName val="U-15_Sales Tax Incentive"/>
      <sheetName val="U-16_OAR-Balance Sheet"/>
      <sheetName val="U-17_GP Reconciliation"/>
      <sheetName val="U-18_Qty &amp; Rate Variance_GP, NP"/>
      <sheetName val="U-19_NP Reconciliation"/>
      <sheetName val="U-20_Payroll Expense"/>
      <sheetName val="U-21_Power &amp; Fuel Expense"/>
      <sheetName val="U-22_OAR-P&amp;L Account"/>
      <sheetName val="U-23_Contingent Liabilities"/>
      <sheetName val="U-24_Ratios Chart"/>
      <sheetName val="U-25_Balance Sheet_2004"/>
      <sheetName val="U-26_P&amp;L Account_2004"/>
      <sheetName val="U-27_Schedules_2004"/>
      <sheetName val="U-28_Ross TB_2004"/>
      <sheetName val="U-29_FA Schedule_2004"/>
      <sheetName val="U-30_Additional Info_2004"/>
      <sheetName val="U-31_Miscellaneous Info_2004"/>
      <sheetName val="U-32_Inter Unit Sales-FG_2004"/>
      <sheetName val="U-33_Balance Sheet_2003"/>
      <sheetName val="U-34_P&amp;L Account_2003"/>
      <sheetName val="U-35_Schedules_2003"/>
      <sheetName val="U-36_Ross TB_2003"/>
      <sheetName val="U-37_FA Schedule_2003"/>
      <sheetName val="U-38_Additional Info_2003"/>
      <sheetName val="U-39_Miscellaneous Info_2003"/>
      <sheetName val="Input"/>
      <sheetName val="YS"/>
      <sheetName val="GW"/>
      <sheetName val="Head office"/>
      <sheetName val="Consolidated excl pz&amp;gw"/>
      <sheetName val="1.1 Cashflow analysis"/>
      <sheetName val="1.2 Secured loans"/>
      <sheetName val="1.3 Fixed Assets"/>
      <sheetName val="1.4 Debtors"/>
      <sheetName val="1.5 Loans and advances"/>
      <sheetName val="Shareholders fund"/>
      <sheetName val="Margin analysis"/>
      <sheetName val="Sales mfg"/>
      <sheetName val="Sales Trd"/>
      <sheetName val="3.3 Employee costs"/>
      <sheetName val="1.2 Inventory"/>
      <sheetName val="3.1 Sales mfg"/>
      <sheetName val="3.1 Sales Trd"/>
      <sheetName val="3.1 Other Income"/>
      <sheetName val="3.2 CoM"/>
      <sheetName val="3.4 Other operating expenses"/>
      <sheetName val="Payables"/>
      <sheetName val="Seg P&amp;L"/>
      <sheetName val="Seg BS"/>
      <sheetName val="XCWIP_segment"/>
      <sheetName val="Assets_segmantal"/>
      <sheetName val="PROFIT &amp; LOSS ACCOUNT"/>
      <sheetName val="COMM"/>
      <sheetName val="R&amp;d"/>
      <sheetName val="Cash Flow Workings"/>
      <sheetName val="GR SERVICES"/>
      <sheetName val="GR CAP"/>
      <sheetName val="GR MAT"/>
      <sheetName val="Prov. Others"/>
      <sheetName val="FORM-16"/>
      <sheetName val="MD Office"/>
      <sheetName val="Quality"/>
      <sheetName val="Proface"/>
      <sheetName val="EE"/>
      <sheetName val="MKt"/>
      <sheetName val="HR"/>
      <sheetName val="Finance"/>
      <sheetName val="Industry"/>
      <sheetName val="Logistics"/>
      <sheetName val="CCC"/>
      <sheetName val="BLD"/>
      <sheetName val="ISC"/>
      <sheetName val="BMS"/>
      <sheetName val="Distri"/>
      <sheetName val="PEC"/>
      <sheetName val="SISC"/>
      <sheetName val="SGBD"/>
      <sheetName val="E&amp;I"/>
      <sheetName val="IT &amp; Bridge"/>
      <sheetName val="Approval Matrix"/>
      <sheetName val="01 T"/>
      <sheetName val="03 "/>
      <sheetName val="WELCOME"/>
      <sheetName val="Q2 YTD OG Sales Analysis"/>
      <sheetName val="ER3"/>
      <sheetName val="ER11_Old"/>
      <sheetName val="ER10_Old"/>
      <sheetName val="Total Expenses"/>
      <sheetName val="Insructions"/>
      <sheetName val="Adj"/>
      <sheetName val="Coding"/>
      <sheetName val="D22TRIALCY"/>
      <sheetName val="D22TRIALPY"/>
      <sheetName val="TRIALPYE"/>
      <sheetName val="2"/>
      <sheetName val="Group Code"/>
      <sheetName val="4"/>
      <sheetName val="5"/>
      <sheetName val="6"/>
      <sheetName val="7"/>
      <sheetName val="8"/>
      <sheetName val="9"/>
      <sheetName val="12"/>
      <sheetName val="15"/>
      <sheetName val="16"/>
      <sheetName val="17"/>
      <sheetName val="18"/>
      <sheetName val="19"/>
      <sheetName val="22"/>
      <sheetName val="23"/>
      <sheetName val="24"/>
      <sheetName val="2627"/>
      <sheetName val="28"/>
      <sheetName val="29"/>
      <sheetName val="33"/>
      <sheetName val="contgn"/>
      <sheetName val="Note output"/>
      <sheetName val="Vs."/>
      <sheetName val="Others discl"/>
      <sheetName val="SCH D 0413"/>
      <sheetName val="SCH D 0412"/>
      <sheetName val="Given to Sanjeev"/>
      <sheetName val="CODE"/>
      <sheetName val="Revised"/>
      <sheetName val="100Provn"/>
      <sheetName val="109Provn"/>
      <sheetName val="114Provn"/>
      <sheetName val="116 Prov"/>
      <sheetName val="CRITERIA1"/>
      <sheetName val="Acc_10.5"/>
      <sheetName val="PF Payable"/>
      <sheetName val="PF Exp."/>
      <sheetName val="PF Admn. charges"/>
      <sheetName val=" CL 21(ii)(B)  (2)- Employe (2)"/>
      <sheetName val="1"/>
      <sheetName val="Interest on Loan from Director"/>
      <sheetName val="Unsecured  Loan"/>
      <sheetName val="5A Director_s Remuneration"/>
      <sheetName val="5B Director Exp_summ"/>
      <sheetName val="Mobile CMSG"/>
      <sheetName val="Mob LG"/>
      <sheetName val="mobile Product"/>
      <sheetName val="10 Unearned Revenue"/>
      <sheetName val="TDS LG"/>
      <sheetName val="TDS CMSG"/>
      <sheetName val="TDS Product"/>
      <sheetName val="(Foreign Travelling) (2)"/>
      <sheetName val="(Foreign Travelling)"/>
      <sheetName val="OD Account"/>
      <sheetName val="Prepaid "/>
      <sheetName val="Internet"/>
      <sheetName val="Landline"/>
      <sheetName val="Generator Expenses"/>
      <sheetName val="(Legal and Proff)"/>
      <sheetName val="(Travelling)"/>
      <sheetName val="Travelling CMSG LG"/>
      <sheetName val="Fixed Assets Addition"/>
      <sheetName val="FDRs"/>
      <sheetName val="SALE TAX"/>
      <sheetName val="hwf"/>
      <sheetName val="ESI"/>
      <sheetName val="Provident Fund"/>
      <sheetName val="pf-pii"/>
      <sheetName val="Sales Tax"/>
      <sheetName val="Comm Link (2)"/>
      <sheetName val=".training"/>
      <sheetName val="Training-"/>
      <sheetName val="training srb"/>
      <sheetName val="Office Repairs"/>
      <sheetName val="Comp Leased Acco. SORTED"/>
      <sheetName val="AMC"/>
      <sheetName val="Training "/>
      <sheetName val="Staff Welfare"/>
      <sheetName val="CAR_Maint"/>
      <sheetName val="Legal &amp; Professional"/>
      <sheetName val="Sec format 2"/>
      <sheetName val="Security "/>
      <sheetName val="security SRB"/>
      <sheetName val="Brokerage &amp; Comm"/>
      <sheetName val="Office Repairs1"/>
      <sheetName val="Other repairs"/>
      <sheetName val="Comm Link"/>
      <sheetName val="Comm Link Before prepaird break"/>
      <sheetName val="Business Promotion"/>
      <sheetName val="Staff Rec_Add"/>
      <sheetName val="Recruitment all Location."/>
      <sheetName val="Staff Recruitment ."/>
      <sheetName val="Membership &amp; Subscription "/>
      <sheetName val="Hardware Maintenance "/>
      <sheetName val="Corporate_Advt"/>
      <sheetName val="Conference &amp; Seminar"/>
      <sheetName val="Power Supply"/>
      <sheetName val="Telphone Repaire"/>
      <sheetName val="Software License"/>
      <sheetName val="Property Insurance"/>
      <sheetName val="Insurance others"/>
      <sheetName val="Caters"/>
      <sheetName val="Postage"/>
      <sheetName val="Client Entertain"/>
      <sheetName val="Entertaining Emp."/>
      <sheetName val="AC Repairs"/>
      <sheetName val="Furniture"/>
      <sheetName val="Vehicle Hire "/>
      <sheetName val="Rental Equipment"/>
      <sheetName val="Hosue Keeping Material"/>
      <sheetName val="Relocation"/>
      <sheetName val="rent"/>
      <sheetName val="GH Cost"/>
      <sheetName val="Landscaping"/>
      <sheetName val="IT Consumbales"/>
      <sheetName val="long Service Retirement"/>
      <sheetName val="Emp Reward"/>
      <sheetName val="Comp Leased Acco."/>
      <sheetName val="Notice pay paid"/>
      <sheetName val="Notice pay paid (Cr.)"/>
      <sheetName val="SCHOLARSHIP"/>
      <sheetName val="Office Mobile"/>
      <sheetName val="office tele."/>
      <sheetName val="Rent of Prop."/>
      <sheetName val="Service Chargs"/>
      <sheetName val="Car Insurance"/>
      <sheetName val="Eqipment Repair"/>
      <sheetName val="Imp Goods Clearing &amp; duty "/>
      <sheetName val="Travel Domestic"/>
      <sheetName val="Vehicle Hire1"/>
      <sheetName val="Staff Welfare (2)"/>
      <sheetName val="House Keeping"/>
      <sheetName val="House Keeping (2)"/>
      <sheetName val="Utility"/>
      <sheetName val="Annexuer-1"/>
      <sheetName val="AP-2.1"/>
      <sheetName val="AP -3"/>
      <sheetName val="AP-2.2"/>
      <sheetName val="Annexure 2"/>
      <sheetName val="Annexure2.1"/>
      <sheetName val="Annexure2.2"/>
      <sheetName val="Annexure3"/>
      <sheetName val="Annexure3.1"/>
      <sheetName val="annexure-3.2"/>
      <sheetName val="AP-06"/>
      <sheetName val="Annexure-4"/>
      <sheetName val="Annexure-5"/>
      <sheetName val="Annexure-6"/>
      <sheetName val="Annexure7"/>
      <sheetName val="Annexure-8"/>
      <sheetName val="AP-7.1"/>
      <sheetName val="AP-8A"/>
      <sheetName val="AP-8"/>
      <sheetName val="Annexure-"/>
      <sheetName val="Ack"/>
      <sheetName val="Ack (2)"/>
      <sheetName val="Page1"/>
      <sheetName val="Page2"/>
      <sheetName val="Page3"/>
      <sheetName val="Page4"/>
      <sheetName val="Page5"/>
      <sheetName val="Page6"/>
      <sheetName val="Page7"/>
      <sheetName val="Page8"/>
      <sheetName val="Page9"/>
      <sheetName val="Page10"/>
      <sheetName val="Direc"/>
      <sheetName val="Part A General"/>
      <sheetName val="Subsidiary Co Details"/>
      <sheetName val="MD, Dir, Co. secy"/>
      <sheetName val="Beneficial_owners"/>
      <sheetName val="Profit and Loss"/>
      <sheetName val="Other Info"/>
      <sheetName val="Stock details"/>
      <sheetName val="Part B"/>
      <sheetName val="Part C"/>
      <sheetName val="Sch 1 Bus"/>
      <sheetName val="Sch 2 CG"/>
      <sheetName val="Sch 3 Depr"/>
      <sheetName val="Sch 4 HP"/>
      <sheetName val="Sch 5 OS"/>
      <sheetName val="Sch 6 Setoff"/>
      <sheetName val="Sch 7 Bf Setoff"/>
      <sheetName val="Sch 8 Cf Losses"/>
      <sheetName val="Sch 9 Dedns"/>
      <sheetName val="Sch 10 VIA-Sch 11"/>
      <sheetName val="Sch 12-Sch 13"/>
      <sheetName val="Sch 14 88E-Sch 15 115B"/>
      <sheetName val="Sch 16 Div"/>
      <sheetName val="Sch 17 FB"/>
      <sheetName val="Sch 18 Bank"/>
      <sheetName val="Sch 19, 20 Taxes"/>
      <sheetName val="Sch 21 Div Tax"/>
      <sheetName val="Sch 22, 23 FBT"/>
      <sheetName val="Sch 24 TDS"/>
      <sheetName val="Sch 25 TCS"/>
      <sheetName val="Apr-03"/>
      <sheetName val="Apr-03 "/>
      <sheetName val="May-03"/>
      <sheetName val="June-03"/>
      <sheetName val="July-03"/>
      <sheetName val="Aug-03"/>
      <sheetName val="Sept-03"/>
      <sheetName val="Conversion"/>
      <sheetName val="INV verification"/>
      <sheetName val="Oct-04 To Sept-05"/>
      <sheetName val="For STN Pending"/>
      <sheetName val="For E Mail"/>
      <sheetName val="For Detention Chgs"/>
      <sheetName val="Ack 1"/>
      <sheetName val="Sec 349"/>
      <sheetName val="Managerial Remuneration 3 month"/>
      <sheetName val="INVOICE Sep-09  "/>
      <sheetName val="Local Benefit"/>
      <sheetName val="PF calcu"/>
      <sheetName val="rustin"/>
      <sheetName val="Directors"/>
      <sheetName val="recos"/>
      <sheetName val="cap gains"/>
      <sheetName val="CARRY-FORWARD"/>
      <sheetName val="general info"/>
      <sheetName val="ifhp"/>
      <sheetName val="pgbp"/>
      <sheetName val="ifos"/>
      <sheetName val="brought forward"/>
      <sheetName val="MAT INCOME"/>
      <sheetName val="ST.TAXES"/>
      <sheetName val="b&amp;p info"/>
      <sheetName val="exempt."/>
      <sheetName val="Ack1"/>
      <sheetName val="Ack2"/>
      <sheetName val="1997"/>
      <sheetName val="FCAST96"/>
      <sheetName val="party"/>
      <sheetName val="bank"/>
      <sheetName val="bnc"/>
      <sheetName val="Legal"/>
      <sheetName val="CURING DEATAILS "/>
      <sheetName val="CURING AMR CR. TO PARTY AC"/>
      <sheetName val="other credits"/>
      <sheetName val="bnc-OTHER"/>
      <sheetName val="Missing PDC"/>
      <sheetName val="DEUCH BANK -coll"/>
      <sheetName val="DB-BNC"/>
      <sheetName val="Missign PDC- details to WGE"/>
      <sheetName val="Details for WGE"/>
      <sheetName val="DAT DETAILS"/>
      <sheetName val="Other BNC"/>
      <sheetName val="DEUCH BANK "/>
      <sheetName val="FA reco"/>
      <sheetName val="FA REcon-Details"/>
      <sheetName val="DTA new method "/>
      <sheetName val="it-dep"/>
      <sheetName val="asst-deletion"/>
      <sheetName val="FA_SchV-31122003"/>
      <sheetName val="asst-deletion sep"/>
      <sheetName val="Leased Assets"/>
      <sheetName val="Owned-Add"/>
      <sheetName val="Owned-Retire."/>
      <sheetName val="New Lease-Dec-03"/>
      <sheetName val="Taken on Lease"/>
      <sheetName val="Dec-03 TB..ver1"/>
      <sheetName val="2003 Dec. Working"/>
      <sheetName val="23450new"/>
      <sheetName val="EAST"/>
      <sheetName val="SOUTH"/>
      <sheetName val="west"/>
      <sheetName val="north"/>
      <sheetName val="MAR-03-MM"/>
      <sheetName val="24037-mar03"/>
      <sheetName val="24037-apr03"/>
      <sheetName val="apr03"/>
      <sheetName val="mar03"/>
      <sheetName val="feb-03"/>
      <sheetName val="southgl-8thmar"/>
      <sheetName val="westgl-8thmar"/>
      <sheetName val="northgl-8th mar"/>
      <sheetName val="New Lease-mar04"/>
      <sheetName val="Unexpired income"/>
      <sheetName val="dma"/>
      <sheetName val="Provision details"/>
      <sheetName val="Deliquent income"/>
      <sheetName val="Trial-Sub"/>
      <sheetName val="Invesment-019500001&amp;019500004"/>
      <sheetName val="Deff Reve Exp-122001004.0201"/>
      <sheetName val="Dfault AP-122005001.0099"/>
      <sheetName val=" Adv 122008003-0201"/>
      <sheetName val="Off Loan-122008003-0202"/>
      <sheetName val="Chart of Future Loan Repayment"/>
      <sheetName val="SAL ADVANCE122008003-0203"/>
      <sheetName val="Emp Advances 122003001-0060"/>
      <sheetName val="122003001.0060"/>
      <sheetName val="122008003.0204 PREPID EXP UPDAT"/>
      <sheetName val="Secu Depo 122008003.0205"/>
      <sheetName val="Secu Depo 122008003-0205"/>
      <sheetName val="Rent Adv-122008003-0206"/>
      <sheetName val="Corpus Contri-122008003-0212"/>
      <sheetName val=" Adv For exp-122008003-0213 "/>
      <sheetName val="AS-19 Liability 306003005.0012"/>
      <sheetName val="Gratuity- 307099001-0011"/>
      <sheetName val="Accounts Payable"/>
      <sheetName val="Rev Prov-307099001.0015"/>
      <sheetName val="ACC.Payable-307099001.0010"/>
      <sheetName val="GECSI-307099001.0242"/>
      <sheetName val="GECIS 307099001-0243"/>
      <sheetName val="CW-307099001.0244"/>
      <sheetName val="GEBPMS 307099001.0247"/>
      <sheetName val="ACCRUED PAYROLL-320004001.0000"/>
      <sheetName val="PF-320005001.0001"/>
      <sheetName val="PF"/>
      <sheetName val=" PF"/>
      <sheetName val="SAF-320005001.0002"/>
      <sheetName val="SAF"/>
      <sheetName val="HLWF-320005001.0003"/>
      <sheetName val="307099001.0249"/>
      <sheetName val="307099001.0250"/>
      <sheetName val="P.Tax-309007001.0054"/>
      <sheetName val="P.Tax"/>
      <sheetName val="452530001"/>
      <sheetName val="999999004&amp;999999034"/>
      <sheetName val="999999018"/>
      <sheetName val="999999032"/>
      <sheetName val="999999033"/>
      <sheetName val="Invesment-019500001 &amp; 01950004"/>
      <sheetName val="317200004.0202-FMO"/>
      <sheetName val="OFA"/>
      <sheetName val="FX"/>
      <sheetName val="CDR"/>
      <sheetName val="STAT"/>
      <sheetName val="Write Offs"/>
      <sheetName val="Expense Summary"/>
      <sheetName val="PRM"/>
      <sheetName val="NI 02SI vs 01ACT"/>
      <sheetName val="NI 02SI vs 02OP"/>
      <sheetName val="NI LRF"/>
      <sheetName val="NI_NEA Walk"/>
      <sheetName val="Cost Walk ACT01 v SI05"/>
      <sheetName val="HCWalk ACT01 v SI05"/>
      <sheetName val="Acquisition"/>
      <sheetName val="ERROR"/>
      <sheetName val="Exp Variance"/>
      <sheetName val="Misc Exp"/>
      <sheetName val="Meeting"/>
      <sheetName val="Advtg, SP &amp; Comm"/>
      <sheetName val="Collection Charges"/>
      <sheetName val="BPOC"/>
      <sheetName val="Portfolio"/>
      <sheetName val="Volumes"/>
      <sheetName val="Notes-COI"/>
      <sheetName val="234C"/>
      <sheetName val="Revised Tax Dep Schedule"/>
      <sheetName val="Workings of Provisions"/>
      <sheetName val="STP P&amp;L"/>
      <sheetName val="FA Final Schedule"/>
      <sheetName val="FA register-copy"/>
      <sheetName val="Retirals"/>
      <sheetName val="Reco-updated"/>
      <sheetName val="Fixed asset register"/>
      <sheetName val="Add. vehicle"/>
      <sheetName val="Add-Pl. &amp; Mach"/>
      <sheetName val="Add-Off Eqp"/>
      <sheetName val="ADD-Comp"/>
      <sheetName val="ADD-Furn."/>
      <sheetName val="FNDWRR (2)"/>
      <sheetName val="changes"/>
      <sheetName val="RT-12(QTY)"/>
      <sheetName val="RT-12(FIRST)"/>
      <sheetName val="RT-12(SECOND)"/>
      <sheetName val="8 (Exportrs)"/>
      <sheetName val="9 &amp;10"/>
      <sheetName val="DSA-SEP"/>
      <sheetName val="list (2)"/>
      <sheetName val="IDTO"/>
      <sheetName val="pay"/>
      <sheetName val="VB_Payroll Lead"/>
      <sheetName val="VB1_Salaries, wages and bonus"/>
      <sheetName val="VB1.1_Monthwise Salary"/>
      <sheetName val="VB1.2_Employeewise Salary"/>
      <sheetName val="VB2_Cont. to PF"/>
      <sheetName val="VB2.1_PF"/>
      <sheetName val="VB2.2_ESI"/>
      <sheetName val="VB 3_Staff Welfare"/>
      <sheetName val="Original Profit"/>
      <sheetName val="TB Chennai Plant"/>
      <sheetName val="TB Bawal11"/>
      <sheetName val="TB Chennai Warehouse"/>
      <sheetName val="Inventory adjustment"/>
      <sheetName val="Combined TB (2)"/>
      <sheetName val="Exchange Rate"/>
      <sheetName val="Ad. Entries"/>
      <sheetName val="TBW09"/>
      <sheetName val="TB CP09"/>
      <sheetName val="Schedules1"/>
      <sheetName val="Schedule 4 F.Assets"/>
      <sheetName val="Pviot TB CP 09"/>
      <sheetName val="TBCW09"/>
      <sheetName val="Combined TB"/>
      <sheetName val="BS (2)"/>
      <sheetName val="1-2"/>
      <sheetName val="3-4"/>
      <sheetName val="5-8"/>
      <sheetName val="10-13"/>
      <sheetName val="14-17"/>
      <sheetName val="18-22"/>
      <sheetName val="23-24"/>
      <sheetName val="25-26"/>
      <sheetName val="26_"/>
      <sheetName val="27"/>
      <sheetName val="27-31"/>
      <sheetName val="33-38"/>
      <sheetName val="Detail of Current Assets-CL"/>
      <sheetName val="Old_Detail of Exp. &amp; Oth. Incom"/>
      <sheetName val="Royalty rectification"/>
      <sheetName val="PM TE SAD"/>
      <sheetName val="BS-S"/>
      <sheetName val="P&amp;L-S"/>
      <sheetName val="FA_DEC'07"/>
      <sheetName val="Conv"/>
      <sheetName val="ExactBS08"/>
      <sheetName val="ExactPL08"/>
      <sheetName val="ExactBS07"/>
      <sheetName val="ExactPL07"/>
      <sheetName val="ExactBS06"/>
      <sheetName val="ExactPL06"/>
      <sheetName val="Schedule-E06-07A"/>
      <sheetName val="Taxable Income2007"/>
      <sheetName val="Defferred Tax2007"/>
      <sheetName val="IT provn &amp; DTA"/>
      <sheetName val="Entries08"/>
      <sheetName val="RM &amp; Components"/>
      <sheetName val="RMMS"/>
      <sheetName val="S.I.T."/>
      <sheetName val="SIT_mARCH"/>
      <sheetName val="1401S"/>
      <sheetName val="1401"/>
      <sheetName val="1401M"/>
      <sheetName val="1402S"/>
      <sheetName val="1402"/>
      <sheetName val="1402M"/>
      <sheetName val="1403S"/>
      <sheetName val="1403"/>
      <sheetName val="1403M"/>
      <sheetName val="1404S"/>
      <sheetName val="1404"/>
      <sheetName val="1404M"/>
      <sheetName val="1405S"/>
      <sheetName val="1405"/>
      <sheetName val="1405M"/>
      <sheetName val="1406M"/>
      <sheetName val="1407S"/>
      <sheetName val="1407"/>
      <sheetName val="1407M"/>
      <sheetName val="1408S"/>
      <sheetName val="1408"/>
      <sheetName val="1408M"/>
      <sheetName val="1409S"/>
      <sheetName val="1409"/>
      <sheetName val="1409M"/>
      <sheetName val="1410S"/>
      <sheetName val="1410"/>
      <sheetName val="1410M"/>
      <sheetName val="1411M"/>
      <sheetName val="1412S"/>
      <sheetName val="1412"/>
      <sheetName val="1412M"/>
      <sheetName val="1413S"/>
      <sheetName val="1413"/>
      <sheetName val="1413M"/>
      <sheetName val="1414S"/>
      <sheetName val="1414r"/>
      <sheetName val="1414M"/>
      <sheetName val="1415S"/>
      <sheetName val="1415"/>
      <sheetName val="1415M"/>
      <sheetName val="1417S"/>
      <sheetName val="1417"/>
      <sheetName val="1417M"/>
      <sheetName val="1418S"/>
      <sheetName val="1418"/>
      <sheetName val="1418M"/>
      <sheetName val="1419S"/>
      <sheetName val="1419"/>
      <sheetName val="1419M"/>
      <sheetName val="1420S"/>
      <sheetName val="1420"/>
      <sheetName val="1420M"/>
      <sheetName val="1421S"/>
      <sheetName val="1421"/>
      <sheetName val="1421M"/>
      <sheetName val="1422S"/>
      <sheetName val="1422"/>
      <sheetName val="1422M"/>
      <sheetName val="1423S"/>
      <sheetName val="1423"/>
      <sheetName val="1423M"/>
      <sheetName val="1425S"/>
      <sheetName val="1425"/>
      <sheetName val="1425M"/>
      <sheetName val="1427S"/>
      <sheetName val="1427"/>
      <sheetName val="1427M"/>
      <sheetName val="1428S"/>
      <sheetName val="1428"/>
      <sheetName val="1428M"/>
      <sheetName val="1449S"/>
      <sheetName val="1449"/>
      <sheetName val="1449M"/>
      <sheetName val="1450S"/>
      <sheetName val="1450"/>
      <sheetName val="1450M"/>
      <sheetName val="1451S"/>
      <sheetName val="1451"/>
      <sheetName val="1451M"/>
      <sheetName val="1452S"/>
      <sheetName val="1452"/>
      <sheetName val="1452M"/>
      <sheetName val="1601S"/>
      <sheetName val="1601"/>
      <sheetName val="1601M"/>
      <sheetName val="1602S"/>
      <sheetName val="1602"/>
      <sheetName val="1602M"/>
      <sheetName val="1801S"/>
      <sheetName val="1801r"/>
      <sheetName val="1801M"/>
      <sheetName val="Drawing"/>
      <sheetName val="Specs"/>
      <sheetName val="Rate"/>
      <sheetName val="ABC-Det"/>
      <sheetName val="ABC-Sum"/>
      <sheetName val="Major Models"/>
      <sheetName val="Growth Initiatives "/>
      <sheetName val="Operational Targets 2005-06"/>
      <sheetName val="Targets not met fully"/>
      <sheetName val="Business Development Targets "/>
      <sheetName val="Localisation, Source Change"/>
      <sheetName val="Negotiations, Price Disocunts"/>
      <sheetName val="VAVE Six Sigma Kaizen"/>
      <sheetName val="Productvity Improvement"/>
      <sheetName val="Shopfloor wastage reduction"/>
      <sheetName val="Customer Rating"/>
      <sheetName val="PPM"/>
      <sheetName val="Vendor Management"/>
      <sheetName val="Market Size"/>
      <sheetName val="Action plan"/>
      <sheetName val="Capacity Utilisation"/>
      <sheetName val="Bajaj"/>
      <sheetName val="Bajaj OS"/>
      <sheetName val="Ford"/>
      <sheetName val="Yamaha"/>
      <sheetName val="volvo"/>
      <sheetName val="M&amp;M"/>
      <sheetName val="Hyundai"/>
      <sheetName val="honda motors"/>
      <sheetName val="honda siel"/>
      <sheetName val="TATA Engg"/>
      <sheetName val="TKML"/>
      <sheetName val="TKML-Supplier"/>
      <sheetName val="Fiat"/>
      <sheetName val="GM"/>
      <sheetName val="AL"/>
      <sheetName val="Bajaj1"/>
      <sheetName val="Process"/>
      <sheetName val="Identity"/>
      <sheetName val="SEC0-DropdownList"/>
      <sheetName val="DrowDownLists"/>
      <sheetName val="Sec1-Titles"/>
      <sheetName val="Sec2-Inputs"/>
      <sheetName val="Profit Variance"/>
      <sheetName val="Overheads-Input"/>
      <sheetName val="Sales Variance FTM"/>
      <sheetName val="Sales Variance FTM Per BU  "/>
      <sheetName val="Sales Variance FTM Per Taco"/>
      <sheetName val="Sales Variance YTD Per BU "/>
      <sheetName val="Sales Variance YTD Per Taco "/>
      <sheetName val="Customer wise sales"/>
      <sheetName val="Export countrywise Details"/>
      <sheetName val="Export Details-Input"/>
      <sheetName val="Major Models Input"/>
      <sheetName val="Working Capital"/>
      <sheetName val="Inventory Ageing"/>
      <sheetName val="Cash Flow - Input"/>
      <sheetName val="Headcount"/>
      <sheetName val="Statutory Compliance Report"/>
      <sheetName val="NFE Status"/>
      <sheetName val="Marketing"/>
      <sheetName val="Operations"/>
      <sheetName val="Conso Results"/>
      <sheetName val="Input Conso Results"/>
      <sheetName val="Parent BU"/>
      <sheetName val="BU Std List"/>
      <sheetName val="Sec3-Outputs"/>
      <sheetName val="BU-P&amp;L"/>
      <sheetName val="BU-Mthly-P&amp;L"/>
      <sheetName val="JV summary"/>
      <sheetName val="BU-Mthly-Var"/>
      <sheetName val="Inventory Graph"/>
      <sheetName val="P &amp; L Graphs"/>
      <sheetName val="Sum Fin Sts"/>
      <sheetName val="Reasonwise-Analysis"/>
      <sheetName val="Performance Highlights"/>
      <sheetName val="TACO Group Summary"/>
      <sheetName val="TACO Legal Entity"/>
      <sheetName val="TACO Var"/>
      <sheetName val="Gross Sales"/>
      <sheetName val="Net Sales"/>
      <sheetName val="Exports"/>
      <sheetName val="Value addition"/>
      <sheetName val="Gross Margin"/>
      <sheetName val="EBITDA"/>
      <sheetName val="PBT"/>
      <sheetName val="PAT"/>
      <sheetName val="Cash Profit"/>
      <sheetName val="ASA"/>
      <sheetName val="Profit Reco Summary"/>
      <sheetName val="Profit Reco Details"/>
      <sheetName val="Sales var Summary"/>
      <sheetName val="Sales Variance Details"/>
      <sheetName val="Operations Graph"/>
      <sheetName val="Export countrywise-Output"/>
      <sheetName val="TACO+TAPS Conso BS"/>
      <sheetName val="Profit Reco - Output"/>
      <sheetName val="Cash Flow-Output"/>
      <sheetName val="MIS Summary"/>
      <sheetName val="Gross Sales &amp; PAT"/>
      <sheetName val="Conco Results"/>
      <sheetName val="Major Models -Output Sheet"/>
      <sheetName val="Export Details-Output"/>
      <sheetName val="Overheads-Output"/>
      <sheetName val="Sec4-Discuss"/>
      <sheetName val="Sec5-NotRequired"/>
      <sheetName val="NotReqd-TACO Brk up"/>
      <sheetName val="NotReqd-Sales BH"/>
      <sheetName val="NotReqd-Profit Reconciliation"/>
      <sheetName val="NotReqd-Profit Analysis"/>
      <sheetName val="NotReqd-Cost Reduction"/>
      <sheetName val="NotReqd-TBEM, Shinohara"/>
      <sheetName val="NotReqd-Growth Plans"/>
      <sheetName val="NotReqd-Add for Engineering"/>
      <sheetName val="NotReqd-Additional for Retail"/>
      <sheetName val="NotReqd-Additional for SCM"/>
      <sheetName val="NotReqd-WD Report"/>
      <sheetName val="p-4 (2)"/>
      <sheetName val="P-15"/>
      <sheetName val="p-4"/>
      <sheetName val="in house frameBOXER"/>
      <sheetName val="FORWARD BOXER"/>
      <sheetName val="Rear Boxer"/>
      <sheetName val="IN HOUSE FRAME CT-100"/>
      <sheetName val="FORWARD CT100"/>
      <sheetName val="Rear CT"/>
      <sheetName val="Operation_Bhosari With Igarshi "/>
      <sheetName val="LIL SALES Plan"/>
      <sheetName val="Profitability HO"/>
      <sheetName val="Profitability Corp"/>
      <sheetName val="SED Feedback"/>
      <sheetName val="Operation_Bhosari"/>
      <sheetName val="SALES PLAN"/>
      <sheetName val="RMC PLAN"/>
      <sheetName val="MSEB_Cost"/>
      <sheetName val="PM BOM"/>
      <sheetName val="Packing Mtrl"/>
      <sheetName val="2436"/>
      <sheetName val="Repair"/>
      <sheetName val="Manpower Summary"/>
      <sheetName val="W-230 Worker"/>
      <sheetName val="W-230 Staff"/>
      <sheetName val="Consumable"/>
      <sheetName val="CONS PLAN"/>
      <sheetName val="New Consul"/>
      <sheetName val="Other MFG Expan"/>
      <sheetName val="Packing &amp; Forwarding"/>
      <sheetName val="Corporate Fund"/>
      <sheetName val="SECRETARIAL"/>
      <sheetName val="Contractor"/>
      <sheetName val="CONS BOM"/>
      <sheetName val="MISC EXP."/>
      <sheetName val="Secritrial"/>
      <sheetName val="FINANCE COST"/>
      <sheetName val="2495"/>
      <sheetName val="2642"/>
      <sheetName val="SALES MATRIX Bhosari 08-09"/>
      <sheetName val="RMC PLAN WITH IGARSHI MOTOR"/>
      <sheetName val="new manpower (2)"/>
      <sheetName val="Power_cycletime"/>
      <sheetName val="Trans_Plan BOM"/>
      <sheetName val="2456"/>
      <sheetName val="2461"/>
      <sheetName val="2452"/>
      <sheetName val="2415"/>
      <sheetName val="2410"/>
      <sheetName val="2404"/>
      <sheetName val="2398"/>
      <sheetName val="2510"/>
      <sheetName val="2386"/>
      <sheetName val="2369"/>
      <sheetName val="2367"/>
      <sheetName val="2364"/>
      <sheetName val="2359"/>
      <sheetName val="2355"/>
      <sheetName val="2501"/>
      <sheetName val="2330"/>
      <sheetName val="2433"/>
      <sheetName val="2417"/>
      <sheetName val="2544"/>
      <sheetName val="2511"/>
      <sheetName val="5439"/>
      <sheetName val="5392"/>
      <sheetName val="2453"/>
      <sheetName val="2371"/>
      <sheetName val="2525"/>
      <sheetName val="2486"/>
      <sheetName val="2389"/>
      <sheetName val="5441"/>
      <sheetName val="2360"/>
      <sheetName val="5516"/>
      <sheetName val="2512"/>
      <sheetName val="2399"/>
      <sheetName val="GMA "/>
      <sheetName val="DEP CHART"/>
      <sheetName val="LAND"/>
      <sheetName val="BUILDING"/>
      <sheetName val="ASTTTA"/>
      <sheetName val="GENRT"/>
      <sheetName val="R&amp;D MC"/>
      <sheetName val="RDSFT"/>
      <sheetName val="DIE"/>
      <sheetName val="PMA"/>
      <sheetName val="EFFILU"/>
      <sheetName val="EDPSOFT"/>
      <sheetName val="EDP"/>
      <sheetName val="DTANK"/>
      <sheetName val="MC BELOW"/>
      <sheetName val="AST-TTB"/>
      <sheetName val="FURNI"/>
      <sheetName val="OEQAB"/>
      <sheetName val="FELECABO"/>
      <sheetName val="INTRCOM "/>
      <sheetName val="OFEEQB"/>
      <sheetName val="ELEB"/>
      <sheetName val="CAR"/>
      <sheetName val="PMLES"/>
      <sheetName val="NPSASS"/>
      <sheetName val="TRF."/>
      <sheetName val="CHK2"/>
      <sheetName val="pmare"/>
      <sheetName val="KVV"/>
      <sheetName val="formula"/>
      <sheetName val="FIN.RESULTS"/>
      <sheetName val="UNIT-WISE"/>
      <sheetName val="P-1 "/>
      <sheetName val="P-2  "/>
      <sheetName val="p-3 "/>
      <sheetName val="P-5"/>
      <sheetName val="P-6"/>
      <sheetName val="HONDA"/>
      <sheetName val="P-7-8 "/>
      <sheetName val="P-9 "/>
      <sheetName val="P-10-12 "/>
      <sheetName val="P-13"/>
      <sheetName val="Ratio (2)"/>
      <sheetName val="P-13-14 "/>
      <sheetName val="2003-04"/>
      <sheetName val="P-16"/>
      <sheetName val="VARIANCE FOR MONTH 0608 (2)"/>
      <sheetName val="works"/>
      <sheetName val="OUT_PUT"/>
      <sheetName val="作成要領"/>
      <sheetName val="MENU"/>
      <sheetName val="OUT_PUT_SHEET"/>
      <sheetName val="COMMENT&amp;GRAPHS"/>
      <sheetName val="上下検証(出力用)"/>
      <sheetName val="上下ｺﾒﾝﾄ"/>
      <sheetName val="2007_ACT・EST"/>
      <sheetName val="2007PLAN"/>
      <sheetName val="2007見通し"/>
      <sheetName val="2006ACT"/>
      <sheetName val="ZSUPPLY"/>
      <sheetName val="KE30"/>
      <sheetName val="Change due to Noida"/>
      <sheetName val="Profit Reco"/>
      <sheetName val="Results March_final"/>
      <sheetName val="Results Dec_final"/>
      <sheetName val="Results JUNE 06_final"/>
      <sheetName val="UPTO June 2006"/>
      <sheetName val="UPTO June 2005"/>
      <sheetName val="UPTO MArch 2006"/>
      <sheetName val="Cash flow grouping"/>
      <sheetName val="FSne120506"/>
      <sheetName val="BCO125RG"/>
      <sheetName val="NCONS04AL"/>
      <sheetName val="NCONS04A"/>
      <sheetName val="FSne"/>
      <sheetName val="DC0906"/>
      <sheetName val="DCALL"/>
      <sheetName val="FA07"/>
      <sheetName val="Working for Notes"/>
      <sheetName val="BS0506RG "/>
      <sheetName val="BCO047RG"/>
      <sheetName val="GS0407RG"/>
      <sheetName val="BCO027RG"/>
      <sheetName val="DC0307"/>
      <sheetName val="GS0207RG"/>
      <sheetName val="BCO126RG"/>
      <sheetName val="DC1206"/>
      <sheetName val="GS1206RG"/>
      <sheetName val="BCO096RG"/>
      <sheetName val="GS0906RG"/>
      <sheetName val="BCO066RG"/>
      <sheetName val="GS0606RG"/>
      <sheetName val="BCO036RG"/>
      <sheetName val="GS0306RG"/>
      <sheetName val="FA06"/>
      <sheetName val="BCO027RG (BEFORE IU EXP TRFD)"/>
      <sheetName val="NCONS04A (AUDITOR) (2)"/>
      <sheetName val="bco035RG"/>
      <sheetName val="GS0305RG "/>
      <sheetName val="BCO036RG-TEMP"/>
      <sheetName val="FC MIS"/>
      <sheetName val="PE MIS FORMAT FOR YEAR 2005-06"/>
      <sheetName val="PUR.New MIS Report"/>
      <sheetName val="Annexure-I"/>
      <sheetName val="Param"/>
      <sheetName val="Results Sept'06_final"/>
      <sheetName val="Results Sept'07_final"/>
      <sheetName val="Results Dec'07_final"/>
      <sheetName val="Cash flow grouping (2)"/>
      <sheetName val="Cash Flow (2)"/>
      <sheetName val="Results March2008_final (2)"/>
      <sheetName val="Results March2008_final"/>
      <sheetName val="DIFF"/>
      <sheetName val="MIS0308L-MTH"/>
      <sheetName val="MIS0308L"/>
      <sheetName val="MIS0308"/>
      <sheetName val="BCO127RG (2)"/>
      <sheetName val="BCO018RG (2)"/>
      <sheetName val="BCO038RG (2)"/>
      <sheetName val="BCO038RG"/>
      <sheetName val="GS0308RG"/>
      <sheetName val="FA08"/>
      <sheetName val="BCO127RG"/>
      <sheetName val="GS1207RG"/>
      <sheetName val="BCO097RG"/>
      <sheetName val="GS0907RG"/>
      <sheetName val="BCO067RG"/>
      <sheetName val="GS0607RG"/>
      <sheetName val="Results (2)"/>
      <sheetName val="FR0908"/>
      <sheetName val="Results Sept'08_final"/>
      <sheetName val="Results June'08_final"/>
      <sheetName val="MIS0309L-MTH"/>
      <sheetName val="MIS0309L"/>
      <sheetName val="MIS0309"/>
      <sheetName val="BCO039RG"/>
      <sheetName val="GS0309RG"/>
      <sheetName val="GS0309RG-G"/>
      <sheetName val="GS0309RG (2)"/>
      <sheetName val="GS0309RG-DIFF"/>
      <sheetName val="GS0309RG (3)"/>
      <sheetName val="GS0309RGSH"/>
      <sheetName val="GS0309RGSH-DIFF"/>
      <sheetName val="SCHEDULE6"/>
      <sheetName val="1000"/>
      <sheetName val="2000"/>
      <sheetName val="3000"/>
      <sheetName val="Intermix"/>
      <sheetName val="Blender"/>
      <sheetName val="TST"/>
      <sheetName val="CV"/>
      <sheetName val="AA2"/>
      <sheetName val="newexpected"/>
      <sheetName val="Summary-mixing"/>
      <sheetName val="SUMMARYline"/>
      <sheetName val="COMPOUNDING"/>
      <sheetName val="prod3(val)"/>
      <sheetName val="Renault"/>
      <sheetName val="CVtrend"/>
      <sheetName val="OCT06"/>
      <sheetName val="SALE7C"/>
      <sheetName val="Coversheet"/>
      <sheetName val="Sales Customer (CCI)"/>
      <sheetName val="Gap Analysis (CCI)"/>
      <sheetName val="P&amp;L Sub"/>
      <sheetName val="DCF(CCI)"/>
      <sheetName val="WACC (CCI)"/>
      <sheetName val="BETA(CCI)"/>
      <sheetName val="CFS (CCI)"/>
      <sheetName val="IL&amp;FS"/>
      <sheetName val="P&amp;L (CCI)"/>
      <sheetName val="BS (CCI)"/>
      <sheetName val="Revised Logistics (2)"/>
      <sheetName val="Revised Logistics"/>
      <sheetName val="Logistics (CCI)"/>
      <sheetName val="Assumption (CCI)"/>
      <sheetName val="FF Business (CCI)"/>
      <sheetName val="Deprn FF (CCI)"/>
      <sheetName val="Loan Schedule (CCI)"/>
      <sheetName val="Deprn Logistics (CCI)"/>
      <sheetName val="Future Income (2)"/>
      <sheetName val="UILP Sales FY11"/>
      <sheetName val="UILP Expense FY11"/>
      <sheetName val="Warehouse (CCI)"/>
      <sheetName val="Oper Exps"/>
      <sheetName val="GP from Audited Nos"/>
      <sheetName val="Oper Income"/>
      <sheetName val="Fin Yr 10-11"/>
      <sheetName val="Final GP &amp; Projections (CCI)"/>
      <sheetName val="Fin Yr 09 - 10"/>
      <sheetName val="OT FY10"/>
      <sheetName val="OT R FY10"/>
      <sheetName val="OT FY11"/>
      <sheetName val="OT R FY11"/>
      <sheetName val="Employee Cost"/>
      <sheetName val="S&amp;A Expenses"/>
      <sheetName val="Interest &amp; Finance Charges"/>
      <sheetName val="Taxes (CCI)"/>
      <sheetName val="Investments (CCI)"/>
      <sheetName val="Loans &amp; Advances (CCI)"/>
      <sheetName val="Current Liabilities (CCI)"/>
      <sheetName val="Provision (CCI)"/>
      <sheetName val="Reserve &amp; Surplus (CCI)"/>
      <sheetName val="Secured Loan (CCI)"/>
      <sheetName val="Unsecured Loan (CCI)"/>
      <sheetName val="Proj Freight"/>
      <sheetName val="Depreciation (CCI)"/>
      <sheetName val="YEAR"/>
      <sheetName val="SAPBEXqueries"/>
      <sheetName val="SAPBEXfilters"/>
      <sheetName val="BS PL"/>
      <sheetName val="dEPR"/>
      <sheetName val="Vendor Branches"/>
      <sheetName val="stock valuation"/>
      <sheetName val="Current ac"/>
      <sheetName val="operation BC"/>
      <sheetName val="Advance"/>
      <sheetName val="TB Dec-09-10"/>
      <sheetName val="ADVANCES CASH IN KIND (3)"/>
      <sheetName val="ADVANCES CASH IN KIND (2)"/>
      <sheetName val="ADVANCES CASH IN KIND"/>
      <sheetName val="memo WROK summary  (2)"/>
      <sheetName val="81"/>
      <sheetName val="Correction Require "/>
      <sheetName val="Debtor summary"/>
      <sheetName val="BS Detail Sheet"/>
      <sheetName val="INT SEC 18 "/>
      <sheetName val="BS PL "/>
      <sheetName val="memo  summary OTHER THAN IOT"/>
      <sheetName val="CWIP SECHUDELE"/>
      <sheetName val="cAPITAL adv &amp; cRS"/>
      <sheetName val="SUMMARY MEMO IOT"/>
      <sheetName val="PL Detail Sheet JSLO"/>
      <sheetName val="47"/>
      <sheetName val="Debit  1 loans"/>
      <sheetName val="DEP Sec 5 BS "/>
      <sheetName val="PL FOR HO "/>
      <sheetName val="PL Interest Paid"/>
      <sheetName val="PL SAP TB "/>
      <sheetName val="BS SAP TB "/>
      <sheetName val="P-Admin"/>
      <sheetName val="Final MEMO"/>
      <sheetName val="PL.Schedules"/>
      <sheetName val="Power Plant"/>
      <sheetName val="Exch Fluct"/>
      <sheetName val="other expens"/>
      <sheetName val="P-Sales"/>
      <sheetName val="Selling Exp "/>
      <sheetName val="Project power"/>
      <sheetName val="Raw mat cons"/>
      <sheetName val="buyers credit"/>
      <sheetName val="FREIGHT INWARD INDIGENOUS"/>
      <sheetName val="P List 870"/>
      <sheetName val="Final BS PL March 11 "/>
      <sheetName val="dEPR 10-11"/>
      <sheetName val="Fin BS Detail Sheet MARCH 11"/>
      <sheetName val="Capital  Vendor  Final"/>
      <sheetName val="Acceptance"/>
      <sheetName val="Exch Flucat"/>
      <sheetName val="IUT"/>
      <sheetName val="Trail  Pr 11.05.11 "/>
      <sheetName val="Capital Advance "/>
      <sheetName val="Stock 31.03.11"/>
      <sheetName val="Opeartion BC"/>
      <sheetName val="Trail 11.05.11"/>
      <sheetName val="Final BS PL Dec  qUATERWISD"/>
      <sheetName val="Reconciliation 4th Quarter"/>
      <sheetName val="Nov FITL Intt"/>
      <sheetName val="ECB Interest"/>
      <sheetName val="FCCB Interest Calculation "/>
      <sheetName val="P&amp;L up to Nov 10"/>
      <sheetName val="DEP "/>
      <sheetName val="Ph I Int Term Loan &amp; ECB"/>
      <sheetName val="DPS Power"/>
      <sheetName val="Selling Exp"/>
      <sheetName val="Sales Reco with TB"/>
      <sheetName val="other manufct exp"/>
      <sheetName val="Transport"/>
      <sheetName val="wroking capital "/>
      <sheetName val="Exch Fluct "/>
      <sheetName val="Jan 08.Trial"/>
      <sheetName val="TB 30.11.10"/>
      <sheetName val="Consum Chrome Friable"/>
      <sheetName val="Memo Entry"/>
      <sheetName val="wrok rough "/>
      <sheetName val="Nov Consu"/>
      <sheetName val="Raw mat cons Nov"/>
      <sheetName val="Dep. &amp; Intt."/>
      <sheetName val="Prov Dec-09"/>
      <sheetName val="Tally"/>
      <sheetName val="Trial. Dec 07"/>
      <sheetName val="Ope_Trial"/>
      <sheetName val="FG Val"/>
      <sheetName val="SFG val"/>
      <sheetName val="Rm-TISCo"/>
      <sheetName val="material detail Indonesia"/>
      <sheetName val="PIVOT-MATERIAL INDIA"/>
      <sheetName val="Material Detail- india"/>
      <sheetName val="Material Summary"/>
      <sheetName val="Money Summary"/>
      <sheetName val="QUALITY COM"/>
      <sheetName val="Monthly P&amp;L"/>
      <sheetName val="July 03"/>
      <sheetName val="Aug 03"/>
      <sheetName val="Sep 03"/>
      <sheetName val="Oct 03"/>
      <sheetName val="Nov 03"/>
      <sheetName val="CDR Ratios "/>
      <sheetName val="Other Ratios"/>
      <sheetName val="Net Worth"/>
      <sheetName val="TOL CDR"/>
      <sheetName val="Secured Borrowings"/>
      <sheetName val="Current Ratio"/>
      <sheetName val="Interface"/>
      <sheetName val="IRR 1 year"/>
      <sheetName val="IRR with 2 years"/>
      <sheetName val="R&amp;C"/>
      <sheetName val="2008-09"/>
      <sheetName val="Qtr debt profile"/>
      <sheetName val="CONS(F)-Final"/>
      <sheetName val="Overall Summary"/>
      <sheetName val="Debt profile"/>
      <sheetName val="Debt 31.03.10"/>
      <sheetName val="Monthly repayments"/>
      <sheetName val="Sacrifice"/>
      <sheetName val="Existing loan sch"/>
      <sheetName val="Lender wise 2"/>
      <sheetName val="Lender-wise"/>
      <sheetName val="Sacrifice backup"/>
      <sheetName val="Rs Crore-JSL Ratios"/>
      <sheetName val="Presentation slides"/>
      <sheetName val="Graphs"/>
      <sheetName val="try"/>
      <sheetName val="sbicap"/>
      <sheetName val="JSL - Financials"/>
      <sheetName val="phase II"/>
      <sheetName val="PPT"/>
      <sheetName val="Consolidated (Try)"/>
      <sheetName val="OSL - Financials"/>
      <sheetName val="Inv. Sch."/>
      <sheetName val="CONS(F)"/>
      <sheetName val="Capacity &amp; Cost"/>
      <sheetName val="consolidated IT Cal"/>
      <sheetName val="CMA (rough)"/>
      <sheetName val="Old DP"/>
      <sheetName val="Selling Prices"/>
      <sheetName val="Sales Mix"/>
      <sheetName val="Raw Material Costs"/>
      <sheetName val="Consolidated Qtr"/>
      <sheetName val="Valuation"/>
      <sheetName val="Spec. Consumptions"/>
      <sheetName val="ProcessYields"/>
      <sheetName val="Chemistry"/>
      <sheetName val="Utilization"/>
      <sheetName val="R&amp;C Impact"/>
      <sheetName val="Capital Cost"/>
      <sheetName val="2009"/>
      <sheetName val="addon4"/>
      <sheetName val="addon3"/>
      <sheetName val="addon2"/>
      <sheetName val="addon1"/>
      <sheetName val="Ration"/>
      <sheetName val="JSS-STOCK TALLY"/>
      <sheetName val="JSW-STOCK TALLY"/>
      <sheetName val="B. Sheet Abstract "/>
      <sheetName val="JSN-STOCK TALLY"/>
      <sheetName val="B. S. 2009-2010 "/>
      <sheetName val="JSN-Ageing"/>
      <sheetName val="JSW-Ageing"/>
      <sheetName val="JSS-Cust-Ageing"/>
      <sheetName val="JSS-FG Valuation"/>
      <sheetName val="JSS-Scrap"/>
      <sheetName val="(JSS) Inc-Dec. "/>
      <sheetName val="JSN-WIP Valuation"/>
      <sheetName val="JSN-Scrap Valuation"/>
      <sheetName val="JSN INC-DEC WORKING"/>
      <sheetName val="Notes to ac part B"/>
      <sheetName val="Gratuity P.no 12"/>
      <sheetName val="B. S. 09-10"/>
      <sheetName val="Ann B"/>
      <sheetName val="F.Assets Consolidated"/>
      <sheetName val="Working Cash flow"/>
      <sheetName val="Cap. Commitment"/>
      <sheetName val="CIF VALUE DETAIL"/>
      <sheetName val="JSN- Vendor"/>
      <sheetName val="JSW-Vendor"/>
      <sheetName val="JSS-VENDOR"/>
      <sheetName val="Schedule-5(Consolidated)"/>
      <sheetName val="JSN-DEP"/>
      <sheetName val="JSW-DEP"/>
      <sheetName val="JSS-DEP"/>
      <sheetName val="JSSS_Dep"/>
      <sheetName val="TB Chennai"/>
      <sheetName val="TB Mumbai"/>
      <sheetName val="TB Gurgaon"/>
      <sheetName val="D. Tax Liability Cal. 09-10"/>
      <sheetName val="I. Tax Prov. 09-10"/>
      <sheetName val="JSN-Cons. Sheet"/>
      <sheetName val="JSW-Cons. Sheet"/>
      <sheetName val="JSS-Cons. Sheet"/>
      <sheetName val="JSN-FG Valuation"/>
      <sheetName val="JSN-Sales Return"/>
      <sheetName val="JSW-FG (31.03.10)"/>
      <sheetName val="JSW-Scrap(31.03.10)"/>
      <sheetName val="JSW-Sales Return"/>
      <sheetName val="JSS-Sales Return"/>
      <sheetName val="INT RECD. JSW"/>
      <sheetName val="JSW-Inc-Dec. Working"/>
      <sheetName val="JSN-Interest Received Detail"/>
      <sheetName val="Annexure G"/>
      <sheetName val="Sched"/>
      <sheetName val="FA_Final"/>
      <sheetName val="Groupings-final"/>
      <sheetName val="prov"/>
      <sheetName val="gain.loss"/>
      <sheetName val="sap trial"/>
      <sheetName val="Scheme Area Details_Block__ C2"/>
      <sheetName val="New33KVSS_E3"/>
      <sheetName val="Prop aug of Ex 33KVSS_E3a"/>
      <sheetName val="SIN"/>
      <sheetName val="CREV"/>
      <sheetName val="DREV"/>
      <sheetName val="IDCCALHYD_GOO"/>
      <sheetName val="Buildings-III (2)"/>
      <sheetName val="cap-gas (31-3-02) (2)"/>
      <sheetName val="sch 4 (2)"/>
      <sheetName val="dep on exch -fluct (2)"/>
      <sheetName val="IFCI"/>
      <sheetName val="offshore spares"/>
      <sheetName val="FC (2)"/>
      <sheetName val="CIF VALUE "/>
      <sheetName val="Prro.for Tax (R) (2)"/>
      <sheetName val="sch 1,2"/>
      <sheetName val="sch 3"/>
      <sheetName val="sch 4"/>
      <sheetName val="sch 5 "/>
      <sheetName val="sch 6,7,8,9,10,11"/>
      <sheetName val="TB - 31.03.02"/>
      <sheetName val="Computation of Tax "/>
      <sheetName val="MAT CAL"/>
      <sheetName val="Restate-Crs"/>
      <sheetName val="Reinst - FCL"/>
      <sheetName val="F &amp; F"/>
      <sheetName val="Computers"/>
      <sheetName val="oe-1"/>
      <sheetName val="Leasehold Premises"/>
      <sheetName val="dep on exch -fluct"/>
      <sheetName val="buidlings - I"/>
      <sheetName val="buildings - II"/>
      <sheetName val="Buildings-III"/>
      <sheetName val="ONSHORE-EQUIP"/>
      <sheetName val="Offshore Equipment"/>
      <sheetName val="cap-gas (31-3-02)"/>
      <sheetName val="GAS"/>
      <sheetName val="NAPHTHA"/>
      <sheetName val="HSD"/>
      <sheetName val="Int.Cal "/>
      <sheetName val="Guarantee Commn."/>
      <sheetName val="Prepaid Insurance"/>
      <sheetName val="leave encashment"/>
      <sheetName val="Prro.for Tax (R)"/>
      <sheetName val="Prov.for Tax"/>
      <sheetName val="APTRANSCO-Dr"/>
      <sheetName val="APTRANSCO-Sales"/>
      <sheetName val="Int.Receivable-BreakUp"/>
      <sheetName val="Hire charges"/>
      <sheetName val="Break up of o.s.liability &amp; TDS"/>
      <sheetName val="Cal of dividend"/>
      <sheetName val="General Reserve"/>
      <sheetName val="DRR "/>
      <sheetName val="cashflow -PWC"/>
      <sheetName val="cashflow-LKPPL"/>
      <sheetName val="cashflow -final"/>
      <sheetName val="sch 3 "/>
      <sheetName val="sch 5,6,7,8,9,10"/>
      <sheetName val="sch 11,12,13,14"/>
      <sheetName val="Groupings 10.6.05"/>
      <sheetName val="TB - 10.6.05"/>
      <sheetName val="Fin.Summary (2)"/>
      <sheetName val="Fin.Summary"/>
      <sheetName val="Prov.for Tax "/>
      <sheetName val="Pro.for Tax "/>
      <sheetName val="Cal of 234(C) "/>
      <sheetName val="Cal. of Bonus"/>
      <sheetName val="Sales 10-6-05 "/>
      <sheetName val="Sales (2005-06 )"/>
      <sheetName val="Comfort fees"/>
      <sheetName val="Ex.fluct.on rept.FCL"/>
      <sheetName val="ONSHORE-EQUIP "/>
      <sheetName val="cap-gas "/>
      <sheetName val="dep on exch -fluct   "/>
      <sheetName val="Gas Bills"/>
      <sheetName val="HSD &amp; Naptha"/>
      <sheetName val="Interest-2005"/>
      <sheetName val="Loans-2005"/>
      <sheetName val="00000"/>
      <sheetName val="bud-act (4)"/>
      <sheetName val="bud-act (3)"/>
      <sheetName val="bud-act (2)"/>
      <sheetName val="dep on exch -fluct "/>
      <sheetName val="capital payments (2)"/>
      <sheetName val="Variance-July"/>
      <sheetName val="bud-act"/>
      <sheetName val="Act02-03(Workings)"/>
      <sheetName val="LTMA"/>
      <sheetName val="LTAPSA"/>
      <sheetName val="generation(bud -Act)"/>
      <sheetName val="intincome -act"/>
      <sheetName val="Act-Interest"/>
      <sheetName val="Status-27-31.5"/>
      <sheetName val="Status-2002-03"/>
      <sheetName val="cashflows"/>
      <sheetName val="cashflows (breaf)"/>
      <sheetName val="capital payments"/>
      <sheetName val="O&amp;M Consumtions-Ser"/>
      <sheetName val="o&amp;M forecast -march"/>
      <sheetName val="RTL"/>
      <sheetName val="FCL"/>
      <sheetName val="PAT (USD)"/>
      <sheetName val="forecast-mar"/>
      <sheetName val="ASSU-NOTES"/>
      <sheetName val="tra"/>
      <sheetName val="cash budget"/>
      <sheetName val="operating budget"/>
      <sheetName val="Cashflows (2)"/>
      <sheetName val="Inputs"/>
      <sheetName val="FCOSTS"/>
      <sheetName val="fx_interest"/>
      <sheetName val="re_interest"/>
      <sheetName val="Term Loans"/>
      <sheetName val="equity"/>
      <sheetName val="Mis."/>
      <sheetName val="interest1"/>
      <sheetName val="Additions-2001-02 "/>
      <sheetName val="4 FAssets-onshore(corrected)"/>
      <sheetName val="otheritems-dep"/>
      <sheetName val="CIVIL DEP"/>
      <sheetName val="ONSHORE-DEP"/>
      <sheetName val="OFFSHORE-DEP"/>
      <sheetName val="int-mar"/>
      <sheetName val="int-oct"/>
      <sheetName val="fcl-disb"/>
      <sheetName val="allocation"/>
      <sheetName val="stocks-naptha"/>
      <sheetName val="stocks-hsd"/>
      <sheetName val="cashflows (april)"/>
      <sheetName val="bud-act (april)"/>
      <sheetName val="books"/>
      <sheetName val="gasprice(Feb)"/>
      <sheetName val="gasprice(Jan)"/>
      <sheetName val="gasprice(Dec)"/>
      <sheetName val="gasprice"/>
      <sheetName val="Establishment Prov."/>
      <sheetName val="bud-act(SEP)"/>
      <sheetName val="bud-act (OCT)"/>
      <sheetName val="EMAIL"/>
      <sheetName val="gas price(Nov)"/>
      <sheetName val="wc-int"/>
      <sheetName val="bud-act(Jan) (2)"/>
      <sheetName val="bud-act(Feb)"/>
      <sheetName val="cap-actuals"/>
      <sheetName val="loans"/>
      <sheetName val="depciation"/>
      <sheetName val="assu"/>
      <sheetName val="fuel (2)"/>
      <sheetName val="fuel"/>
      <sheetName val="Clause 41 - final"/>
      <sheetName val="SCH (1-4) "/>
      <sheetName val="SCH INV 6"/>
      <sheetName val="SCH CA (7-12)"/>
      <sheetName val="SCH PL (13-17)"/>
      <sheetName val="Cash flow for DEC,09"/>
      <sheetName val="LITL"/>
      <sheetName val="Stock &amp; WIP"/>
      <sheetName val="Income and Deferred Tax"/>
      <sheetName val="Windpower Fin."/>
      <sheetName val="Seg in lakhs"/>
      <sheetName val="IT Dep"/>
      <sheetName val="Recon sheet"/>
      <sheetName val="FA-TA"/>
      <sheetName val="FA-IA"/>
      <sheetName val="Invst."/>
      <sheetName val="Assets"/>
      <sheetName val="PL Notes"/>
      <sheetName val="Work CY"/>
      <sheetName val="Work PY"/>
      <sheetName val="Grps CY"/>
      <sheetName val="Grps PY"/>
      <sheetName val="TB CY"/>
      <sheetName val="TB PY"/>
      <sheetName val="Forex"/>
      <sheetName val="Forex Cap Detail"/>
      <sheetName val="PY regrouping"/>
      <sheetName val="Calculations"/>
      <sheetName val="SHP &amp; Dir"/>
      <sheetName val="NP EDC"/>
      <sheetName val="ICBC"/>
      <sheetName val="****00"/>
      <sheetName val="ENGG_VAL"/>
      <sheetName val="ADD_WAVG"/>
      <sheetName val="VAL31MAR-ALL"/>
      <sheetName val="MPS_PACKING"/>
      <sheetName val="K1 FAR Lead"/>
      <sheetName val="K1A Additions Checking"/>
      <sheetName val="K1.1 Off Equip"/>
      <sheetName val="K1.2 F&amp;F"/>
      <sheetName val="K1.3 Computers"/>
      <sheetName val="K1.3 Computers old"/>
      <sheetName val="Recovered_Sheet2"/>
      <sheetName val="Comparing Summary "/>
      <sheetName val="new Data-Labor &amp; OH -Joan"/>
      <sheetName val="Process-Gary"/>
      <sheetName val="Quote - Labor &amp; OH &amp; MU"/>
      <sheetName val="Dept Alloc pivot"/>
      <sheetName val="Costing&amp;Quoting Capacity"/>
      <sheetName val="Direct Labor  "/>
      <sheetName val="Support Allocations"/>
      <sheetName val="Support Pivot"/>
      <sheetName val="Drivers"/>
      <sheetName val="Dept Alloc"/>
      <sheetName val="Budgeted Cycle Time"/>
      <sheetName val="FA Kunshan 200911"/>
      <sheetName val="Var and Fixed cost"/>
      <sheetName val="Labor Utilization"/>
      <sheetName val="Labor Rates"/>
      <sheetName val="Data - Materials"/>
      <sheetName val="Dept Alloc pivot (2)"/>
      <sheetName val="Inventory Balance"/>
      <sheetName val="Inventory Balance (2)"/>
      <sheetName val="NVH 存货收发存汇总表"/>
      <sheetName val="Moen 存货收发存汇总表"/>
      <sheetName val="MOen FLoor value for Kingdee"/>
      <sheetName val="NVH Floor Value for Kingdee"/>
      <sheetName val="checklist"/>
      <sheetName val="Saiyang LOC"/>
      <sheetName val="PettyCash"/>
      <sheetName val="CashBanks"/>
      <sheetName val="TradeAR"/>
      <sheetName val="AllowDbtflAcc.Domest"/>
      <sheetName val="OthAcctRec.Tooling"/>
      <sheetName val="OthAcctRec.VATRec"/>
      <sheetName val="OthAcctRec.EmployRec"/>
      <sheetName val="STRec.STNotes"/>
      <sheetName val="NETINV"/>
      <sheetName val="PpdExp.PpdInsurance&amp;Rent&amp;Other"/>
      <sheetName val="PpdExp.OtHPpdExp.Deposits"/>
      <sheetName val="AdvPayVendor"/>
      <sheetName val="FA Depreciation List"/>
      <sheetName val="CIP.Equipment"/>
      <sheetName val="NetCompSoftware.CompSoftware"/>
      <sheetName val="OtherIntang.OtherAssets"/>
      <sheetName val="ToolDies.InProcess"/>
      <sheetName val="ToolDies.NonRecov"/>
      <sheetName val="TradeAP.Domestic"/>
      <sheetName val="TradeAP.RecptNotVouch"/>
      <sheetName val="OtherAP.Other"/>
      <sheetName val="STNotePay.NotePayCur"/>
      <sheetName val="ICPAYABLE"/>
      <sheetName val="AccOthTax.VAT"/>
      <sheetName val="AccOthTax.Duties"/>
      <sheetName val="AccPropTaxReal Property Tax"/>
      <sheetName val="Accrued LiabilitiesInsurance"/>
      <sheetName val="Accrued LiabilitiesRent"/>
      <sheetName val="AccLiabOthInterest"/>
      <sheetName val="AccLiabOthWarranty &amp; Quality"/>
      <sheetName val="AccLiabOthAudit Fees"/>
      <sheetName val="OthCurLiabDeferredToolingProfit"/>
      <sheetName val="AccLiabOth.Other"/>
      <sheetName val="ICNotes"/>
      <sheetName val="STOCKEQUITY"/>
      <sheetName val="Saiyang GAPLC"/>
      <sheetName val="Saiyang BS LC"/>
      <sheetName val="Saiyang IS LC"/>
      <sheetName val="Summary-Horizontal"/>
      <sheetName val="Summary-Vertical"/>
      <sheetName val="Package-Horizontal"/>
      <sheetName val="Package-Vertical"/>
      <sheetName val="Outbound Cost"/>
      <sheetName val="Process-Full process"/>
      <sheetName val="Process Cost"/>
      <sheetName val="Costed BOM (2)"/>
      <sheetName val="Product Cost Summary"/>
      <sheetName val="Business Case"/>
      <sheetName val="IRR"/>
      <sheetName val="Business Plan"/>
      <sheetName val="BizPlan-1"/>
      <sheetName val="BizPlan-2"/>
      <sheetName val="JIT"/>
      <sheetName val="Removal Capital"/>
      <sheetName val="Labor"/>
      <sheetName val="Roadmap"/>
      <sheetName val="人员配置表"/>
      <sheetName val="PCS-JIT Yantai"/>
      <sheetName val="审计费"/>
      <sheetName val="I_S IC Accounts"/>
      <sheetName val="ADMINISTRATION"/>
      <sheetName val="ENTITY_QUERY"/>
      <sheetName val="Instruction"/>
      <sheetName val="Income Stmt"/>
      <sheetName val="Cost&amp;saving"/>
      <sheetName val="Freight"/>
      <sheetName val="Plant efficiency"/>
      <sheetName val="MVP vs prior"/>
      <sheetName val="MVP_Monthly"/>
      <sheetName val="Variable Margin"/>
      <sheetName val="Balance Sht"/>
      <sheetName val="Budget_IS"/>
      <sheetName val="Budget_expenses"/>
      <sheetName val="Unit Cost"/>
      <sheetName val="4Q02 Walk - 1f"/>
      <sheetName val="2002 Walk - 1"/>
      <sheetName val="1Q03 Walk - 2f"/>
      <sheetName val="2003 Walk - 2"/>
      <sheetName val="Fin. Summary - 3"/>
      <sheetName val="Highlights - 5f"/>
      <sheetName val="Highlights - 5"/>
      <sheetName val="Sales - 10f"/>
      <sheetName val="OpMarg - 10"/>
      <sheetName val="?????"/>
      <sheetName val="2003 P &amp; L at 03.31.03 on 04"/>
      <sheetName val="Booked Rev YTD"/>
      <sheetName val="13  Week Cash Flow"/>
      <sheetName val="13 Week Cash Flow"/>
      <sheetName val="Booked Revenue v2"/>
      <sheetName val="Nova Scotia 86 YTD"/>
      <sheetName val="Press P &amp; L"/>
      <sheetName val="Content P &amp; L"/>
      <sheetName val="Requirements"/>
      <sheetName val="Storage"/>
      <sheetName val="Financial"/>
      <sheetName val="Sens"/>
      <sheetName val="5600.Fixed.Assets.March"/>
      <sheetName val="5600.Fixed.Assets.December"/>
      <sheetName val="dep.chart"/>
      <sheetName val="sch-E"/>
      <sheetName val="Expectation of Dep."/>
      <sheetName val="2002-2003"/>
      <sheetName val="plant &amp; mach"/>
      <sheetName val="20001-2002"/>
      <sheetName val="BUILDING-02-03"/>
      <sheetName val="building &amp; other"/>
      <sheetName val="sales2002-2003"/>
      <sheetName val="for exch"/>
      <sheetName val="addition99-2000"/>
      <sheetName val="insurable store"/>
      <sheetName val="Detail of sales 2000-2001"/>
      <sheetName val="fixasset99"/>
      <sheetName val="98-99"/>
      <sheetName val="add2000-2001"/>
      <sheetName val="indore add2002-2003"/>
      <sheetName val="sales2001-2002"/>
      <sheetName val="sensitivities"/>
      <sheetName val="Roll Out"/>
      <sheetName val="Incoming IUC"/>
      <sheetName val="PCO Revenue"/>
      <sheetName val="Opex"/>
      <sheetName val="Non PCO Revenue"/>
      <sheetName val="Mobility Rev"/>
      <sheetName val="Broadband Cust &amp; Rev"/>
      <sheetName val="Rev &amp; Cust Summary"/>
      <sheetName val="Finance Cost new"/>
      <sheetName val="QC"/>
      <sheetName val="DCF-10"/>
      <sheetName val="DCF-5"/>
      <sheetName val="DCF-2"/>
      <sheetName val="NAV"/>
      <sheetName val="BS-2005"/>
      <sheetName val="receipts"/>
      <sheetName val="detail delhi"/>
      <sheetName val="detal b'lore"/>
      <sheetName val="flow"/>
      <sheetName val="I-Tax-Dep"/>
      <sheetName val="SISIL"/>
      <sheetName val="CCM-Const"/>
      <sheetName val="Multiples"/>
      <sheetName val="Fin"/>
      <sheetName val="BSE"/>
      <sheetName val="NSE"/>
      <sheetName val="LOM_MOD"/>
      <sheetName val="MSU"/>
      <sheetName val="Main Equ. List"/>
      <sheetName val="oresreqsum"/>
      <sheetName val="Mnd Comml.Srvy"/>
      <sheetName val="Infra.Spot Mandis"/>
      <sheetName val="ADEX"/>
      <sheetName val="Mnd150km"/>
      <sheetName val="Exp Dir Pur"/>
      <sheetName val="Exp Dir Pur (2)"/>
      <sheetName val="Gate Pur. Proc."/>
      <sheetName val="Agenda05"/>
      <sheetName val="Crop Estm."/>
      <sheetName val="HD"/>
      <sheetName val="TM"/>
      <sheetName val="BN"/>
      <sheetName val="KTG"/>
      <sheetName val="KN"/>
      <sheetName val="KR"/>
      <sheetName val="SR"/>
      <sheetName val="APPL"/>
      <sheetName val="Control Chart-KOFIAT"/>
      <sheetName val="Instructions-KOFIAT"/>
      <sheetName val="Check Sheet-KOFIAT"/>
      <sheetName val="WW Details"/>
      <sheetName val="ZZ04,ZZ05"/>
      <sheetName val="Depreciation Reasonability"/>
      <sheetName val="OAR_BS QIV 07 vs QIV 06"/>
      <sheetName val="OAR_BS QIV 07 vs QIII 07"/>
      <sheetName val="OAR_P&amp;L QIV 07 vs QIV 06"/>
      <sheetName val="OAR_P&amp;L QIV 07 vs QIII 07"/>
      <sheetName val="OAR_P&amp;L YTD 07 vs YTD 06"/>
      <sheetName val="Sales Tax Incentive"/>
      <sheetName val="FOBO Balances"/>
      <sheetName val="Accrued Expenses"/>
      <sheetName val="Accrual Analysis"/>
      <sheetName val="Provision for Assets"/>
      <sheetName val="SGA Information"/>
      <sheetName val="AR AP Reco Status"/>
      <sheetName val="Ratios _ YTD 2007 vs YTD 2006"/>
      <sheetName val="Ratio Workings"/>
      <sheetName val="AR &amp;COL Analysis"/>
      <sheetName val="Top 10 Distirbutors"/>
      <sheetName val="Sales Data"/>
      <sheetName val="Market Stock Analysis"/>
      <sheetName val="Days Sales Outstanding"/>
      <sheetName val="Inventory Turnover Ratios"/>
      <sheetName val="GP Ratio"/>
      <sheetName val="Qty &amp; Rate Variance_GP, NP"/>
      <sheetName val="NP Reco"/>
      <sheetName val="Yield Analysis"/>
      <sheetName val="Form No. 906_2007"/>
      <sheetName val="Form No. 906_2006"/>
      <sheetName val="MMR 2007"/>
      <sheetName val="MMR 2006"/>
      <sheetName val="RM Tally 2007"/>
      <sheetName val="RM Tally 2006"/>
      <sheetName val="Form 107 (Fixed Assets)"/>
      <sheetName val="FG Tally 2007"/>
      <sheetName val="FG Tally 2006"/>
      <sheetName val="BPA 2007"/>
      <sheetName val="BPA 2006"/>
      <sheetName val="MiscInfo_2007"/>
      <sheetName val="IN(108)"/>
      <sheetName val="TB UGAAP-07"/>
      <sheetName val="TB UGAAP-06"/>
      <sheetName val="OAR_P&amp;L QIV 05 vs QIV 04 (2)"/>
      <sheetName val="OAR_P&amp;L YTD 05 vs YTD 04 (2)"/>
      <sheetName val="E.01.5_Major Parties Analysis"/>
      <sheetName val="B&amp;S31-03-04"/>
      <sheetName val="P_M__08_09"/>
      <sheetName val="付属明細書"/>
      <sheetName val="情報通信設備"/>
      <sheetName val="TI.TOCheck"/>
      <sheetName val="INST COST"/>
      <sheetName val="FINAL REPORT含ORACLE"/>
      <sheetName val="FINAL REPORT"/>
      <sheetName val="FY0233&amp;89YTD_17Y 最終"/>
      <sheetName val="FY0233&amp;89YTD_18Y 最終"/>
      <sheetName val="CATEGORY"/>
      <sheetName val="FY0233&amp;89YTD_17Y_2"/>
      <sheetName val="FY0233&amp;89YTD_18Y_2"/>
      <sheetName val="FY0233&amp;89YTD_17Y"/>
      <sheetName val="FY0233&amp;89YTD_18Y"/>
      <sheetName val="FINAL REPORT_AGL"/>
      <sheetName val="LEGACY TB"/>
      <sheetName val="ORACLE TB"/>
      <sheetName val="33&amp;89_17最終"/>
      <sheetName val="33&amp;89_18最終"/>
      <sheetName val="33&amp;89_17"/>
      <sheetName val="33&amp;89_18"/>
      <sheetName val="加工"/>
      <sheetName val="ADDRESS"/>
      <sheetName val="FY00 AGILENT OFFICE"/>
      <sheetName val="貸出先3位ﾘｽﾄ"/>
      <sheetName val="FAWS"/>
      <sheetName val="10INTRA 残 JV"/>
      <sheetName val="11eiffel"/>
      <sheetName val="11 EIFFEL"/>
      <sheetName val="11_eiffel　"/>
      <sheetName val="11_eiffel　加工"/>
      <sheetName val="11_eiffel intra"/>
      <sheetName val="11_eiffel_JV"/>
      <sheetName val="10_eiffel　INTRA CLEAR"/>
      <sheetName val="10INTRA "/>
      <sheetName val="10EIFFEL shoho"/>
      <sheetName val="PIM"/>
      <sheetName val="10 FAWS"/>
      <sheetName val="4412&amp;4413 "/>
      <sheetName val="4414&amp;4415  "/>
      <sheetName val="441_LL"/>
      <sheetName val="4423"/>
      <sheetName val="4424"/>
      <sheetName val="442LL"/>
      <sheetName val="Jul-02 tb"/>
      <sheetName val="table"/>
      <sheetName val="Trial Balance - Sum4412-4417 "/>
      <sheetName val="Trial Balance - Sum441LL"/>
      <sheetName val="Trial Balance - Sum4422-4427"/>
      <sheetName val="Trial Balance - Sum442LL"/>
      <sheetName val="EIFFEL"/>
      <sheetName val="204eiffel"/>
      <sheetName val="04YACCS"/>
      <sheetName val="04 INTRA CLEAR"/>
      <sheetName val="04 INTRA "/>
      <sheetName val="CREDIT INV2 TO BZ"/>
      <sheetName val="YACCS"/>
      <sheetName val="INTRA CLEAR"/>
      <sheetName val="EIFFEL903"/>
      <sheetName val="YACCS903"/>
      <sheetName val="05 EIFEL"/>
      <sheetName val="05YACCS"/>
      <sheetName val="05 INTRA "/>
      <sheetName val="04  INTRA clear "/>
      <sheetName val="04CREDIT INV"/>
      <sheetName val="CREDIT INV2 TO BZ (2)"/>
      <sheetName val="10eiffel"/>
      <sheetName val="10YACCS"/>
      <sheetName val="10 INTRA "/>
      <sheetName val="09  INTRA CLEAR"/>
      <sheetName val="CREDIT INV1"/>
      <sheetName val="Temp1"/>
      <sheetName val="CREDIT INV TO BZ"/>
      <sheetName val="10 INTRA  期末処理"/>
      <sheetName val="SCSTBL"/>
      <sheetName val="0007"/>
      <sheetName val="0008"/>
      <sheetName val="0009"/>
      <sheetName val="0011"/>
      <sheetName val="0012"/>
      <sheetName val="0101"/>
      <sheetName val="0102"/>
      <sheetName val="0103"/>
      <sheetName val="0104"/>
      <sheetName val="0105"/>
      <sheetName val="0106"/>
      <sheetName val="0107"/>
      <sheetName val="0108"/>
      <sheetName val="0109"/>
      <sheetName val="0110"/>
      <sheetName val="0111"/>
      <sheetName val="0112"/>
      <sheetName val="0201"/>
      <sheetName val="0202"/>
      <sheetName val="0203"/>
      <sheetName val="0204"/>
      <sheetName val="0205"/>
      <sheetName val="0206"/>
      <sheetName val="0207"/>
      <sheetName val="0208"/>
      <sheetName val="0209"/>
      <sheetName val="0210"/>
      <sheetName val="0210YAN"/>
      <sheetName val="0211"/>
      <sheetName val="0211YAN"/>
      <sheetName val="9911"/>
      <sheetName val="0001"/>
      <sheetName val="0002"/>
      <sheetName val="0003"/>
      <sheetName val="0004"/>
      <sheetName val="0006"/>
      <sheetName val="ICMARS vs GL"/>
      <sheetName val="MARS"/>
      <sheetName val="TBAL"/>
      <sheetName val="TBvsMARS  (3)"/>
      <sheetName val="AC DETAIL"/>
      <sheetName val="AC DETAIL-HP"/>
      <sheetName val="AC DETAIL-AGI"/>
      <sheetName val="DTL"/>
      <sheetName val="T_B"/>
      <sheetName val="商法決済仕訳"/>
      <sheetName val="未着品BALANCE"/>
      <sheetName val="建仮１"/>
      <sheetName val="建仮2"/>
      <sheetName val="A (2)"/>
      <sheetName val="Final Projections"/>
      <sheetName val="Transactions"/>
      <sheetName val="Units"/>
      <sheetName val="Hours"/>
      <sheetName val="Net Sales Per Hour"/>
      <sheetName val="AVG Price per Unit"/>
      <sheetName val="AVG Transaction AMT"/>
      <sheetName val="Store Numbers"/>
      <sheetName val="Fcst vs Budgets"/>
      <sheetName val="Fcst vs Budget - summary"/>
      <sheetName val="budget + mapping"/>
      <sheetName val="July, 1999 - June, 2000"/>
      <sheetName val="SG"/>
      <sheetName val="HC"/>
      <sheetName val="secondments"/>
      <sheetName val="adp-budget"/>
      <sheetName val="Commission to agent"/>
      <sheetName val="TESTING"/>
      <sheetName val="SAMPLE"/>
      <sheetName val="EXHIBBN"/>
      <sheetName val="SALEPROM"/>
      <sheetName val="ADV&amp;PUB"/>
      <sheetName val="COMP-OP"/>
      <sheetName val="REPONMAC"/>
      <sheetName val="REP&amp;MAIN"/>
      <sheetName val="SECUR"/>
      <sheetName val="SUBSCRIP"/>
      <sheetName val="charity"/>
      <sheetName val="INSURANC"/>
      <sheetName val="TENDER"/>
      <sheetName val="FINE&amp;PEN"/>
      <sheetName val="RENT&amp;TAX"/>
      <sheetName val="TELE"/>
      <sheetName val="Printing"/>
      <sheetName val="R2J.1_Legal and Prof Charges"/>
      <sheetName val="TRAVELL"/>
      <sheetName val="TRAVFORN"/>
      <sheetName val="SCOOT-OP"/>
      <sheetName val="CAR-OPE"/>
      <sheetName val="POST&amp;TEL"/>
      <sheetName val="業績検証シート（出力用）"/>
      <sheetName val="コメント・推移グラフ"/>
      <sheetName val="四半期ｺﾒﾝﾄ"/>
      <sheetName val="売上高"/>
      <sheetName val="2006実績（見込）"/>
      <sheetName val="2006単計"/>
      <sheetName val="2006見通し"/>
      <sheetName val="2005実績"/>
      <sheetName val="在庫高グラフ"/>
      <sheetName val="2007実績（見込）"/>
      <sheetName val="在庫高グラフ用データ"/>
      <sheetName val="2007単計"/>
      <sheetName val="2006実績"/>
      <sheetName val="DHR"/>
      <sheetName val="AprMayJune"/>
      <sheetName val="Based on the factoring_CH2 (2)"/>
      <sheetName val="SUMMARY ANN-D"/>
      <sheetName val="Sale 1-19 Dec09"/>
      <sheetName val="ANNE-D(HHML)"/>
      <sheetName val="ANNE-D(MUL)"/>
      <sheetName val="ANNE-D(MUL -Bulb YV-4)"/>
      <sheetName val="ANNE-D(HMSI)"/>
      <sheetName val="ANNE-D(HMSI) (RM)"/>
      <sheetName val="ANNE-D(YAMAHA)"/>
      <sheetName val="ANNE-D(VAVE)"/>
      <sheetName val="ANNE-D(Tool. Amort.)"/>
      <sheetName val="Sale 1-12 Dec"/>
      <sheetName val="Sale 1-5 Dec09"/>
      <sheetName val="ANNE-D RMC (VAVE) "/>
      <sheetName val="ANNE-A(WITH TOOL) (2)"/>
      <sheetName val="TOTAL LOANS"/>
      <sheetName val="GROUPPING"/>
      <sheetName val="Cash Flow0"/>
      <sheetName val="MIS0310L-MTH"/>
      <sheetName val="SCHEDULE 6"/>
      <sheetName val="MIS0310L"/>
      <sheetName val="MIS0310"/>
      <sheetName val="BCO0310RG"/>
      <sheetName val="GS0310RG"/>
      <sheetName val="GS0310RG (G)"/>
      <sheetName val="GS0310RG (X)"/>
      <sheetName val="GS0310RG (F)"/>
      <sheetName val="GS0310RG (E)"/>
      <sheetName val="GS0310RG (D)"/>
      <sheetName val="FA0309"/>
      <sheetName val="FORM_II"/>
      <sheetName val="FORM_III"/>
      <sheetName val="FORM_IV"/>
      <sheetName val="FORM_V"/>
      <sheetName val="FORM VI"/>
      <sheetName val="sumprofit"/>
      <sheetName val="INTT"/>
      <sheetName val="TL-OS"/>
      <sheetName val="10 CR"/>
      <sheetName val="15 CR"/>
      <sheetName val="10 CR NEW"/>
      <sheetName val="35 CR"/>
      <sheetName val="100 CR"/>
      <sheetName val="10.35"/>
      <sheetName val="DEPN-CA"/>
      <sheetName val="DEP-IT"/>
      <sheetName val="WDV-IT"/>
      <sheetName val="FA09"/>
      <sheetName val="STDFR"/>
      <sheetName val="ADDITIONS (CA)"/>
      <sheetName val="CWIP FA"/>
      <sheetName val="LOAN DETAILUNSEC "/>
      <sheetName val="LOAN DETAILSEC"/>
      <sheetName val="EXPORT CUSTOMERS"/>
      <sheetName val="CARO Checklist"/>
      <sheetName val="Annex 1 &amp; 1A TDS Remittance"/>
      <sheetName val="Annex 1B TDS Remittance"/>
      <sheetName val="Annex 2 Sales tax Palakkad"/>
      <sheetName val="Annex 3 &amp; 4 PF Remittance"/>
      <sheetName val="Annex 5 TDS Remittance"/>
      <sheetName val="Annex 6 TDS Remittance"/>
      <sheetName val="Annex 6A ABFL Remittance Delays"/>
      <sheetName val="Annex 7 CARO Madurai Unit"/>
      <sheetName val="Annex 8 CARO Chennai Unit"/>
      <sheetName val="BALANCESHEET"/>
      <sheetName val="Notes2"/>
      <sheetName val="Branch"/>
      <sheetName val="Assets sale &amp; transfer"/>
      <sheetName val="Stock trf"/>
      <sheetName val="GROSSING UP"/>
      <sheetName val="Other notes"/>
      <sheetName val="AP GROSSING UP"/>
      <sheetName val="Central Vendor balances"/>
      <sheetName val="Upfronts"/>
      <sheetName val="Stock transfers"/>
      <sheetName val="Installed Capcty"/>
      <sheetName val="Contingent liability"/>
      <sheetName val="SCRAP"/>
      <sheetName val="AR GROSSING UP"/>
      <sheetName val="Qty Information"/>
      <sheetName val="MainComp"/>
      <sheetName val="TotalSalary"/>
      <sheetName val="Allowances"/>
      <sheetName val="Perquisites"/>
      <sheetName val="Chapter VIA"/>
      <sheetName val="Sal conv"/>
      <sheetName val="ALLPLANTS"/>
      <sheetName val="TALSTOCKVAL"/>
      <sheetName val="BKCSTOCKVAL"/>
      <sheetName val="MAHSTOCKVAL"/>
      <sheetName val="BAL (2)"/>
      <sheetName val="P&amp;F (2)"/>
      <sheetName val="accounting policies"/>
      <sheetName val="BAL"/>
      <sheetName val="P&amp;F"/>
      <sheetName val="scd1,2"/>
      <sheetName val="scd3"/>
      <sheetName val="scd 6"/>
      <sheetName val="SCH 7"/>
      <sheetName val="SCH 8"/>
      <sheetName val="SCD 9"/>
      <sheetName val="sch 10"/>
      <sheetName val="scd 11"/>
      <sheetName val="sch12"/>
      <sheetName val="sch 13 actual"/>
      <sheetName val="SCH 14"/>
      <sheetName val="SCH 15"/>
      <sheetName val="SCHD 16"/>
      <sheetName val="scd 16 cont"/>
      <sheetName val="scd 17"/>
      <sheetName val="Scd-17cont"/>
      <sheetName val="Scd-17 cont"/>
      <sheetName val="Scd-17 contd"/>
      <sheetName val="sch-17 contd."/>
      <sheetName val="Cash Flow (round)"/>
      <sheetName val="sch 5 2nd copy"/>
      <sheetName val="GROUPINGS(Assets &amp; Liabilities)"/>
      <sheetName val="GROUPIMGS(SALES) "/>
      <sheetName val="GROUPINGS( EXPS)"/>
      <sheetName val="GROUPIMGS( EXCISE)"/>
      <sheetName val="TRIAL BALANCE 31.03.08"/>
      <sheetName val="scd1,2 "/>
      <sheetName val="scd 5(FBD)"/>
      <sheetName val="sch5(DB)"/>
      <sheetName val="scd5(DEL)"/>
      <sheetName val="sch-6"/>
      <sheetName val="scd8 "/>
      <sheetName val="SCD10 "/>
      <sheetName val="personnel cost &amp; other exps."/>
      <sheetName val="other misc. exps."/>
      <sheetName val="FBT 07-08"/>
      <sheetName val="Sale Vs prod.07-08 "/>
      <sheetName val="GROUPING(INTEREST) "/>
      <sheetName val="SECURITY DEPOSIT  RECD "/>
      <sheetName val="SECURITY DEPOSIT Paid"/>
      <sheetName val="FOB 07-08(final)"/>
      <sheetName val="Prepaid,Ins,Rates&amp;taxes, etc."/>
      <sheetName val="FAR (FARIDABAD) 31.03.08"/>
      <sheetName val="Additions assets FBD(31.03.08)"/>
      <sheetName val="CWIP(PLANT)"/>
      <sheetName val="CWIP(TUBEWELL)"/>
      <sheetName val="CWIP(WATER CH.)"/>
      <sheetName val=" PROJECT EXPS"/>
      <sheetName val="POWER &amp; FUEL"/>
      <sheetName val="WATCH &amp; WARD"/>
      <sheetName val="Security Deposit FBD"/>
      <sheetName val="PROFESSIONAL CHARGES"/>
      <sheetName val="NAME OF LAWERS"/>
      <sheetName val="EXP.PAYABLE"/>
      <sheetName val="scd 16"/>
      <sheetName val="Scd-16cont"/>
      <sheetName val="Scd-16 cont"/>
      <sheetName val="Scd-16 contd"/>
      <sheetName val="scd-16 contd."/>
      <sheetName val="Cash Flow "/>
      <sheetName val="Cash Flow(consolidated)"/>
      <sheetName val="PROVISION BONUS 07-08(FBD)"/>
      <sheetName val="FDRS(31.03.08)"/>
      <sheetName val="HELLA INTT.(FINAL)06-07"/>
      <sheetName val="HELLA INTT e-mail"/>
      <sheetName val="HELLA loan payable(Mar'08)"/>
      <sheetName val="FBD DEBTORS"/>
      <sheetName val="scd 5"/>
      <sheetName val="scd 4"/>
      <sheetName val="scd 5(Pollution )"/>
      <sheetName val="scd7 "/>
      <sheetName val="OTHER LIABILITY (AS A WHOLE)"/>
      <sheetName val="scd12"/>
      <sheetName val="scd13"/>
      <sheetName val="scd14"/>
      <sheetName val="Scd15"/>
      <sheetName val="scd 15 cont"/>
      <sheetName val="bal sheet "/>
      <sheetName val="scd3 and 4"/>
      <sheetName val="scd5"/>
      <sheetName val="sch.no.7 contd."/>
      <sheetName val="Sch no.8"/>
      <sheetName val="Sch 9 &amp; 10"/>
      <sheetName val="Sch 11,12"/>
      <sheetName val="ED"/>
      <sheetName val="Mat'l "/>
      <sheetName val="SEBI"/>
      <sheetName val="SCH-A-M"/>
      <sheetName val="Original Trial-29"/>
      <sheetName val="MIS- RECO."/>
      <sheetName val="Adjusted Trial"/>
      <sheetName val="CODE CHECK"/>
      <sheetName val="Grouped Trial"/>
      <sheetName val="B.S.-Groupings"/>
      <sheetName val="P.L.-Groupings"/>
      <sheetName val="Reserve &amp; Surplus"/>
      <sheetName val="Secured Loans"/>
      <sheetName val="Unsecured Loans"/>
      <sheetName val="BS Schdl-3-Fixed Assets"/>
      <sheetName val="Other current assets"/>
      <sheetName val="Misc. Expenditure"/>
      <sheetName val="BS Schdl- 1 &amp; 2"/>
      <sheetName val="BS Schdl-4 to 11"/>
      <sheetName val="PL Schdl- 12 to 16"/>
      <sheetName val="Fixed Assets-Last year"/>
      <sheetName val="GDR"/>
      <sheetName val="TDS"/>
      <sheetName val="Div-details"/>
      <sheetName val="Enclosure 1"/>
      <sheetName val="Enclosure 2"/>
      <sheetName val="Enclosure 3"/>
      <sheetName val="Enclosure 4"/>
      <sheetName val="Enclosure 4A"/>
      <sheetName val="add dep"/>
      <sheetName val="Enclosure 5"/>
      <sheetName val="Enclosure 5A"/>
      <sheetName val="not reqd"/>
      <sheetName val="Enclosure 6"/>
      <sheetName val="Enclosure 7"/>
      <sheetName val="Enclosure 8 "/>
      <sheetName val="Enclosure 9"/>
      <sheetName val="not reqd-1"/>
      <sheetName val="Enclosure 10"/>
      <sheetName val="Enclosure 11"/>
      <sheetName val="Enclosure 12"/>
      <sheetName val="Enclosure 13"/>
      <sheetName val="Details of Payments"/>
      <sheetName val="Raw Mat IAM"/>
      <sheetName val="RM Derabassi"/>
      <sheetName val="VAT &amp; CST on sale"/>
      <sheetName val="Dera Bassi Logic Test"/>
      <sheetName val="Sales Tax IAM (2)"/>
      <sheetName val="FBD Logic TEst"/>
      <sheetName val="Vat Set"/>
      <sheetName val="Consol."/>
      <sheetName val="Working IAM"/>
      <sheetName val="DRB ED AS PER EXCISE 09-10"/>
      <sheetName val="Working Fbd"/>
      <sheetName val="Sales Tax IAM"/>
      <sheetName val="Enclosure 4. (PBC)"/>
      <sheetName val="Enc. XXX"/>
      <sheetName val="Enclosure-4"/>
      <sheetName val="Enclosure 4A "/>
      <sheetName val="Enclosure 5A "/>
      <sheetName val="Enclosure 5B"/>
      <sheetName val="Enclosure- 8"/>
      <sheetName val="Enclosure 8"/>
      <sheetName val="Enclosure-11"/>
      <sheetName val="Enclosure 11-A"/>
      <sheetName val="Enclosure 14"/>
      <sheetName val="BONUS FARIDABAD"/>
      <sheetName val="BONUS DERABASSI"/>
      <sheetName val="Annexure II"/>
      <sheetName val="Encl. 1"/>
      <sheetName val="Encl 2 "/>
      <sheetName val="Encl. 3"/>
      <sheetName val="Encl. 4 "/>
      <sheetName val="Encl. 4A"/>
      <sheetName val="Encl. 5"/>
      <sheetName val="Encl 6"/>
      <sheetName val="Encl 7"/>
      <sheetName val="Encl. 8"/>
      <sheetName val="Encl. 9A"/>
      <sheetName val="Encl. 9B"/>
      <sheetName val="Encl. 10"/>
      <sheetName val="Encl 11"/>
      <sheetName val="Encl. 12"/>
      <sheetName val="Encl. 13"/>
      <sheetName val="Encl. 14"/>
      <sheetName val="Encl.14 contd"/>
      <sheetName val="Enclosure 15"/>
      <sheetName val="Plntmach final"/>
      <sheetName val="Furnfix"/>
      <sheetName val="NRbldg"/>
      <sheetName val="Enclosure 2 old"/>
      <sheetName val="P&amp;M add dep"/>
      <sheetName val="Payable"/>
      <sheetName val="Cenvat reco"/>
      <sheetName val="CASH FLOW 03-08"/>
      <sheetName val="phy cycle (2)"/>
      <sheetName val="phy cycle"/>
      <sheetName val="Revenue Inputs"/>
      <sheetName val="Business Revenues"/>
      <sheetName val="Cost Inputs"/>
      <sheetName val="Roll out plan"/>
      <sheetName val="Fibre plan"/>
      <sheetName val="ULL costs"/>
      <sheetName val="Summary of roll-out plan"/>
      <sheetName val="S C H E M A"/>
      <sheetName val="1 Sites and Lines"/>
      <sheetName val="2 Revenue"/>
      <sheetName val="3 Minutes"/>
      <sheetName val="4 Summary"/>
      <sheetName val="Inputs from PSTN Model"/>
      <sheetName val="All Codes"/>
      <sheetName val=".BS"/>
      <sheetName val="BA_1"/>
      <sheetName val="BA_2"/>
      <sheetName val="BA_3"/>
      <sheetName val="LineMacros"/>
      <sheetName val="Summary Macros"/>
      <sheetName val="General"/>
      <sheetName val="BuildGroup"/>
      <sheetName val="BuildBook"/>
      <sheetName val="GroupMod"/>
      <sheetName val="GBDialog"/>
      <sheetName val="PrintDialog"/>
      <sheetName val="LineDialog"/>
      <sheetName val="PCodeDialog"/>
      <sheetName val="Splash"/>
      <sheetName val="PCs"/>
      <sheetName val="MCL"/>
      <sheetName val="PrintCommands"/>
      <sheetName val="Sicom (2)"/>
      <sheetName val="SICOM99-00"/>
      <sheetName val="sicom"/>
      <sheetName val="Summ98-99"/>
      <sheetName val="Summ99TO2000"/>
      <sheetName val="rough"/>
      <sheetName val="Model"/>
      <sheetName val="Revenue Breakout"/>
      <sheetName val="is"/>
      <sheetName val="valn"/>
      <sheetName val="valn2"/>
      <sheetName val="capex-BWA"/>
      <sheetName val="capex-NWA"/>
      <sheetName val="capex-ISP+CLEC"/>
      <sheetName val="capex-other"/>
      <sheetName val="Inter_Menu"/>
      <sheetName val="interconnect"/>
      <sheetName val="cos"/>
      <sheetName val="opex-it"/>
      <sheetName val="opex-custSvc"/>
      <sheetName val="opex-G&amp;A"/>
      <sheetName val="opex-S&amp;Mktg"/>
      <sheetName val="cos-Urguay"/>
      <sheetName val="deprec"/>
      <sheetName val="by_city"/>
      <sheetName val="rev-BWA"/>
      <sheetName val="rev-BWA (Uruguay)"/>
      <sheetName val="Uruguay"/>
      <sheetName val="rev-NWA"/>
      <sheetName val="rev-ISP+CLEC"/>
      <sheetName val="DSL"/>
      <sheetName val="Int2_2001"/>
      <sheetName val="Int2_traf_2001"/>
      <sheetName val="Int2_tra_2001_2"/>
      <sheetName val="Prices_Interurban"/>
      <sheetName val="C-TM1"/>
      <sheetName val="SendToTM1"/>
      <sheetName val="PeriodFunction"/>
      <sheetName val="auto"/>
      <sheetName val="SAP Data 291204"/>
      <sheetName val="US Engg"/>
      <sheetName val="US"/>
      <sheetName val="Total"/>
      <sheetName val="CT"/>
      <sheetName val="Merlin"/>
      <sheetName val="nMR"/>
      <sheetName val="Horizon"/>
      <sheetName val="C&amp;B"/>
      <sheetName val="T&amp;L"/>
      <sheetName val="Exchange"/>
      <sheetName val="Julie's Request Form"/>
      <sheetName val="SCR L_E 2002"/>
      <sheetName val="BIMP 13th August"/>
      <sheetName val="LOCAL XRAY (2)"/>
      <sheetName val="CARM"/>
      <sheetName val="LOCAL XRAY"/>
      <sheetName val="RecoveredExternalLink1"/>
      <sheetName val="NKSC"/>
      <sheetName val="MAINT,QP,COMM"/>
      <sheetName val="SUPPORTING"/>
      <sheetName val="PLGroupings"/>
      <sheetName val="PLAN 01-02"/>
      <sheetName val="Price updates"/>
      <sheetName val="LANGUAGE"/>
      <sheetName val="PART_DISCOUNT"/>
      <sheetName val="7470 MSP (1)"/>
      <sheetName val="7470 MSP (2)"/>
      <sheetName val="7470 MSP (3)"/>
      <sheetName val="7470 MSP (4)"/>
      <sheetName val="7470 MSP (5)"/>
      <sheetName val="7470 MSP (6)"/>
      <sheetName val="7470 MSP (7)"/>
      <sheetName val="7470 MSP (8)"/>
      <sheetName val="7470 MSP (9)"/>
      <sheetName val="7470 MSP (10)"/>
      <sheetName val="7470 MSP (11)"/>
      <sheetName val="7470 MSP (12)"/>
      <sheetName val="7470 MSP (13)"/>
      <sheetName val="7470 MSP (14)"/>
      <sheetName val="7470 MSP (15)"/>
      <sheetName val="7470 MSP (16)"/>
      <sheetName val="7470 MSP (17)"/>
      <sheetName val="7470 MSP (18)"/>
      <sheetName val="7470 MSP (19)"/>
      <sheetName val="7470 MSP (20)"/>
      <sheetName val="7470 MSP Matrix"/>
      <sheetName val="CATEGORY_DISCOUNT"/>
      <sheetName val="Volume"/>
      <sheetName val="Data Graph"/>
      <sheetName val="MIS-PL"/>
      <sheetName val="gn-div"/>
      <sheetName val="UB-p&amp;L"/>
      <sheetName val="ub"/>
      <sheetName val="group"/>
      <sheetName val="cogs"/>
      <sheetName val="prestn"/>
      <sheetName val="Data File"/>
      <sheetName val="publi"/>
      <sheetName val="Inc Dec - Stock"/>
      <sheetName val="MIS-OH"/>
      <sheetName val="C-COHs"/>
      <sheetName val="INV"/>
      <sheetName val="ub-BS"/>
      <sheetName val="C-Misc Income"/>
      <sheetName val="Presnt-2"/>
      <sheetName val="Raw TB"/>
      <sheetName val="consTB"/>
      <sheetName val="TBrow"/>
      <sheetName val="PC "/>
      <sheetName val="Ratio"/>
      <sheetName val="progrs"/>
      <sheetName val="LLCMIS"/>
      <sheetName val="Q03-04"/>
      <sheetName val="c f Final"/>
      <sheetName val="Q04-05"/>
      <sheetName val="mainBS"/>
      <sheetName val="sc3,4,5 (New)"/>
      <sheetName val="sch-21-mbi1"/>
      <sheetName val="sch-21-mbi2"/>
      <sheetName val="SC-21(1)"/>
      <sheetName val="SC21(2)"/>
      <sheetName val="sc1,2"/>
      <sheetName val="sc3,4"/>
      <sheetName val="sc5"/>
      <sheetName val="sc6,7,8,9"/>
      <sheetName val="sc10,11,12"/>
      <sheetName val="sc13,14,15"/>
      <sheetName val="sc16,17,18,19"/>
      <sheetName val="pwc-cash flow"/>
      <sheetName val="Dep-CON"/>
      <sheetName val="dep-GN"/>
      <sheetName val="dep-A164"/>
      <sheetName val="dep-RTDM"/>
      <sheetName val="dep-HO"/>
      <sheetName val="dep-NEPZ"/>
      <sheetName val="dep-AV"/>
      <sheetName val="dep-B17"/>
      <sheetName val="dep-TR"/>
      <sheetName val="dep-B4"/>
      <sheetName val="dep-MET"/>
      <sheetName val="a164"/>
      <sheetName val="gn"/>
      <sheetName val="av"/>
      <sheetName val="ho"/>
      <sheetName val="rtd"/>
      <sheetName val="nepz"/>
      <sheetName val="B17"/>
      <sheetName val="b4"/>
      <sheetName val="met"/>
      <sheetName val="tr"/>
      <sheetName val="In-De GN"/>
      <sheetName val="IU"/>
      <sheetName val="Q02-03"/>
      <sheetName val="PreQs"/>
      <sheetName val="working03-04"/>
      <sheetName val="Cons-working03-04"/>
      <sheetName val="Optical PL-04-05"/>
      <sheetName val="Eurooptic05-06 PL"/>
      <sheetName val="Eurooptic05-06BS"/>
      <sheetName val="Eurooptic OpticalBS-04-05"/>
      <sheetName val="GDM 0506"/>
      <sheetName val="GDM 0405"/>
      <sheetName val="MBPVL-BS"/>
      <sheetName val="P&amp;L (2)"/>
      <sheetName val="GDM Reco AM"/>
      <sheetName val="ConsBS"/>
      <sheetName val="ConsP&amp;L"/>
      <sheetName val="Conssc1,2"/>
      <sheetName val="Conssc3,4"/>
      <sheetName val="Conssc5"/>
      <sheetName val="Conssc6,7,8,9"/>
      <sheetName val="Conssc10,11,12"/>
      <sheetName val="Conssc13,14,15"/>
      <sheetName val="Conssc16,17,18"/>
      <sheetName val="Cons-pwc-cash flow"/>
      <sheetName val="Cons-Working"/>
      <sheetName val="GDM0405"/>
      <sheetName val="trial balance 30092003"/>
      <sheetName val="Old Sep-03TB"/>
      <sheetName val="Yen Loan-Original"/>
      <sheetName val="#"/>
      <sheetName val="new summary"/>
      <sheetName val="Monthwise sale"/>
      <sheetName val="LTA PROVISON AUGUST'10"/>
      <sheetName val="Med. AUGUST'10"/>
      <sheetName val="Transmittal Front Page"/>
      <sheetName val="Pilotage"/>
      <sheetName val="Agency BS"/>
      <sheetName val="FA Schedule"/>
      <sheetName val="FA Register"/>
      <sheetName val="depreciation Summary"/>
      <sheetName val="FA Register (2)"/>
      <sheetName val="indus"/>
      <sheetName val="Veh (Alto)"/>
      <sheetName val="Motor Cycle"/>
      <sheetName val="Veh (WR)"/>
      <sheetName val="Veh (Zen)"/>
      <sheetName val="Veh (Esteem)"/>
      <sheetName val="Veh (M 800) 1"/>
      <sheetName val="Veh (M 800) 2"/>
      <sheetName val="Veh (SX4)"/>
      <sheetName val="Veh (DZire)"/>
      <sheetName val="Veh (AStar)"/>
      <sheetName val="EECO"/>
      <sheetName val="RITZ"/>
      <sheetName val="VERSA (MSV)"/>
      <sheetName val="Swift"/>
      <sheetName val="Veh (MOS)"/>
      <sheetName val="UPS"/>
      <sheetName val="Tools"/>
      <sheetName val="Sign Board"/>
      <sheetName val="Elec Equip"/>
      <sheetName val="Generator"/>
      <sheetName val="F&amp;F"/>
      <sheetName val="Bldgs"/>
      <sheetName val="Digi Cam"/>
      <sheetName val="Low Temp Drier"/>
      <sheetName val="Auto Lift"/>
      <sheetName val="Display Board"/>
      <sheetName val="Paint Booth"/>
      <sheetName val="Water Cooler"/>
      <sheetName val="Remarks"/>
      <sheetName val="Degreasing"/>
      <sheetName val="wip-Dec."/>
      <sheetName val="Primer"/>
      <sheetName val="Sandblasting"/>
      <sheetName val="TB Jan-Dec96"/>
      <sheetName val="Managerial Remuneration-Dec96"/>
      <sheetName val="BS&amp;PL_DEC96"/>
      <sheetName val="Diagramm1"/>
      <sheetName val="Daten für Diagramm"/>
      <sheetName val="SAP 01_02 bis 30.04.03"/>
      <sheetName val="Eingabe"/>
      <sheetName val="Print out"/>
      <sheetName val="HGB Bilanz Eingabe"/>
      <sheetName val="Balance Sheet Permira"/>
      <sheetName val="Investitionen"/>
      <sheetName val="Invest DPC"/>
      <sheetName val="Deckblatt"/>
      <sheetName val="Steuerung"/>
      <sheetName val="Gesamt 2000-03"/>
      <sheetName val="Planung-Ö 2000-03"/>
      <sheetName val="Planung-D 2000-03"/>
      <sheetName val="Zugänge 2000-03"/>
      <sheetName val="Zugänge 2000-2003 Handel"/>
      <sheetName val="list of changes"/>
      <sheetName val="segment split"/>
      <sheetName val="Group NTA 25 Jun 04"/>
      <sheetName val="NTA &amp; NAV &amp; revaluation"/>
      <sheetName val="PPE 25 Jun 04"/>
      <sheetName val="2004 P&amp;L projections"/>
      <sheetName val=" CF"/>
      <sheetName val="DepreciationAmor"/>
      <sheetName val="DCF Group"/>
      <sheetName val="DCF Liner"/>
      <sheetName val="DCF Others"/>
      <sheetName val="Firm Value"/>
      <sheetName val="Premium (2)"/>
      <sheetName val="Premium"/>
      <sheetName val="Comps - Gp"/>
      <sheetName val="Comps - SOTP"/>
      <sheetName val="Share price in SGD and USD"/>
      <sheetName val="share px &amp; vol 1993-YTD weekly"/>
      <sheetName val="share px &amp; vol 2003-YTD"/>
      <sheetName val="freight rates - from Nikhil"/>
      <sheetName val="football field - Eqty value"/>
      <sheetName val="freight rates"/>
      <sheetName val="P&amp;L Detail"/>
      <sheetName val="Profit &amp; Loss Statement"/>
      <sheetName val="Income Statements"/>
      <sheetName val="Output Debt"/>
      <sheetName val="Calculation Debt"/>
      <sheetName val="Input Financing Assumptions"/>
      <sheetName val="INPUT Investments-Deprec."/>
      <sheetName val="INPUT KEY PARAMETER SUBSCRIBER"/>
      <sheetName val="SUBSCRIBER TOTAL"/>
      <sheetName val="SUBSCRIBER-DTH"/>
      <sheetName val="SUBSCRIBER-CABLE"/>
      <sheetName val="INPUT PACKAGE PARAMETER"/>
      <sheetName val="OUTPUT PACKAGES "/>
      <sheetName val="PACKAGES FOR PAYMENTS"/>
      <sheetName val="Revenues_Subscription PPC"/>
      <sheetName val="REVENUES PREMIERE PLUS"/>
      <sheetName val="Revenues_Subscription PPV"/>
      <sheetName val="Revenues Sublicencing"/>
      <sheetName val="Revenues_Decoder and others"/>
      <sheetName val=" Revenues Others"/>
      <sheetName val="OVERVIEW PROGRAMM"/>
      <sheetName val="MOVIE CALCULATION"/>
      <sheetName val="INPUT MOVIE SUBS "/>
      <sheetName val="INPUT MINIMUMGARANTEE "/>
      <sheetName val="INPUT ESCALATOR"/>
      <sheetName val="INPUT CPS "/>
      <sheetName val="INPUT MOVIE TITLES"/>
      <sheetName val="INPUT PPV MOVIE"/>
      <sheetName val="OUTPUT SPORT"/>
      <sheetName val="INPUT SPORT LICENCES"/>
      <sheetName val="INPUT SPORT PROD."/>
      <sheetName val="EVENTCALENDER"/>
      <sheetName val="BACKUP BUNDESLIGA"/>
      <sheetName val="INPUT PPV BL"/>
      <sheetName val="INPUT LIBRARY"/>
      <sheetName val="INPUT THIRD PARTY"/>
      <sheetName val="INPUT OTHER PROGRAMME"/>
      <sheetName val="Programming costs royalties"/>
      <sheetName val="Decoder Costs"/>
      <sheetName val="Transmission DTH"/>
      <sheetName val="Transmission Cable"/>
      <sheetName val="PLAY OUT-TRANSPONDER"/>
      <sheetName val="Subscriber Marketing Costs"/>
      <sheetName val="Selling-Costs"/>
      <sheetName val="G&amp;A"/>
      <sheetName val="PARAMETERS"/>
      <sheetName val="ÜA"/>
      <sheetName val="Kursübersicht"/>
      <sheetName val="Übersicht(SV)"/>
      <sheetName val="Lizenzen Fiction rollierend"/>
      <sheetName val="Lizenzen Indies rollierend"/>
      <sheetName val="Kabel_Sat rollierend (SV)"/>
      <sheetName val="Kabel_Sat Berech. (SV)"/>
      <sheetName val="Sum. lease commitments 311203"/>
      <sheetName val="Receiver rollierend"/>
      <sheetName val="Berechnung Receiver"/>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Buchungen"/>
      <sheetName val="Zuordnung Goodwill u Zinssätze"/>
      <sheetName val="Verprobung Goodwill"/>
      <sheetName val="Tax Amortization Benefit"/>
      <sheetName val="Assembled Workforce"/>
      <sheetName val="UB und Lat. Steuern"/>
      <sheetName val="Markenzeichen"/>
      <sheetName val="Planzahlen"/>
      <sheetName val="Planung PBC"/>
      <sheetName val="Contributory Asset Charges"/>
      <sheetName val="Kundenliste"/>
      <sheetName val="Order Backlog"/>
      <sheetName val="Daily graph"/>
      <sheetName val="Comb daily"/>
      <sheetName val="NOL Chart- weekly"/>
      <sheetName val="Comb weekly"/>
      <sheetName val="PE EV charts"/>
      <sheetName val="intrinsic value field"/>
      <sheetName val="market football field"/>
      <sheetName val="Revalued Fleet"/>
      <sheetName val="Shipping key historic metrics"/>
      <sheetName val="Margin charts"/>
      <sheetName val="football field"/>
      <sheetName val="2003 Margin charts"/>
      <sheetName val="liquidity analysis"/>
      <sheetName val="Comp descriptions"/>
      <sheetName val="Asset Revaluation"/>
      <sheetName val="2004 Margin charts"/>
      <sheetName val="Historical"/>
      <sheetName val="Linked"/>
      <sheetName val="Conservative"/>
      <sheetName val="Aggressive"/>
      <sheetName val="Brand Allocation Template"/>
      <sheetName val="Consolidated Old"/>
      <sheetName val="Allocations"/>
      <sheetName val="HGTV"/>
      <sheetName val="FOOD"/>
      <sheetName val="DIY"/>
      <sheetName val="FL"/>
      <sheetName val="ONLINE"/>
      <sheetName val="VOD"/>
      <sheetName val="HISPANIC"/>
      <sheetName val="BROADBAND"/>
      <sheetName val="SAH"/>
      <sheetName val="HDTV"/>
      <sheetName val="SNU"/>
      <sheetName val="Telval"/>
      <sheetName val="PanEuro"/>
      <sheetName val="New structure"/>
      <sheetName val="SoP"/>
      <sheetName val="Revenue drivers"/>
      <sheetName val="Cost drivers"/>
      <sheetName val="DeleteMe"/>
      <sheetName val="Backsheet"/>
      <sheetName val="Net debt"/>
      <sheetName val="1H"/>
      <sheetName val="EV"/>
      <sheetName val="Turkcell"/>
      <sheetName val="Scenarios"/>
      <sheetName val="B.S."/>
      <sheetName val="Debt payments"/>
      <sheetName val="interconnection charges"/>
      <sheetName val="legal disputes"/>
      <sheetName val="Qtrly cashflow"/>
      <sheetName val="Result table"/>
      <sheetName val="scenario Mrket share ARPU"/>
      <sheetName val="WACC"/>
      <sheetName val="Valuation comparable"/>
      <sheetName val="Fair values_Scenarios"/>
      <sheetName val="Valuation Custom. Rel. Service"/>
      <sheetName val="Client Customer Rel. Service"/>
      <sheetName val="Bearbeitet_25"/>
      <sheetName val="Pivot25"/>
      <sheetName val="Software"/>
      <sheetName val="assembled workforce IST"/>
      <sheetName val="TAB"/>
      <sheetName val="Universe"/>
      <sheetName val="HGTV Affil"/>
      <sheetName val="Food Affil"/>
      <sheetName val="DIY Affil"/>
      <sheetName val="FL Affil"/>
      <sheetName val="GAC Affil"/>
      <sheetName val="HGTV Linked"/>
      <sheetName val="Food Linked"/>
      <sheetName val="DIY Linked"/>
      <sheetName val="FL Linked"/>
      <sheetName val="GAC Linked"/>
      <sheetName val="Überleitung Konzern"/>
      <sheetName val="Kabel_Sat rollierend (SV)."/>
      <sheetName val="Kabel_Sat Berech. (SV)."/>
      <sheetName val="Sum. lease commitments 300604"/>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sonstige rollierend"/>
      <sheetName val="Berechnung sonstige"/>
      <sheetName val="Capital Purchase Guidelines"/>
      <sheetName val="Menus"/>
      <sheetName val="Capital Worksheet"/>
      <sheetName val="Capital Spending Summary"/>
      <sheetName val="Depreciation Expense - Total"/>
      <sheetName val="Depreciation Expense - All"/>
      <sheetName val="Depreciation Expense - HGTV"/>
      <sheetName val="Depreciation Expense - FOOD"/>
      <sheetName val="Depreciation Expense - DIY"/>
      <sheetName val="Depreciation Expense - FL"/>
      <sheetName val="Depreciation Expense - GAC"/>
      <sheetName val="Depreciation Expense - SP"/>
      <sheetName val="Depreciation Expense - BB"/>
      <sheetName val="Depreciation Expense - VOD"/>
      <sheetName val="Depreciation Expense - HD HGTV"/>
      <sheetName val="Depreciation Expense - HD FOOD"/>
      <sheetName val="Depreciation Expense - SNA"/>
      <sheetName val="R. Johnson_5130"/>
      <sheetName val="T. Killoy"/>
      <sheetName val="D. Metz"/>
      <sheetName val="J. Ajamie"/>
      <sheetName val="R. Johnson_5132"/>
      <sheetName val="R. Feinbaum"/>
      <sheetName val="M. Donovan"/>
      <sheetName val="P. Crowley"/>
      <sheetName val="B. Fails"/>
      <sheetName val="2004 Strat Plan Capital "/>
      <sheetName val="Expense Items"/>
      <sheetName val="Depreciation Expense - HDTV"/>
      <sheetName val="Depreciation Expense - HDTV HG"/>
      <sheetName val="Depreciation Expense - HDTV FD"/>
      <sheetName val="DCF"/>
      <sheetName val="DCFHEMA"/>
      <sheetName val="DCFVD"/>
      <sheetName val="DCFBijenkorf"/>
      <sheetName val="DCFDIY"/>
      <sheetName val="DCFFashion"/>
      <sheetName val="DCFCE"/>
      <sheetName val="DCFSC"/>
      <sheetName val="DCFITS"/>
      <sheetName val="DCFTHoll"/>
      <sheetName val="DCFCFS"/>
      <sheetName val="DCFProperty"/>
      <sheetName val="DCFHolding"/>
      <sheetName val="DCFContingency"/>
      <sheetName val="Hema"/>
      <sheetName val="VD"/>
      <sheetName val="Bijenkorf"/>
      <sheetName val="Praxis"/>
      <sheetName val="Brico"/>
      <sheetName val="Formido"/>
      <sheetName val="Keur"/>
      <sheetName val="LeroyM"/>
      <sheetName val="Fashion"/>
      <sheetName val="ClStr"/>
      <sheetName val="Hunk"/>
      <sheetName val="M&amp;S"/>
      <sheetName val="CE"/>
      <sheetName val="Dixons"/>
      <sheetName val="Impact"/>
      <sheetName val="SchaapCitroen"/>
      <sheetName val="ITServices"/>
      <sheetName val="TechoHolland"/>
      <sheetName val="Property"/>
      <sheetName val="FAInvestments"/>
      <sheetName val="SPD"/>
      <sheetName val="Neptune Assumptions"/>
      <sheetName val="Neptune IS"/>
      <sheetName val="Neptune BS"/>
      <sheetName val="Neptune CF"/>
      <sheetName val="Neptune Debt"/>
      <sheetName val="LBO - Neptune"/>
      <sheetName val="Buyback Analysis"/>
      <sheetName val="Virgo Assumptions"/>
      <sheetName val="Virgo IS"/>
      <sheetName val="Virgo BS"/>
      <sheetName val="Aquarius BS"/>
      <sheetName val="Virgo CF"/>
      <sheetName val="Virgo Debt"/>
      <sheetName val="Merged Assumptions"/>
      <sheetName val="Transaction Terms"/>
      <sheetName val="Merged Debt"/>
      <sheetName val="Merged IS"/>
      <sheetName val="Merged BS"/>
      <sheetName val="Merged CF"/>
      <sheetName val="CSFB - Sensitivity"/>
      <sheetName val="CSFB - EPS Impact"/>
      <sheetName val="CSFB - Transaction"/>
      <sheetName val="CSFB - Financials"/>
      <sheetName val="CSFB - Credit Analysis"/>
      <sheetName val="CSFB - Merger Savings"/>
      <sheetName val="Neptune - UFCF"/>
      <sheetName val="Neptune - PVM(EBITDA) 10Y"/>
      <sheetName val="Neptune - PVM(Growth) 10Y"/>
      <sheetName val="Neptune - Valuation Summary"/>
      <sheetName val="Virgo - UFCF"/>
      <sheetName val="Virgo - PVM(EBITDA) 10Y"/>
      <sheetName val="Virgo - PVM(Growth) 10Y"/>
      <sheetName val="Virgo_valuation"/>
      <sheetName val="Neptune_valuation"/>
      <sheetName val="Merged_valuation"/>
      <sheetName val="WACC (CSFB)"/>
      <sheetName val="WACC (OLD)"/>
      <sheetName val="Comps"/>
      <sheetName val="ReturnMeasures"/>
      <sheetName val="RV"/>
      <sheetName val="RV2"/>
      <sheetName val="CreditSummary"/>
      <sheetName val="CreditPresentation"/>
      <sheetName val="Neptune_2003Fleet"/>
      <sheetName val="Virgo Fleet"/>
      <sheetName val="Virgo EPS Impact"/>
      <sheetName val="Godzilla_Fleet - OLD"/>
      <sheetName val="Graph"/>
      <sheetName val="EquityGraphs"/>
      <sheetName val="Acquisition assumptions"/>
      <sheetName val="Acquirer financing"/>
      <sheetName val="Acquirer Input"/>
      <sheetName val="Target Input"/>
      <sheetName val="Target (Acquiror FYE)"/>
      <sheetName val="Target proforma"/>
      <sheetName val="Acquirer proforma"/>
      <sheetName val="Ratings"/>
      <sheetName val="Debt finance schedule"/>
      <sheetName val="Opl adjustment"/>
      <sheetName val="Anleitung"/>
      <sheetName val="wp_HGB"/>
      <sheetName val="wp_IAS"/>
      <sheetName val="F-6-1"/>
      <sheetName val="Steuersatz_Berechnung QRC"/>
      <sheetName val="F-15_IAS"/>
      <sheetName val="F-15_1_IAS"/>
      <sheetName val="F-15_2_IAS"/>
      <sheetName val="F-15_3_IAS"/>
      <sheetName val="F-12_IAS"/>
      <sheetName val="FF-51_IAS"/>
      <sheetName val="L-40_IAS"/>
      <sheetName val="L-41_IAS"/>
      <sheetName val="F-32-1_IAS"/>
      <sheetName val="F-32-4_IAS"/>
      <sheetName val="F-121"/>
      <sheetName val="J-4"/>
      <sheetName val="J-5"/>
      <sheetName val="A-15"/>
      <sheetName val="A-16"/>
      <sheetName val="B-20"/>
      <sheetName val="B-21"/>
      <sheetName val="B-22"/>
      <sheetName val="L-10-1-1"/>
      <sheetName val="L-10-1-2"/>
      <sheetName val="L-10-2"/>
      <sheetName val="L-11"/>
      <sheetName val="L-11-1-1"/>
      <sheetName val="L-11-1-2"/>
      <sheetName val="L-11-1-3"/>
      <sheetName val="L-11-1-4"/>
      <sheetName val="L-11-2-1"/>
      <sheetName val="L-11-2-2"/>
      <sheetName val="L-11-2-3"/>
      <sheetName val="L-11-2-4"/>
      <sheetName val="L-13"/>
      <sheetName val="L-20"/>
      <sheetName val="L-30"/>
      <sheetName val="M-28"/>
      <sheetName val="M-29"/>
      <sheetName val="M-31-1"/>
      <sheetName val="N-30"/>
      <sheetName val="N-50"/>
      <sheetName val="N-110_IAS"/>
      <sheetName val="U-80_IAS"/>
      <sheetName val="U-81_IAS"/>
      <sheetName val="U-82_IAS"/>
      <sheetName val="BB-22"/>
      <sheetName val="CC-5_1_IAS"/>
      <sheetName val="CC-5"/>
      <sheetName val="DD-10-1"/>
      <sheetName val="DD-10-2"/>
      <sheetName val="DD-30_IAS"/>
      <sheetName val="FF-50_IAS"/>
      <sheetName val="SS-10"/>
      <sheetName val="SS-10_IAS"/>
      <sheetName val="40-1"/>
      <sheetName val="80"/>
      <sheetName val="90"/>
      <sheetName val="90-1_IAS"/>
      <sheetName val="100"/>
      <sheetName val="100-1"/>
      <sheetName val="110"/>
      <sheetName val="130"/>
      <sheetName val="Eingabe_IAS"/>
      <sheetName val="F-1-FINAL-2001"/>
      <sheetName val="F-2-FINAL-2001"/>
      <sheetName val="F-3-CF-2001"/>
      <sheetName val="F-1-FINAL-2002"/>
      <sheetName val="F-2-FINAL-2002"/>
      <sheetName val="F-3-CF-2002"/>
      <sheetName val="F-1-FINAL-2001-OLD"/>
      <sheetName val="F-2-FINAL-2001-OLD"/>
      <sheetName val="F-1-FINAL-2002-OLD"/>
      <sheetName val="F-2-FINAL-2002-OLD"/>
      <sheetName val="Tabelle5"/>
      <sheetName val="BILANZ-NOTES"/>
      <sheetName val="CHECKSUM"/>
      <sheetName val="NOTES-GuV"/>
      <sheetName val="NOTES-BILANZ"/>
      <sheetName val="NOTES-CF-I"/>
      <sheetName val="NOTES-CF-II"/>
      <sheetName val="NOTES-EK"/>
      <sheetName val="NOTES-EA-Tools"/>
      <sheetName val="wp-EPS"/>
      <sheetName val="KONSO"/>
      <sheetName val="KAPKO"/>
      <sheetName val="AKQUISITION-AEM"/>
      <sheetName val="AKQUISITION"/>
      <sheetName val="AUEKO"/>
      <sheetName val="SCHUKO"/>
      <sheetName val="ZWERG"/>
      <sheetName val="UMGLIEDERUNG"/>
      <sheetName val="wp_CF-I"/>
      <sheetName val="wp_CF"/>
      <sheetName val="BET.ERTRÄGE"/>
      <sheetName val="Summary SAP vs Legacy"/>
      <sheetName val="SAP vs Legacy Deails"/>
      <sheetName val="As per Legacy"/>
      <sheetName val="Scenrerion Testing Revaluation"/>
      <sheetName val="sOFTWARE 1"/>
      <sheetName val="SOFTWARE 2"/>
      <sheetName val="0405 vs 0506"/>
      <sheetName val="MSSL India"/>
      <sheetName val="MSSL Japan"/>
      <sheetName val="MSSL Thailand"/>
      <sheetName val="MSSL GB"/>
      <sheetName val="MSSL ME"/>
      <sheetName val="MSSL M1A"/>
      <sheetName val="Harness Wise Breakup- India"/>
      <sheetName val="Harness Wise Breakup- Thailand"/>
      <sheetName val="Reduzierter CBD"/>
      <sheetName val="Empfohlener CBD"/>
      <sheetName val="XLS Avg Rev"/>
      <sheetName val="価格一覧表"/>
      <sheetName val="TJC - Total"/>
      <sheetName val="CBD Kolben"/>
      <sheetName val="Brush Assembly"/>
      <sheetName val="LOAD"/>
      <sheetName val="HKKalk280100 modifiziert"/>
      <sheetName val="Definitions"/>
      <sheetName val="Opdata (2)"/>
      <sheetName val="207 "/>
      <sheetName val="SAFARI"/>
      <sheetName val="LCV MCV HCV"/>
      <sheetName val="HRD"/>
      <sheetName val="ENGG."/>
      <sheetName val="MARKETING+bonded"/>
      <sheetName val="COMMERCIAL+stores"/>
      <sheetName val="QP&amp;S "/>
      <sheetName val="SUMMARY REPORT"/>
      <sheetName val="Obser. W.C"/>
      <sheetName val="Entries (2)"/>
      <sheetName val="Cash Loss"/>
      <sheetName val="5-7"/>
      <sheetName val="9-12"/>
      <sheetName val="13-16"/>
      <sheetName val="17-22"/>
      <sheetName val="Conbined TB"/>
      <sheetName val="TB-NM"/>
      <sheetName val="TB-PWL"/>
      <sheetName val="Entries MWC"/>
      <sheetName val="23-25"/>
      <sheetName val="26-27"/>
      <sheetName val="28-32"/>
      <sheetName val="Prior Period Expenses"/>
      <sheetName val="x"/>
      <sheetName val="x (2)"/>
      <sheetName val="Copper Base June"/>
      <sheetName val="Escorts Matrix"/>
      <sheetName val="P&amp;L-CUM-MAY-05 (2)"/>
      <sheetName val="front page"/>
      <sheetName val="Prov."/>
      <sheetName val="Feb.07"/>
      <sheetName val="asst &amp; liabl"/>
      <sheetName val="adnl rmc"/>
      <sheetName val="Mfg. Cost"/>
      <sheetName val="Adm. Cost"/>
      <sheetName val="S&amp; D"/>
      <sheetName val="financecost"/>
      <sheetName val="drs grph"/>
      <sheetName val="crs aging grph"/>
      <sheetName val="Debtors "/>
      <sheetName val="crs age "/>
      <sheetName val="adv to suppl"/>
      <sheetName val="Loans &amp; Adv."/>
      <sheetName val="Imprest"/>
      <sheetName val="dispute drs"/>
      <sheetName val="Esti Proft(M5.2)"/>
      <sheetName val="Esti Proft(M5.3) "/>
      <sheetName val="Cash Flow(M5.13)"/>
      <sheetName val="Analysis of wages"/>
      <sheetName val="cash flow, BS monthly(3)"/>
      <sheetName val="hdpg"/>
      <sheetName val="MID-JNT"/>
      <sheetName val="corr&amp; sllve1"/>
      <sheetName val="SUMMERY"/>
      <sheetName val="DEBT_AGING30-30-JUN-07"/>
      <sheetName val="AGEING"/>
      <sheetName val="ADV 30.06."/>
      <sheetName val="profit reco."/>
      <sheetName val="groupnew"/>
      <sheetName val="Activity &amp; Resp"/>
      <sheetName val="indexforworkbook"/>
      <sheetName val="cover page"/>
      <sheetName val="guidelines"/>
      <sheetName val="indexforbudget"/>
      <sheetName val="finance&amp;accounts"/>
      <sheetName val="scwc"/>
      <sheetName val="BS_ABD"/>
      <sheetName val="p&amp;l-marginal cost"/>
      <sheetName val="Cash Flow-MIS"/>
      <sheetName val="Qtr-P&amp;L-Marginal -Trend"/>
      <sheetName val="Reason for Increase in Cost"/>
      <sheetName val="Budget I Version Reco"/>
      <sheetName val="PBT-Revised Recon"/>
      <sheetName val="mfg"/>
      <sheetName val="overheads summary"/>
      <sheetName val="deptt wise overheads"/>
      <sheetName val="selling&amp;distn"/>
      <sheetName val="sales&amp;marketing"/>
      <sheetName val="share of business"/>
      <sheetName val="forecast"/>
      <sheetName val="bad debts"/>
      <sheetName val="movement of debtors"/>
      <sheetName val="movement of finished goods"/>
      <sheetName val="mkt segmentwise"/>
      <sheetName val="price inc_dec"/>
      <sheetName val="planned no of days"/>
      <sheetName val="raw materials"/>
      <sheetName val="purchase plan"/>
      <sheetName val="break even point"/>
      <sheetName val="movmnt of rm inv_creditors"/>
      <sheetName val="new product"/>
      <sheetName val="human resources"/>
      <sheetName val="manpower cost summary"/>
      <sheetName val="deptt wise manpower"/>
      <sheetName val="manpower-staff"/>
      <sheetName val="manpower-associates"/>
      <sheetName val="orgn structure"/>
      <sheetName val="capital budget"/>
      <sheetName val="capex summary"/>
      <sheetName val="capex details (2)"/>
      <sheetName val="capex details"/>
      <sheetName val="tools (ih-bo)"/>
      <sheetName val="deptt wise schedule capex"/>
      <sheetName val="schedule capex"/>
      <sheetName val="quality imprvmt plan"/>
      <sheetName val="Q&amp;P improvement plan"/>
      <sheetName val="others"/>
      <sheetName val="cost reduction"/>
      <sheetName val="sale of assets"/>
      <sheetName val="benchmarks"/>
      <sheetName val="index orderwise"/>
      <sheetName val="key activity control plan"/>
      <sheetName val="Budget Version Reco (2)"/>
      <sheetName val="Tooling Advance -Domestic"/>
      <sheetName val="PBT Reco Version-I Vs Today"/>
      <sheetName val="indexforbudget (2)"/>
      <sheetName val="p&amp;l-marginal cost (N+P)"/>
      <sheetName val="PBT-revised Reco"/>
      <sheetName val="Budget Version Reco"/>
      <sheetName val="Cash flow-Noida"/>
      <sheetName val="TOOLING ADVANCE"/>
      <sheetName val="Basis"/>
      <sheetName val="Qtrly-Marginal Trend"/>
      <sheetName val="BS (F)"/>
      <sheetName val="OH-New"/>
      <sheetName val="OH-Old"/>
      <sheetName val="Sale Summary"/>
      <sheetName val="RMC Summary"/>
      <sheetName val="sensitivity anyalsis"/>
      <sheetName val="Party wise Price Increase"/>
      <sheetName val="p&amp;l-m cQTR."/>
      <sheetName val="PBT-RECO"/>
      <sheetName val="BS-Qtr."/>
      <sheetName val="Justifiation"/>
      <sheetName val="Term Loan"/>
      <sheetName val="Paint shop"/>
      <sheetName val="working-fC"/>
      <sheetName val="OE-PUNE PLANT"/>
      <sheetName val="REPL-PUNE-PLANT"/>
      <sheetName val="DEVL-PUNE"/>
      <sheetName val="lineshifting"/>
      <sheetName val="RMC"/>
      <sheetName val="raw materials "/>
      <sheetName val="RMC(OE) "/>
      <sheetName val="RMC(OE)"/>
      <sheetName val="RMC(DEV)"/>
      <sheetName val="RMC(REPL)"/>
      <sheetName val="staff as per new org chart"/>
      <sheetName val="TOOLS IN HOUSE (Old)"/>
      <sheetName val="TOOLS IN HOUSE (with N&amp;H)"/>
      <sheetName val="TOOLS IN HOUSE (48.55%)"/>
      <sheetName val="deptt.wise"/>
      <sheetName val="TOOLS IN HOUSE"/>
      <sheetName val="original capex"/>
      <sheetName val="deptt.wise (Old with N &amp; Hold)"/>
      <sheetName val="COST REDUCTION (2)"/>
      <sheetName val="Qtrly-Trend"/>
      <sheetName val="Cost justification"/>
      <sheetName val="Contribution Analysis"/>
      <sheetName val="Key Focus Areas"/>
      <sheetName val="Sales Summary"/>
      <sheetName val="Reco. of Profit"/>
      <sheetName val="Rawmat"/>
      <sheetName val="Cost Red."/>
      <sheetName val="Export benefit &amp; Freight"/>
      <sheetName val="per cost backup"/>
      <sheetName val="cover page (NOIDA)"/>
      <sheetName val="cover page (PUNE)"/>
      <sheetName val="s&amp;d agency commision"/>
      <sheetName val="depreciaton"/>
      <sheetName val="Comparisonsheet"/>
      <sheetName val="titlesheet"/>
      <sheetName val="actionpoints"/>
      <sheetName val=" budvsindvsactmthchart"/>
      <sheetName val="budvsindvsactytdchart"/>
      <sheetName val="varbudvsindvsactmth"/>
      <sheetName val="varbudvsindnextmth"/>
      <sheetName val="catA"/>
      <sheetName val="catB"/>
      <sheetName val="cat C"/>
      <sheetName val="cat D"/>
      <sheetName val="sob-cus"/>
      <sheetName val="sob-top5cus&amp;var-reasons-action"/>
      <sheetName val="collection-mth"/>
      <sheetName val="varcollection-reasons-action"/>
      <sheetName val="debtors aging"/>
      <sheetName val="collection-nextmth"/>
      <sheetName val="varcollectionpla-reasons-action"/>
      <sheetName val="contribution-formonth"/>
      <sheetName val="contribution-YTD"/>
      <sheetName val="customercomplaints"/>
      <sheetName val="rejectiontrend"/>
      <sheetName val="rejection"/>
      <sheetName val="productioneffciency"/>
      <sheetName val="prodivityimprplan"/>
      <sheetName val="standardtimeimprplan"/>
      <sheetName val="oee"/>
      <sheetName val="reasonsactplanoee"/>
      <sheetName val="itr"/>
      <sheetName val="itr-rm-wip-fg"/>
      <sheetName val="red&amp;gray"/>
      <sheetName val="actionplanforitr"/>
      <sheetName val="rejectionppm"/>
      <sheetName val="power&amp;fuel"/>
      <sheetName val="premiumfreight"/>
      <sheetName val="premiumfreightreasonsaction"/>
      <sheetName val="Anyalsis-May"/>
      <sheetName val="Anyalsis-april"/>
      <sheetName val="product Contribution"/>
      <sheetName val="sales details"/>
      <sheetName val="Paints Shop"/>
      <sheetName val="Anyalsis-June"/>
      <sheetName val="productmix"/>
      <sheetName val="Anyalsis-July"/>
      <sheetName val="Anyalsis-Aug"/>
      <sheetName val="mat.varience"/>
      <sheetName val="Com"/>
      <sheetName val="FlashReport"/>
      <sheetName val="August05"/>
      <sheetName val="july05"/>
      <sheetName val="june05"/>
      <sheetName val="May05"/>
      <sheetName val="APRIL05 "/>
      <sheetName val="New profitablity"/>
      <sheetName val="variablecost%tosales"/>
      <sheetName val="rawmaterialanalysis"/>
      <sheetName val="mfgcost%tosales"/>
      <sheetName val="fixedcost"/>
      <sheetName val="personnelcost"/>
      <sheetName val="admncost"/>
      <sheetName val="RMC "/>
      <sheetName val="s&amp;d"/>
      <sheetName val="workingcapital"/>
      <sheetName val="Price Inc."/>
      <sheetName val="actionplantoimprovewc"/>
      <sheetName val="creditors list"/>
      <sheetName val="creditorsageing"/>
      <sheetName val="costreductiontrend"/>
      <sheetName val="costreductionstatus"/>
      <sheetName val="statutoryauditstatusplan"/>
      <sheetName val="internalauditstatus&amp;plan"/>
      <sheetName val="concernsauditstat&amp;internal"/>
      <sheetName val="manpowerstrength"/>
      <sheetName val="rev&amp;contribperemployee"/>
      <sheetName val="employeetraining-forthemth"/>
      <sheetName val="employeetraining-ytd"/>
      <sheetName val="employeetraining-fornextmth"/>
      <sheetName val="employeeturnover"/>
      <sheetName val="empltoreasons&amp;actionplan"/>
      <sheetName val="absenteeism"/>
      <sheetName val="statutorycompliance"/>
      <sheetName val="BS-Abstract"/>
      <sheetName val="Regrouping additional entry"/>
      <sheetName val="PUBLISHED RESULTS"/>
      <sheetName val="bal sheet (with appro.)"/>
      <sheetName val="bal sheet (2)"/>
      <sheetName val="Back-up"/>
      <sheetName val="Fa Sch Final 310305"/>
      <sheetName val="Regroup"/>
      <sheetName val="AS-29 (Provision)"/>
      <sheetName val="AS-29 DISCLOSURE"/>
      <sheetName val="APRIL,03"/>
      <sheetName val="MAY,03"/>
      <sheetName val="JUNE,03"/>
      <sheetName val="JULY,03"/>
      <sheetName val="AUG,03"/>
      <sheetName val="SEPT,03"/>
      <sheetName val="Oct,03"/>
      <sheetName val="Nov,03 "/>
      <sheetName val="NOV,04 (2)"/>
      <sheetName val="BS (April 2006))"/>
      <sheetName val="Oct 05 (2)"/>
      <sheetName val="Sept05"/>
      <sheetName val="April 05"/>
      <sheetName val="FEB,05 (2)"/>
      <sheetName val="May 05"/>
      <sheetName val="June 05"/>
      <sheetName val="Aug05"/>
      <sheetName val="Sept05 (2)"/>
      <sheetName val="Nov 05 "/>
      <sheetName val="Dec 05"/>
      <sheetName val="Jan 06"/>
      <sheetName val="Feb 06"/>
      <sheetName val="March 06"/>
      <sheetName val="April 06"/>
      <sheetName val="May 06"/>
      <sheetName val="June 06"/>
      <sheetName val="July 06 (M)"/>
      <sheetName val="Aug 06 "/>
      <sheetName val="July 06"/>
      <sheetName val="Aug 06 (M)"/>
      <sheetName val="Sept 06 (2)"/>
      <sheetName val="Sept 06"/>
      <sheetName val="Oct 06 (2)"/>
      <sheetName val="Oct 06"/>
      <sheetName val="Oct 06 (R)"/>
      <sheetName val="CASH FLOW-F"/>
      <sheetName val="WC-Statement"/>
      <sheetName val="RMC Justification"/>
      <sheetName val="Analysis-II"/>
      <sheetName val="Analysis-II (R)"/>
      <sheetName val="QWise"/>
      <sheetName val="Group Corporate"/>
      <sheetName val="Job description"/>
      <sheetName val="Bal. Sheet"/>
      <sheetName val="Bal. Sheet Details"/>
      <sheetName val="Profit Movement"/>
      <sheetName val="comparision "/>
      <sheetName val="MFG Backup"/>
      <sheetName val="wages working"/>
      <sheetName val="overhead back up"/>
      <sheetName val="Persn. back up "/>
      <sheetName val="Salary Compairsion"/>
      <sheetName val="Forwarding Expn."/>
      <sheetName val="rmc reco"/>
      <sheetName val="Domestic Sales"/>
      <sheetName val="export sale"/>
      <sheetName val="finance cost back up"/>
      <sheetName val="Cost Saving "/>
      <sheetName val="Cost saving backup"/>
      <sheetName val="Movment of RM Inv. _  Creditors"/>
      <sheetName val="Movment of Finished Goods"/>
      <sheetName val="Movment of Debtors"/>
      <sheetName val="SOB"/>
      <sheetName val="1% CST Reduction Impact"/>
      <sheetName val="INTER UNIT"/>
      <sheetName val="INTER UNIT PUNE"/>
      <sheetName val="BS SCH"/>
      <sheetName val="P&amp;L SCH"/>
      <sheetName val="GR-P&amp;L"/>
      <sheetName val="Estab Exp."/>
      <sheetName val="Qty Detail"/>
      <sheetName val="CAI"/>
      <sheetName val="Deff_Tax"/>
      <sheetName val="DEP-ITR"/>
      <sheetName val="Dep-Calc"/>
      <sheetName val="CAR_SALE"/>
      <sheetName val="REPORLIST"/>
      <sheetName val="Plantwise Summary"/>
      <sheetName val="Engine"/>
      <sheetName val="Aggregates-Kvl"/>
      <sheetName val="Kandivli"/>
      <sheetName val="Nasik"/>
      <sheetName val="Zbad"/>
      <sheetName val="Haridwar"/>
      <sheetName val="Highest"/>
      <sheetName val="Kvl-Loss"/>
      <sheetName val="Nsk-loss-UV"/>
      <sheetName val="Nsk-Scorpio"/>
      <sheetName val="Zhb-3 wd"/>
      <sheetName val="Zhb-4wd UV"/>
      <sheetName val="MIPL-4wd LCV"/>
      <sheetName val="SLOW"/>
      <sheetName val="All Product wise"/>
      <sheetName val="Product wise sale"/>
      <sheetName val="D2"/>
      <sheetName val="D Depreciation Sum"/>
      <sheetName val="DTA P&amp;L"/>
      <sheetName val="DT1011"/>
      <sheetName val="WT 2007"/>
      <sheetName val="DT0506"/>
      <sheetName val="DT0607"/>
      <sheetName val="DTA P&amp;L "/>
      <sheetName val="Interest  234 C"/>
      <sheetName val="Interest on Tax"/>
      <sheetName val="MAT Provision"/>
      <sheetName val="43bnew"/>
      <sheetName val="DT1112"/>
      <sheetName val="Dec11"/>
      <sheetName val="sales_rmc_details"/>
      <sheetName val="MAYANK PUNE"/>
      <sheetName val="DEPT."/>
      <sheetName val="MAYANK NOIDA"/>
      <sheetName val="prod_capex"/>
      <sheetName val="quality_capex"/>
      <sheetName val="it_capex"/>
      <sheetName val="p&amp;l_total"/>
      <sheetName val="p&amp;l_noida"/>
      <sheetName val=" Sales Delhi"/>
      <sheetName val="sale_noida"/>
      <sheetName val="Sale Partwise_Noida"/>
      <sheetName val="MAYANK"/>
      <sheetName val="RMC Delhi"/>
      <sheetName val="RMC Partwise Delhi"/>
      <sheetName val="orgn structure(2)"/>
      <sheetName val="Jigs &amp; Fixture"/>
      <sheetName val="Detl Cost Redn "/>
      <sheetName val="Elec Calculation"/>
      <sheetName val="Mc. Expenses"/>
      <sheetName val="Manpower Cost"/>
      <sheetName val="Total Machine Cost"/>
      <sheetName val="100T"/>
      <sheetName val="160T"/>
      <sheetName val="200T"/>
      <sheetName val="350T"/>
      <sheetName val="450T"/>
      <sheetName val="660T"/>
      <sheetName val="E90"/>
      <sheetName val="E50"/>
      <sheetName val="800T"/>
      <sheetName val="other expenses ( 13 ) "/>
      <sheetName val="Infrastructure(3)"/>
      <sheetName val="ORG. CHART (1)"/>
      <sheetName val="ELECT. LOAD ( 9 )"/>
      <sheetName val="T - room expense ( 7 )"/>
      <sheetName val="Power cost ( 11 )"/>
      <sheetName val="INDEX (2)"/>
      <sheetName val="Machine Planning"/>
      <sheetName val="Machine summary sheet"/>
      <sheetName val="MACHINE PLAN"/>
      <sheetName val="Corporate expenses"/>
      <sheetName val="Pre Operative"/>
      <sheetName val="Time Plan Project Impln"/>
      <sheetName val="BLOW"/>
      <sheetName val="Scenario"/>
      <sheetName val="Cost Template"/>
      <sheetName val="COMPUTATION "/>
      <sheetName val="C 145A"/>
      <sheetName val="Sales tax working"/>
      <sheetName val="11 working"/>
      <sheetName val="2a working"/>
      <sheetName val="11(new)"/>
      <sheetName val="D1"/>
      <sheetName val="F (PF)"/>
      <sheetName val="G-Related Party"/>
      <sheetName val="H-43B"/>
      <sheetName val="I-43B"/>
      <sheetName val="Annexure I"/>
      <sheetName val="Summary of stock"/>
      <sheetName val="Bonus "/>
      <sheetName val="annex C work"/>
      <sheetName val="Links"/>
      <sheetName val="land "/>
      <sheetName val="man power inj molding mc "/>
      <sheetName val="capital_cost"/>
      <sheetName val="wcr"/>
      <sheetName val="loan_shedule"/>
      <sheetName val="costing_revised"/>
      <sheetName val="finished goods"/>
      <sheetName val=" rm inv_creditors"/>
      <sheetName val="deptt wise manpower (2)"/>
      <sheetName val="reco 30902"/>
      <sheetName val="FY2001-02"/>
      <sheetName val="Funding"/>
      <sheetName val="IRR NPV"/>
      <sheetName val="summary-sensitivity"/>
      <sheetName val="Mktg Plan"/>
      <sheetName val="RMC backup"/>
      <sheetName val="Mfg Cost"/>
      <sheetName val="Manpower"/>
      <sheetName val="Working Cap"/>
      <sheetName val="Depr Cos Act"/>
      <sheetName val="Depr IT Act"/>
      <sheetName val="Amort of Pre-ops"/>
      <sheetName val="Mc Plg"/>
      <sheetName val="Pre-ops"/>
      <sheetName val="MFA"/>
      <sheetName val="Tool Room "/>
      <sheetName val="QA Cost "/>
      <sheetName val="Sensitivity -10% sales"/>
      <sheetName val="Sensitivity +10 % RMC"/>
      <sheetName val="Sensitivity -10% sales +10% rmc"/>
      <sheetName val="Sensitivity PL -10 % Sale price"/>
      <sheetName val="income tax-sensitivity"/>
      <sheetName val="Consumables 19"/>
      <sheetName val="Imported vs. Indi. 18"/>
      <sheetName val="ZINC-NOIDA"/>
      <sheetName val="Excise Duty"/>
      <sheetName val="Defferd tax"/>
      <sheetName val="P.Nagar 1"/>
      <sheetName val="plastic"/>
      <sheetName val="DC Pune"/>
      <sheetName val="abd"/>
      <sheetName val="DC GN"/>
      <sheetName val="Surface"/>
      <sheetName val="entries "/>
      <sheetName val="FA 11"/>
      <sheetName val="Defferd tax (2)"/>
      <sheetName val="P.Nagar 11"/>
      <sheetName val="CFW"/>
      <sheetName val="R Party"/>
      <sheetName val="349"/>
      <sheetName val="published"/>
      <sheetName val="Planning Materiality Mar 06"/>
      <sheetName val="Summary for F05"/>
      <sheetName val="shortfal"/>
      <sheetName val="Shortfall"/>
      <sheetName val="F-05 Expected"/>
      <sheetName val="BA10-ISUZU (2)"/>
      <sheetName val="Summary f05"/>
      <sheetName val="CED"/>
      <sheetName val="Comparision"/>
      <sheetName val="TYRE"/>
      <sheetName val="final CV"/>
      <sheetName val="M&amp;H Vehicle "/>
      <sheetName val="© Copyright &amp; Disclaimer"/>
      <sheetName val="Coverage Report MSLM 22.9 "/>
      <sheetName val="Coverage Report MSLP 22.9 "/>
      <sheetName val="Coverage Report 29.9"/>
      <sheetName val="vlookup gt entry"/>
      <sheetName val="gt entry"/>
      <sheetName val="ds stock status"/>
      <sheetName val="Mth"/>
      <sheetName val="Qtr"/>
      <sheetName val="Cal. Yr"/>
      <sheetName val="Variance by Mth"/>
      <sheetName val="Variance by Qtr"/>
      <sheetName val="Variance by CY"/>
      <sheetName val="© Copyright &amp; Disclaimer 2006"/>
      <sheetName val="CSM with CKD"/>
      <sheetName val="Surfac_x0005_"/>
      <sheetName val="Surfach"/>
      <sheetName val="SurfacB"/>
      <sheetName val="Surfac8"/>
      <sheetName val="SurfacÀ"/>
      <sheetName val="Surfac_x0008_"/>
      <sheetName val="Surfac_x0010_"/>
      <sheetName val="S-1 - 2"/>
      <sheetName val="S-3"/>
      <sheetName val="S- 4 - 9"/>
      <sheetName val="S- 10 - 16"/>
      <sheetName val="Formatted TB"/>
      <sheetName val="Client TB"/>
      <sheetName val="Deferred tax computation"/>
      <sheetName val="S-1,2"/>
      <sheetName val="S-4,5"/>
      <sheetName val="S-6,7"/>
      <sheetName val="S-8,9"/>
      <sheetName val="S-10,11,12"/>
      <sheetName val="s-13,14"/>
      <sheetName val="KPMG tax computation"/>
      <sheetName val="Deff tax"/>
      <sheetName val="Walks"/>
      <sheetName val="Aging(31 Mar 07)"/>
      <sheetName val="DE Diamond"/>
      <sheetName val="CPSL"/>
      <sheetName val="BPMSL"/>
      <sheetName val="Trial Balance- Final"/>
      <sheetName val="SAD"/>
      <sheetName val="TB 06.04.11"/>
      <sheetName val="Tax computation "/>
      <sheetName val="Deferred tax computation "/>
      <sheetName val="SALIENT POINTS"/>
      <sheetName val="Cash Flow1"/>
      <sheetName val="Cash Flow-Final"/>
      <sheetName val="Sh"/>
      <sheetName val="FA-I.T. ACT"/>
      <sheetName val="FA Schedule Mar 08"/>
      <sheetName val="Fixed aset-final"/>
      <sheetName val="bd prov"/>
      <sheetName val="Prov- summary"/>
      <sheetName val="Pricing-accruals"/>
      <sheetName val="DVC"/>
      <sheetName val="Cash card accruals"/>
      <sheetName val="CWIP exp off"/>
      <sheetName val="Software-dep impact"/>
      <sheetName val="Revised CF"/>
      <sheetName val="Entires recorded "/>
      <sheetName val="40(A)I"/>
      <sheetName val="Status of CF Losses"/>
      <sheetName val="Deferred Tax Calculation"/>
      <sheetName val="Exprense Analysis"/>
      <sheetName val="#REF!"/>
      <sheetName val="Heat Cons"/>
      <sheetName val="Imp"/>
      <sheetName val="Indg"/>
      <sheetName val="Cost_ Sheet Coal"/>
      <sheetName val="Cost sheet CokeFines-Imp"/>
      <sheetName val="Cost-Sheet-ImpCoke"/>
      <sheetName val="July.01"/>
      <sheetName val="Aug.01"/>
      <sheetName val="Sept.01"/>
      <sheetName val="Oct'01"/>
      <sheetName val="Nov'01"/>
      <sheetName val="Dec'01"/>
      <sheetName val="Jan'02"/>
      <sheetName val="Feb'02"/>
      <sheetName val="March'02"/>
      <sheetName val="April'02"/>
      <sheetName val="May'02"/>
      <sheetName val="June'02"/>
      <sheetName val="July'02"/>
      <sheetName val="Quality July'02"/>
      <sheetName val="slip Aug."/>
      <sheetName val="Interest on Bank Borrowings"/>
      <sheetName val="Hire Purchase &amp; Interest"/>
      <sheetName val="Orix 1.1"/>
      <sheetName val="Orix 1.2"/>
      <sheetName val="Orix2"/>
      <sheetName val="Orix3"/>
      <sheetName val="Orix 4"/>
      <sheetName val="Orix 5"/>
      <sheetName val="Orix 6"/>
      <sheetName val="Orix 7"/>
      <sheetName val="Orix 8"/>
      <sheetName val="Orix 9"/>
      <sheetName val="Orix 10"/>
      <sheetName val="Orix 11"/>
      <sheetName val="Orix 12"/>
      <sheetName val="ICICI(1)"/>
      <sheetName val="ICICI (3)"/>
      <sheetName val="ICICI (4)"/>
      <sheetName val="ICICI (5)"/>
      <sheetName val="ICICI (6)"/>
      <sheetName val="ICICI (7)"/>
      <sheetName val="ICICI (10)"/>
      <sheetName val="ICICI (11)"/>
      <sheetName val="ICICI(12)"/>
      <sheetName val="ICICI(13)"/>
      <sheetName val="ICICI(14)"/>
      <sheetName val="ICICI(15)"/>
      <sheetName val="HDFC 1"/>
      <sheetName val="HDFC (2)"/>
      <sheetName val="Kotak(1)"/>
      <sheetName val="Kotak(2)"/>
      <sheetName val="Kotak(3)"/>
      <sheetName val="working for bc fcs"/>
      <sheetName val="tallied with TB"/>
      <sheetName val="as 11 working"/>
      <sheetName val="Merged"/>
      <sheetName val="SecurityNote"/>
      <sheetName val="Reclass"/>
      <sheetName val="CashFlow (2)"/>
      <sheetName val="Sch-  5"/>
      <sheetName val="Investments"/>
      <sheetName val="OracleTB (Rs Crs)"/>
      <sheetName val="RatioAnalysis(Standalone)"/>
      <sheetName val="Ratioworking(Standalone)"/>
      <sheetName val="PrevYearReclass"/>
      <sheetName val="April 06 Interest"/>
      <sheetName val="May06 Interest"/>
      <sheetName val="June06 Int"/>
      <sheetName val="Int on FDs"/>
      <sheetName val="Local FD Prov"/>
      <sheetName val="Annexure C-II"/>
      <sheetName val="Annexure c"/>
      <sheetName val="future lease "/>
      <sheetName val="computaion (2)"/>
      <sheetName val="Accounting Policies Final (2)"/>
      <sheetName val="Balancesheet var _II Q"/>
      <sheetName val="Balancesheet var"/>
      <sheetName val="GROUP 31.03.2011"/>
      <sheetName val="K.G.Service TAx"/>
      <sheetName val="P&amp;L variance -II"/>
      <sheetName val="P&amp;L variance Nine Month"/>
      <sheetName val="utilisation of fund"/>
      <sheetName val="Publish Result (P&amp;L)"/>
      <sheetName val="Publish F R BS"/>
      <sheetName val="Interest on FD"/>
      <sheetName val="salary charge off"/>
      <sheetName val="Related Party "/>
      <sheetName val="Related Party Working"/>
      <sheetName val="TB 31.3.2011"/>
      <sheetName val="Prior Period Adjuestment"/>
      <sheetName val="DEPRECIATION AS PER it act"/>
      <sheetName val="Future Lease working"/>
      <sheetName val="TRIALBALANCE (4)"/>
      <sheetName val="TRIALBALANCE (3)"/>
      <sheetName val="TRIALBALANCE (2)"/>
      <sheetName val="TB_DET"/>
      <sheetName val="CAP"/>
      <sheetName val="Sheet27"/>
      <sheetName val="TRIALBALANCE"/>
      <sheetName val="cover note"/>
      <sheetName val="P_L"/>
      <sheetName val="Sch BS"/>
      <sheetName val="FA "/>
      <sheetName val="Sch P_L"/>
      <sheetName val="Sheet28"/>
      <sheetName val="Exp"/>
      <sheetName val="Pur"/>
      <sheetName val="SDRS"/>
      <sheetName val="CRS"/>
      <sheetName val="L_A"/>
      <sheetName val="Inc"/>
      <sheetName val="OCA"/>
      <sheetName val="Cash"/>
      <sheetName val="MNGRP"/>
      <sheetName val="rev"/>
      <sheetName val="Sheet29"/>
      <sheetName val="Int on WC Oct to Mar"/>
      <sheetName val="CURRENT MONTH"/>
      <sheetName val="Comp-code-master"/>
      <sheetName val="PBCLIST"/>
      <sheetName val="Accounts payable "/>
      <sheetName val="SWCREPORT"/>
      <sheetName val="ARDetails"/>
      <sheetName val="ARSummary"/>
      <sheetName val="100152"/>
      <sheetName val="100143"/>
      <sheetName val="100142"/>
      <sheetName val="100152 (2)"/>
      <sheetName val="100143 (2)"/>
      <sheetName val="100142 (2)"/>
      <sheetName val="trend summary (OLD)"/>
      <sheetName val="trend summary"/>
      <sheetName val="mar13prov"/>
      <sheetName val="mar13 actuals"/>
      <sheetName val="mar12actual warranty spent"/>
      <sheetName val="Billing Summary"/>
      <sheetName val="OPE"/>
      <sheetName val="Attendance Sheet"/>
      <sheetName val="Rmx sale"/>
      <sheetName val="Retirement Jan 07 - March 07"/>
      <sheetName val="RET_IGAAP_DEC 07"/>
      <sheetName val="RET_IGAAP_DEC 07 (2)"/>
      <sheetName val="SALES JAN to MARCH 08"/>
      <sheetName val="RETIREMENT B.A_MAR 08_INCL RMX"/>
      <sheetName val="Spin off"/>
      <sheetName val="Kwh and O2 bal"/>
      <sheetName val="summ_10022002"/>
      <sheetName val="variable cost-details"/>
      <sheetName val="Fixed Overheads"/>
      <sheetName val="Direct Cost"/>
      <sheetName val="Production-capacity"/>
      <sheetName val="Sales-calculations"/>
      <sheetName val="variable cost-details (temp)"/>
      <sheetName val="vc-scnerios"/>
      <sheetName val="vc-transferatvc"/>
      <sheetName val="Key-Inputs"/>
      <sheetName val="P &amp; L Power"/>
      <sheetName val="BS-CPP"/>
      <sheetName val="Fixed Assets-CPP"/>
      <sheetName val="Data Entry"/>
      <sheetName val="Overhead"/>
      <sheetName val="Notes to Mgmt"/>
      <sheetName val="RPA"/>
      <sheetName val="ESOP"/>
      <sheetName val=" Exp (Unit)"/>
      <sheetName val="Sebi-MD (1)"/>
      <sheetName val="Sebi (G+N)"/>
      <sheetName val="Sebi-MD"/>
      <sheetName val="Other Exp"/>
      <sheetName val="Sebi (G)"/>
      <sheetName val="Sebi (N)"/>
      <sheetName val="PJM"/>
      <sheetName val="Regrouping"/>
      <sheetName val="Asset&amp;Liab"/>
      <sheetName val="Profit-Summary"/>
      <sheetName val="GGG"/>
      <sheetName val="Sch-F"/>
      <sheetName val="I.Unit"/>
      <sheetName val="Gaj"/>
      <sheetName val="Consl"/>
      <sheetName val="Amb"/>
      <sheetName val="Amb-Mumbai"/>
      <sheetName val="Amb-Site"/>
      <sheetName val="Amb-Ahd"/>
      <sheetName val="Amb-Cal"/>
      <sheetName val="Amb-Tut"/>
      <sheetName val="Amb-Mlr"/>
      <sheetName val="Amb-Cohin"/>
      <sheetName val="Amb-Delhi"/>
      <sheetName val="Gaj-Site"/>
      <sheetName val="Gaj-HO"/>
      <sheetName val="Gaj-Ahd"/>
      <sheetName val="Bct"/>
      <sheetName val="Panvel"/>
      <sheetName val="Bct-Mdk"/>
      <sheetName val="Surat"/>
      <sheetName val="Sch-E-Him"/>
      <sheetName val="BS-Him"/>
      <sheetName val="Him"/>
      <sheetName val="Him-Ropar"/>
      <sheetName val="Him-Darla"/>
      <sheetName val="Him-Bht"/>
      <sheetName val="Him-Delhi"/>
      <sheetName val="Sch-E MCW"/>
      <sheetName val="BS-Maratha"/>
      <sheetName val="Proj"/>
      <sheetName val="Mar-Site"/>
      <sheetName val="Mar-Rso"/>
      <sheetName val="C.Flow (Print)"/>
      <sheetName val="Cash Flow - Q"/>
      <sheetName val="Cash Flow - Y"/>
      <sheetName val="MD"/>
      <sheetName val="217"/>
      <sheetName val="Eps - Note"/>
      <sheetName val="Profile"/>
      <sheetName val="Corp Exp"/>
      <sheetName val="W.Cap Int"/>
      <sheetName val="Consolidation"/>
      <sheetName val="Amb_A'nagar"/>
      <sheetName val="Gaj_A'nagar"/>
      <sheetName val="Gaj_lineII"/>
      <sheetName val="Gaj_CPP"/>
      <sheetName val="BCT_Muld"/>
      <sheetName val="BCT_MuldII"/>
      <sheetName val="Suli"/>
      <sheetName val="Ropar"/>
      <sheetName val="Ropar_CPP"/>
      <sheetName val="Bathinda"/>
      <sheetName val="MCW"/>
      <sheetName val="MCW_CPP"/>
      <sheetName val="rabriyawas"/>
      <sheetName val="Dadri"/>
      <sheetName val="Amb_Ahmd."/>
      <sheetName val="Gaj_Ahmd."/>
      <sheetName val="Delhi"/>
      <sheetName val="D.fund_reco"/>
      <sheetName val="GrossNet_Block"/>
      <sheetName val="dep.comparison"/>
      <sheetName val="Majoradd_del"/>
      <sheetName val="movement"/>
      <sheetName val="80_IA"/>
      <sheetName val="BCT Muld"/>
      <sheetName val="BCT Muld II"/>
      <sheetName val="Segregation"/>
      <sheetName val="Trfd Out 2009"/>
      <sheetName val="Adjustment-Apr-July-08"/>
      <sheetName val="Trft In-out Apr to July-08"/>
      <sheetName val="Addition Apr to July-08"/>
      <sheetName val="Reco (2)"/>
      <sheetName val="GL Code Wise Addition "/>
      <sheetName val="Addition Aug-March-09"/>
      <sheetName val="Total Addition"/>
      <sheetName val="Trf In-Out Aug-March-09"/>
      <sheetName val="Total Trf In"/>
      <sheetName val="Adjsmt Aug-Mar 09"/>
      <sheetName val="Adjustment-Mar 09"/>
      <sheetName val="Addition Mar-09"/>
      <sheetName val="Sap Sch"/>
      <sheetName val="SCHE-E feb(2)"/>
      <sheetName val="Total Addition (2)"/>
      <sheetName val="No of Personnel"/>
      <sheetName val="Group-Associates-TP"/>
      <sheetName val="Sales volumes"/>
      <sheetName val="Factor"/>
      <sheetName val="Title"/>
      <sheetName val="CIS"/>
      <sheetName val="CR"/>
      <sheetName val="Cas1to3"/>
      <sheetName val="Cas4"/>
      <sheetName val="Cas5"/>
      <sheetName val="Det"/>
      <sheetName val="NOA"/>
      <sheetName val="B1a"/>
      <sheetName val="B1b"/>
      <sheetName val="B2a"/>
      <sheetName val="B2b"/>
      <sheetName val="D2a"/>
      <sheetName val="D2b"/>
      <sheetName val="E2"/>
      <sheetName val="E3"/>
      <sheetName val="E4"/>
      <sheetName val="E5"/>
      <sheetName val="E6"/>
      <sheetName val="G3"/>
      <sheetName val="H1a"/>
      <sheetName val="H1b"/>
      <sheetName val="H2a"/>
      <sheetName val="H2b"/>
      <sheetName val="H3"/>
      <sheetName val="H4"/>
      <sheetName val="I1"/>
      <sheetName val="I2"/>
      <sheetName val="I3"/>
      <sheetName val="I4"/>
      <sheetName val="I5"/>
      <sheetName val="I6"/>
      <sheetName val="K4K5"/>
      <sheetName val="K6a"/>
      <sheetName val="K6b"/>
      <sheetName val="L1L2L3"/>
      <sheetName val="M1"/>
      <sheetName val="M2"/>
      <sheetName val="M3"/>
      <sheetName val="M4"/>
      <sheetName val="O2"/>
      <sheetName val="Q2"/>
      <sheetName val="Rec"/>
      <sheetName val="CEM_cc1"/>
      <sheetName val="CEM_cc2"/>
      <sheetName val="CEM_cc3"/>
      <sheetName val="CEM_cc4"/>
      <sheetName val="CEM_cc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GMR"/>
      <sheetName val="P_Prt"/>
      <sheetName val="P_Par"/>
      <sheetName val="Def"/>
      <sheetName val="P_CUR"/>
      <sheetName val="Periodes"/>
      <sheetName val="P_ID"/>
      <sheetName val="CFT Bal"/>
      <sheetName val="CFT Inc"/>
      <sheetName val="CFT A1"/>
      <sheetName val="CFT A2"/>
      <sheetName val="CFT A3"/>
      <sheetName val="CFT B1a"/>
      <sheetName val="CFT B1b"/>
      <sheetName val="CFT B1c"/>
      <sheetName val="CFT E3"/>
      <sheetName val="CFT E4"/>
      <sheetName val="CFT E5"/>
      <sheetName val="CFT E6"/>
      <sheetName val="CFT I1a"/>
      <sheetName val="CFT I1b"/>
      <sheetName val="CFT I1c"/>
      <sheetName val="CFT I2"/>
      <sheetName val="CFT I3"/>
      <sheetName val="CFT I4"/>
      <sheetName val="CFT O2a"/>
      <sheetName val="CFT O2b"/>
      <sheetName val="CFT O2c"/>
      <sheetName val="CFT P1a"/>
      <sheetName val="CFT P1b"/>
      <sheetName val="CFT P2a"/>
      <sheetName val="CFT CrLn"/>
      <sheetName val="CFT Intra_Test"/>
      <sheetName val="CFT Inter_Test"/>
      <sheetName val="CFT FRP_Test"/>
      <sheetName val="CFT P_Country"/>
      <sheetName val="CFT P_InstrumentType"/>
      <sheetName val="CFT P_Counterparty"/>
      <sheetName val="CFT P_Format"/>
      <sheetName val="pENDING"/>
      <sheetName val="BS(P Sh)"/>
      <sheetName val="p&amp;l(P Sh)"/>
      <sheetName val="Income st -GACL"/>
      <sheetName val="Elec &amp; depn"/>
      <sheetName val="Inventory working"/>
      <sheetName val="AKS"/>
      <sheetName val="Data reqd"/>
      <sheetName val="Chagne in inventory"/>
      <sheetName val="Cash Milnet"/>
      <sheetName val="Amb-B.S."/>
      <sheetName val="GACL MATRIX"/>
      <sheetName val="P&amp;L-Consl"/>
      <sheetName val="CC3"/>
      <sheetName val="Shipping stn"/>
      <sheetName val="GACL consl-15A"/>
      <sheetName val="P&amp;L-CACL"/>
      <sheetName val="CACL-TB"/>
      <sheetName val="Indo-P&amp;L"/>
      <sheetName val="Indo-TB"/>
      <sheetName val="MCW-15A"/>
      <sheetName val="Mcw-P&amp;L"/>
      <sheetName val="Mcw-Site-60-P&amp;L"/>
      <sheetName val="Mcw-Site-60-TB"/>
      <sheetName val="Mcw-Rso-61-P&amp;L"/>
      <sheetName val="Mcw-Rso-61-TB"/>
      <sheetName val="Rab-TB-Dadri"/>
      <sheetName val="Rab-Bht-15A"/>
      <sheetName val="Rab-P&amp;L-Bht-50"/>
      <sheetName val="Rab-TB-Bht-50"/>
      <sheetName val="Rab-Site-15A"/>
      <sheetName val="Rab-Site-71-P&amp;L"/>
      <sheetName val="Rab-Site-71-TB"/>
      <sheetName val="North-P&amp;L-Utt"/>
      <sheetName val="North-TB-Utt"/>
      <sheetName val="North -Rop-15A"/>
      <sheetName val="North-P&amp;L-Rop-40"/>
      <sheetName val="North-TB-Rop-40"/>
      <sheetName val="North-Darla-15A"/>
      <sheetName val="North-P&amp;L-Darla-30"/>
      <sheetName val="North-TB-Darla"/>
      <sheetName val="Amb-15a"/>
      <sheetName val="Amb Ng P&amp;L"/>
      <sheetName val="Amb site-15A"/>
      <sheetName val="Amb-site-11-P&amp;L"/>
      <sheetName val="Amb-Site-TB"/>
      <sheetName val="Amb-Mum-15-P&amp;L"/>
      <sheetName val="Amb-Mum-15-TB"/>
      <sheetName val="Amb-Delhi-12-P&amp;L"/>
      <sheetName val="Amb-Delhi-12-TB"/>
      <sheetName val="Amb-Ahd-13-P&amp;L"/>
      <sheetName val="Amb-Ahd-13-TB"/>
      <sheetName val="Amb-Corp-16-P&amp;L"/>
      <sheetName val="Amb-Corp-16-TB"/>
      <sheetName val="Amb-Cal-17-P&amp;L"/>
      <sheetName val="Amb-Cal-17-TB"/>
      <sheetName val="Gaj Site-21-P&amp;L"/>
      <sheetName val="Gaj-Site-21-TB"/>
      <sheetName val="Gaj-Ahd-28-P&amp;L"/>
      <sheetName val="Gaj-Ahd-28-TB"/>
      <sheetName val="Gaj-Surat Grind-TB"/>
      <sheetName val="Gaj-Mum-25-P&amp;L"/>
      <sheetName val="Gaj-Mum-25-TB"/>
      <sheetName val="Gaj-TPP-TB"/>
      <sheetName val="BCT-Mul-22-P&amp;L"/>
      <sheetName val="BCT-Mul-22-TB"/>
      <sheetName val="BCT-Pan-24-P&amp;L"/>
      <sheetName val="BCT-Pan-24-TB"/>
      <sheetName val="BCT-Srt-23-P&amp;L"/>
      <sheetName val="BCT-Srt-23-TB"/>
      <sheetName val="ERP_CC"/>
      <sheetName val="HARP_CC"/>
    </sheetNames>
    <sheetDataSet>
      <sheetData sheetId="0">
        <row r="1">
          <cell r="A1" t="str">
            <v>Summary for New Clients</v>
          </cell>
        </row>
      </sheetData>
      <sheetData sheetId="1">
        <row r="2">
          <cell r="A2" t="str">
            <v>A101001</v>
          </cell>
        </row>
      </sheetData>
      <sheetData sheetId="2">
        <row r="10">
          <cell r="C10">
            <v>127060800.33999997</v>
          </cell>
        </row>
      </sheetData>
      <sheetData sheetId="3">
        <row r="4">
          <cell r="A4" t="str">
            <v>Sr.No.</v>
          </cell>
        </row>
      </sheetData>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5">
          <cell r="G5">
            <v>100000</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ow r="10">
          <cell r="C10">
            <v>127060800.33999997</v>
          </cell>
        </row>
      </sheetData>
      <sheetData sheetId="855"/>
      <sheetData sheetId="856">
        <row r="8">
          <cell r="B8" t="str">
            <v>DPE002</v>
          </cell>
        </row>
      </sheetData>
      <sheetData sheetId="857">
        <row r="433">
          <cell r="F433">
            <v>0</v>
          </cell>
        </row>
      </sheetData>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ow r="1">
          <cell r="A1" t="str">
            <v>CODE</v>
          </cell>
        </row>
      </sheetData>
      <sheetData sheetId="875" refreshError="1"/>
      <sheetData sheetId="876">
        <row r="1">
          <cell r="A1" t="str">
            <v>CODE</v>
          </cell>
        </row>
      </sheetData>
      <sheetData sheetId="877">
        <row r="1">
          <cell r="A1" t="str">
            <v>CODE</v>
          </cell>
        </row>
      </sheetData>
      <sheetData sheetId="878">
        <row r="1">
          <cell r="A1" t="str">
            <v>CODE</v>
          </cell>
        </row>
      </sheetData>
      <sheetData sheetId="879">
        <row r="1">
          <cell r="A1" t="str">
            <v>CODE</v>
          </cell>
        </row>
      </sheetData>
      <sheetData sheetId="880">
        <row r="1">
          <cell r="A1" t="str">
            <v>Customer Name</v>
          </cell>
        </row>
      </sheetData>
      <sheetData sheetId="881">
        <row r="1">
          <cell r="A1" t="str">
            <v>CODE</v>
          </cell>
        </row>
      </sheetData>
      <sheetData sheetId="882">
        <row r="1">
          <cell r="A1" t="str">
            <v>CODE</v>
          </cell>
        </row>
      </sheetData>
      <sheetData sheetId="883">
        <row r="1">
          <cell r="A1" t="str">
            <v>CODE</v>
          </cell>
        </row>
      </sheetData>
      <sheetData sheetId="884">
        <row r="1">
          <cell r="A1" t="str">
            <v>CODE</v>
          </cell>
        </row>
      </sheetData>
      <sheetData sheetId="885">
        <row r="1">
          <cell r="A1" t="str">
            <v>CODE</v>
          </cell>
        </row>
      </sheetData>
      <sheetData sheetId="886">
        <row r="1">
          <cell r="A1" t="str">
            <v>CODE</v>
          </cell>
        </row>
      </sheetData>
      <sheetData sheetId="887">
        <row r="1">
          <cell r="A1" t="str">
            <v>CODE</v>
          </cell>
        </row>
      </sheetData>
      <sheetData sheetId="888">
        <row r="1">
          <cell r="A1" t="str">
            <v>CODE</v>
          </cell>
        </row>
      </sheetData>
      <sheetData sheetId="889">
        <row r="1">
          <cell r="A1" t="str">
            <v>Customer Name</v>
          </cell>
        </row>
      </sheetData>
      <sheetData sheetId="890">
        <row r="1">
          <cell r="A1" t="str">
            <v>CODE</v>
          </cell>
        </row>
      </sheetData>
      <sheetData sheetId="891">
        <row r="1">
          <cell r="A1" t="str">
            <v>CODE</v>
          </cell>
        </row>
      </sheetData>
      <sheetData sheetId="892">
        <row r="1">
          <cell r="A1" t="str">
            <v>CODE</v>
          </cell>
        </row>
      </sheetData>
      <sheetData sheetId="893">
        <row r="1">
          <cell r="A1" t="str">
            <v>CODE</v>
          </cell>
        </row>
      </sheetData>
      <sheetData sheetId="894">
        <row r="1">
          <cell r="A1" t="str">
            <v>CODE</v>
          </cell>
        </row>
      </sheetData>
      <sheetData sheetId="895">
        <row r="1">
          <cell r="A1" t="str">
            <v>CODE</v>
          </cell>
        </row>
      </sheetData>
      <sheetData sheetId="896">
        <row r="1">
          <cell r="A1" t="str">
            <v>CODE</v>
          </cell>
        </row>
      </sheetData>
      <sheetData sheetId="897">
        <row r="1">
          <cell r="A1" t="str">
            <v>CODE</v>
          </cell>
        </row>
      </sheetData>
      <sheetData sheetId="898">
        <row r="1">
          <cell r="A1" t="str">
            <v>CODE</v>
          </cell>
        </row>
      </sheetData>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ow r="1">
          <cell r="A1" t="str">
            <v>CODE</v>
          </cell>
        </row>
      </sheetData>
      <sheetData sheetId="980">
        <row r="6">
          <cell r="I6" t="str">
            <v>2011</v>
          </cell>
        </row>
      </sheetData>
      <sheetData sheetId="981">
        <row r="6">
          <cell r="I6" t="str">
            <v>2011</v>
          </cell>
        </row>
      </sheetData>
      <sheetData sheetId="982">
        <row r="1">
          <cell r="A1" t="str">
            <v>CODE</v>
          </cell>
        </row>
      </sheetData>
      <sheetData sheetId="983">
        <row r="1">
          <cell r="A1" t="str">
            <v>CODE</v>
          </cell>
        </row>
      </sheetData>
      <sheetData sheetId="984"/>
      <sheetData sheetId="985"/>
      <sheetData sheetId="986"/>
      <sheetData sheetId="987"/>
      <sheetData sheetId="988">
        <row r="6">
          <cell r="I6" t="str">
            <v>2011</v>
          </cell>
        </row>
      </sheetData>
      <sheetData sheetId="989">
        <row r="6">
          <cell r="I6" t="str">
            <v>2011</v>
          </cell>
        </row>
      </sheetData>
      <sheetData sheetId="990">
        <row r="1">
          <cell r="A1" t="str">
            <v>CODE</v>
          </cell>
        </row>
      </sheetData>
      <sheetData sheetId="991">
        <row r="6">
          <cell r="I6" t="str">
            <v>2011</v>
          </cell>
        </row>
      </sheetData>
      <sheetData sheetId="992">
        <row r="6">
          <cell r="I6" t="str">
            <v>2011</v>
          </cell>
        </row>
      </sheetData>
      <sheetData sheetId="993">
        <row r="1">
          <cell r="A1" t="str">
            <v>CODE</v>
          </cell>
        </row>
      </sheetData>
      <sheetData sheetId="994">
        <row r="1">
          <cell r="A1" t="str">
            <v>CODE</v>
          </cell>
        </row>
      </sheetData>
      <sheetData sheetId="995"/>
      <sheetData sheetId="996"/>
      <sheetData sheetId="997"/>
      <sheetData sheetId="998"/>
      <sheetData sheetId="999">
        <row r="6">
          <cell r="I6" t="str">
            <v>2011</v>
          </cell>
        </row>
      </sheetData>
      <sheetData sheetId="1000">
        <row r="1">
          <cell r="B1" t="str">
            <v>Q101A</v>
          </cell>
        </row>
      </sheetData>
      <sheetData sheetId="1001"/>
      <sheetData sheetId="1002">
        <row r="6">
          <cell r="I6" t="str">
            <v>2011</v>
          </cell>
        </row>
      </sheetData>
      <sheetData sheetId="1003">
        <row r="6">
          <cell r="I6" t="str">
            <v>2011</v>
          </cell>
        </row>
      </sheetData>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ow r="6">
          <cell r="I6" t="str">
            <v>2011</v>
          </cell>
        </row>
      </sheetData>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sheetData sheetId="1841"/>
      <sheetData sheetId="1842"/>
      <sheetData sheetId="1843"/>
      <sheetData sheetId="1844">
        <row r="10">
          <cell r="C10">
            <v>127060800.33999997</v>
          </cell>
        </row>
      </sheetData>
      <sheetData sheetId="1845"/>
      <sheetData sheetId="1846" refreshError="1"/>
      <sheetData sheetId="1847" refreshError="1"/>
      <sheetData sheetId="1848"/>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ow r="6">
          <cell r="I6" t="str">
            <v>2011</v>
          </cell>
        </row>
      </sheetData>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sheetData sheetId="2230" refreshError="1"/>
      <sheetData sheetId="2231" refreshError="1"/>
      <sheetData sheetId="2232" refreshError="1"/>
      <sheetData sheetId="2233" refreshError="1"/>
      <sheetData sheetId="2234" refreshError="1"/>
      <sheetData sheetId="2235" refreshError="1"/>
      <sheetData sheetId="2236" refreshError="1"/>
      <sheetData sheetId="2237"/>
      <sheetData sheetId="2238" refreshError="1"/>
      <sheetData sheetId="2239" refreshError="1"/>
      <sheetData sheetId="2240"/>
      <sheetData sheetId="224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ow r="1">
          <cell r="A1" t="str">
            <v>Customer Name</v>
          </cell>
        </row>
      </sheetData>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ow r="1">
          <cell r="A1" t="str">
            <v>Customer Name</v>
          </cell>
        </row>
      </sheetData>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ow r="5">
          <cell r="A5">
            <v>1</v>
          </cell>
        </row>
      </sheetData>
      <sheetData sheetId="2344">
        <row r="5">
          <cell r="A5">
            <v>1</v>
          </cell>
        </row>
      </sheetData>
      <sheetData sheetId="2345">
        <row r="1">
          <cell r="A1" t="str">
            <v>ASSET_NUMBER</v>
          </cell>
        </row>
      </sheetData>
      <sheetData sheetId="2346">
        <row r="5">
          <cell r="A5">
            <v>1</v>
          </cell>
        </row>
      </sheetData>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ow r="1">
          <cell r="A1" t="str">
            <v>ASSET_NUMBER</v>
          </cell>
        </row>
      </sheetData>
      <sheetData sheetId="2380">
        <row r="5">
          <cell r="A5">
            <v>1</v>
          </cell>
        </row>
      </sheetData>
      <sheetData sheetId="2381">
        <row r="5">
          <cell r="A5">
            <v>1</v>
          </cell>
        </row>
      </sheetData>
      <sheetData sheetId="2382">
        <row r="5">
          <cell r="A5">
            <v>1</v>
          </cell>
        </row>
      </sheetData>
      <sheetData sheetId="2383">
        <row r="5">
          <cell r="A5">
            <v>1</v>
          </cell>
        </row>
      </sheetData>
      <sheetData sheetId="2384">
        <row r="5">
          <cell r="A5">
            <v>1</v>
          </cell>
        </row>
      </sheetData>
      <sheetData sheetId="2385">
        <row r="5">
          <cell r="A5">
            <v>1</v>
          </cell>
        </row>
      </sheetData>
      <sheetData sheetId="2386">
        <row r="5">
          <cell r="A5">
            <v>1</v>
          </cell>
        </row>
      </sheetData>
      <sheetData sheetId="2387">
        <row r="5">
          <cell r="A5">
            <v>1</v>
          </cell>
        </row>
      </sheetData>
      <sheetData sheetId="2388">
        <row r="1">
          <cell r="A1" t="str">
            <v>ASSET_NUMBER</v>
          </cell>
        </row>
      </sheetData>
      <sheetData sheetId="2389">
        <row r="1">
          <cell r="A1" t="str">
            <v>ASSET_NUMBER</v>
          </cell>
        </row>
      </sheetData>
      <sheetData sheetId="2390">
        <row r="5">
          <cell r="A5">
            <v>1</v>
          </cell>
        </row>
      </sheetData>
      <sheetData sheetId="2391">
        <row r="5">
          <cell r="A5">
            <v>1</v>
          </cell>
        </row>
      </sheetData>
      <sheetData sheetId="2392">
        <row r="5">
          <cell r="A5">
            <v>1</v>
          </cell>
        </row>
      </sheetData>
      <sheetData sheetId="2393">
        <row r="5">
          <cell r="A5">
            <v>1</v>
          </cell>
        </row>
      </sheetData>
      <sheetData sheetId="2394">
        <row r="5">
          <cell r="A5">
            <v>1</v>
          </cell>
        </row>
      </sheetData>
      <sheetData sheetId="2395">
        <row r="5">
          <cell r="A5">
            <v>1</v>
          </cell>
        </row>
      </sheetData>
      <sheetData sheetId="2396">
        <row r="5">
          <cell r="A5">
            <v>1</v>
          </cell>
        </row>
      </sheetData>
      <sheetData sheetId="2397">
        <row r="5">
          <cell r="A5">
            <v>1</v>
          </cell>
        </row>
      </sheetData>
      <sheetData sheetId="2398">
        <row r="1">
          <cell r="A1" t="str">
            <v>ASSET_NUMBER</v>
          </cell>
        </row>
      </sheetData>
      <sheetData sheetId="2399">
        <row r="1">
          <cell r="A1" t="str">
            <v>ASSET_NUMBER</v>
          </cell>
        </row>
      </sheetData>
      <sheetData sheetId="2400">
        <row r="5">
          <cell r="A5">
            <v>1</v>
          </cell>
        </row>
      </sheetData>
      <sheetData sheetId="2401">
        <row r="5">
          <cell r="A5">
            <v>1</v>
          </cell>
        </row>
      </sheetData>
      <sheetData sheetId="2402" refreshError="1"/>
      <sheetData sheetId="2403" refreshError="1"/>
      <sheetData sheetId="2404" refreshError="1"/>
      <sheetData sheetId="2405" refreshError="1"/>
      <sheetData sheetId="2406" refreshError="1"/>
      <sheetData sheetId="2407">
        <row r="5">
          <cell r="A5">
            <v>1</v>
          </cell>
        </row>
      </sheetData>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ow r="5">
          <cell r="A5">
            <v>1</v>
          </cell>
        </row>
      </sheetData>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ow r="1">
          <cell r="A1" t="str">
            <v>ASSET_NUMBER</v>
          </cell>
        </row>
      </sheetData>
      <sheetData sheetId="2459">
        <row r="1">
          <cell r="A1" t="str">
            <v>ASSET_NUMBER</v>
          </cell>
        </row>
      </sheetData>
      <sheetData sheetId="2460">
        <row r="1">
          <cell r="A1" t="str">
            <v>ASSET_NUMBER</v>
          </cell>
        </row>
      </sheetData>
      <sheetData sheetId="2461">
        <row r="1">
          <cell r="A1" t="str">
            <v>ASSET_NUMBER</v>
          </cell>
        </row>
      </sheetData>
      <sheetData sheetId="2462">
        <row r="1">
          <cell r="A1" t="str">
            <v>ASSET_NUMBER</v>
          </cell>
        </row>
      </sheetData>
      <sheetData sheetId="2463">
        <row r="5">
          <cell r="A5">
            <v>1</v>
          </cell>
        </row>
      </sheetData>
      <sheetData sheetId="2464">
        <row r="5">
          <cell r="A5">
            <v>1</v>
          </cell>
        </row>
      </sheetData>
      <sheetData sheetId="2465">
        <row r="5">
          <cell r="A5">
            <v>1</v>
          </cell>
        </row>
      </sheetData>
      <sheetData sheetId="2466">
        <row r="5">
          <cell r="A5">
            <v>1</v>
          </cell>
        </row>
      </sheetData>
      <sheetData sheetId="2467">
        <row r="1">
          <cell r="A1" t="str">
            <v>ASSET_NUMBER</v>
          </cell>
        </row>
      </sheetData>
      <sheetData sheetId="2468">
        <row r="1">
          <cell r="A1" t="str">
            <v>ASSET_NUMBER</v>
          </cell>
        </row>
      </sheetData>
      <sheetData sheetId="2469">
        <row r="1">
          <cell r="A1" t="str">
            <v>ASSET_NUMBER</v>
          </cell>
        </row>
      </sheetData>
      <sheetData sheetId="2470">
        <row r="1">
          <cell r="A1" t="str">
            <v>ASSET_NUMBER</v>
          </cell>
        </row>
      </sheetData>
      <sheetData sheetId="2471">
        <row r="1">
          <cell r="A1" t="str">
            <v>ASSET_NUMBER</v>
          </cell>
        </row>
      </sheetData>
      <sheetData sheetId="2472">
        <row r="1">
          <cell r="A1" t="str">
            <v>ASSET_NUMBER</v>
          </cell>
        </row>
      </sheetData>
      <sheetData sheetId="2473">
        <row r="5">
          <cell r="A5">
            <v>1</v>
          </cell>
        </row>
      </sheetData>
      <sheetData sheetId="2474">
        <row r="5">
          <cell r="A5">
            <v>1</v>
          </cell>
        </row>
      </sheetData>
      <sheetData sheetId="2475">
        <row r="5">
          <cell r="A5">
            <v>1</v>
          </cell>
        </row>
      </sheetData>
      <sheetData sheetId="2476">
        <row r="5">
          <cell r="A5">
            <v>1</v>
          </cell>
        </row>
      </sheetData>
      <sheetData sheetId="2477">
        <row r="1">
          <cell r="A1" t="str">
            <v>ASSET_NUMBER</v>
          </cell>
        </row>
      </sheetData>
      <sheetData sheetId="2478">
        <row r="1">
          <cell r="A1" t="str">
            <v>ASSET_NUMBER</v>
          </cell>
        </row>
      </sheetData>
      <sheetData sheetId="2479">
        <row r="1">
          <cell r="A1" t="str">
            <v>ASSET_NUMBER</v>
          </cell>
        </row>
      </sheetData>
      <sheetData sheetId="2480">
        <row r="1">
          <cell r="A1" t="str">
            <v>ASSET_NUMBER</v>
          </cell>
        </row>
      </sheetData>
      <sheetData sheetId="2481">
        <row r="1">
          <cell r="A1" t="str">
            <v>ASSET_NUMBER</v>
          </cell>
        </row>
      </sheetData>
      <sheetData sheetId="2482">
        <row r="1">
          <cell r="A1" t="str">
            <v>ASSET_NUMBER</v>
          </cell>
        </row>
      </sheetData>
      <sheetData sheetId="2483">
        <row r="5">
          <cell r="A5">
            <v>1</v>
          </cell>
        </row>
      </sheetData>
      <sheetData sheetId="2484">
        <row r="5">
          <cell r="A5">
            <v>1</v>
          </cell>
        </row>
      </sheetData>
      <sheetData sheetId="2485">
        <row r="5">
          <cell r="A5">
            <v>1</v>
          </cell>
        </row>
      </sheetData>
      <sheetData sheetId="2486">
        <row r="5">
          <cell r="A5">
            <v>1</v>
          </cell>
        </row>
      </sheetData>
      <sheetData sheetId="2487">
        <row r="1">
          <cell r="A1" t="str">
            <v>ASSET_NUMBER</v>
          </cell>
        </row>
      </sheetData>
      <sheetData sheetId="2488">
        <row r="1">
          <cell r="A1" t="str">
            <v>ASSET_NUMBER</v>
          </cell>
        </row>
      </sheetData>
      <sheetData sheetId="2489">
        <row r="1">
          <cell r="A1" t="str">
            <v>ASSET_NUMBER</v>
          </cell>
        </row>
      </sheetData>
      <sheetData sheetId="2490">
        <row r="1">
          <cell r="A1" t="str">
            <v>ASSET_NUMBER</v>
          </cell>
        </row>
      </sheetData>
      <sheetData sheetId="2491">
        <row r="1">
          <cell r="A1" t="str">
            <v>ASSET_NUMBER</v>
          </cell>
        </row>
      </sheetData>
      <sheetData sheetId="2492">
        <row r="5">
          <cell r="A5">
            <v>1</v>
          </cell>
        </row>
      </sheetData>
      <sheetData sheetId="2493">
        <row r="5">
          <cell r="A5">
            <v>1</v>
          </cell>
        </row>
      </sheetData>
      <sheetData sheetId="2494">
        <row r="5">
          <cell r="A5">
            <v>1</v>
          </cell>
        </row>
      </sheetData>
      <sheetData sheetId="2495">
        <row r="5">
          <cell r="A5">
            <v>1</v>
          </cell>
        </row>
      </sheetData>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ow r="5">
          <cell r="A5">
            <v>1</v>
          </cell>
        </row>
      </sheetData>
      <sheetData sheetId="2509" refreshError="1"/>
      <sheetData sheetId="2510" refreshError="1"/>
      <sheetData sheetId="2511" refreshError="1"/>
      <sheetData sheetId="2512" refreshError="1"/>
      <sheetData sheetId="2513" refreshError="1"/>
      <sheetData sheetId="2514" refreshError="1"/>
      <sheetData sheetId="2515" refreshError="1"/>
      <sheetData sheetId="2516">
        <row r="5">
          <cell r="A5">
            <v>1</v>
          </cell>
        </row>
      </sheetData>
      <sheetData sheetId="2517">
        <row r="5">
          <cell r="A5">
            <v>1</v>
          </cell>
        </row>
      </sheetData>
      <sheetData sheetId="2518">
        <row r="5">
          <cell r="A5">
            <v>1</v>
          </cell>
        </row>
      </sheetData>
      <sheetData sheetId="2519">
        <row r="5">
          <cell r="A5">
            <v>1</v>
          </cell>
        </row>
      </sheetData>
      <sheetData sheetId="2520">
        <row r="5">
          <cell r="A5">
            <v>1</v>
          </cell>
        </row>
      </sheetData>
      <sheetData sheetId="2521" refreshError="1"/>
      <sheetData sheetId="2522" refreshError="1"/>
      <sheetData sheetId="2523" refreshError="1"/>
      <sheetData sheetId="2524" refreshError="1"/>
      <sheetData sheetId="2525" refreshError="1"/>
      <sheetData sheetId="2526" refreshError="1"/>
      <sheetData sheetId="2527">
        <row r="5">
          <cell r="A5">
            <v>1</v>
          </cell>
        </row>
      </sheetData>
      <sheetData sheetId="2528" refreshError="1"/>
      <sheetData sheetId="2529" refreshError="1"/>
      <sheetData sheetId="2530" refreshError="1"/>
      <sheetData sheetId="2531" refreshError="1"/>
      <sheetData sheetId="2532">
        <row r="1">
          <cell r="A1" t="str">
            <v>ASSET_NUMBER</v>
          </cell>
        </row>
      </sheetData>
      <sheetData sheetId="2533">
        <row r="1">
          <cell r="A1" t="str">
            <v>ASSET_NUMBER</v>
          </cell>
        </row>
      </sheetData>
      <sheetData sheetId="2534">
        <row r="5">
          <cell r="A5">
            <v>1</v>
          </cell>
        </row>
      </sheetData>
      <sheetData sheetId="2535">
        <row r="5">
          <cell r="A5">
            <v>1</v>
          </cell>
        </row>
      </sheetData>
      <sheetData sheetId="2536" refreshError="1"/>
      <sheetData sheetId="2537" refreshError="1"/>
      <sheetData sheetId="2538" refreshError="1"/>
      <sheetData sheetId="2539" refreshError="1"/>
      <sheetData sheetId="2540">
        <row r="1">
          <cell r="A1" t="str">
            <v>ASSET_NUMBER</v>
          </cell>
        </row>
      </sheetData>
      <sheetData sheetId="2541">
        <row r="1">
          <cell r="A1" t="str">
            <v>ASSET_NUMBER</v>
          </cell>
        </row>
      </sheetData>
      <sheetData sheetId="2542">
        <row r="1">
          <cell r="A1" t="str">
            <v>ASSET_NUMBER</v>
          </cell>
        </row>
      </sheetData>
      <sheetData sheetId="2543">
        <row r="5">
          <cell r="A5">
            <v>1</v>
          </cell>
        </row>
      </sheetData>
      <sheetData sheetId="2544">
        <row r="5">
          <cell r="A5">
            <v>1</v>
          </cell>
        </row>
      </sheetData>
      <sheetData sheetId="2545">
        <row r="5">
          <cell r="A5">
            <v>1</v>
          </cell>
        </row>
      </sheetData>
      <sheetData sheetId="2546">
        <row r="5">
          <cell r="A5">
            <v>1</v>
          </cell>
        </row>
      </sheetData>
      <sheetData sheetId="2547">
        <row r="1">
          <cell r="A1" t="str">
            <v>ASSET_NUMBER</v>
          </cell>
        </row>
      </sheetData>
      <sheetData sheetId="2548">
        <row r="1">
          <cell r="A1" t="str">
            <v>ASSET_NUMBER</v>
          </cell>
        </row>
      </sheetData>
      <sheetData sheetId="2549">
        <row r="1">
          <cell r="A1" t="str">
            <v>ASSET_NUMBER</v>
          </cell>
        </row>
      </sheetData>
      <sheetData sheetId="2550">
        <row r="1">
          <cell r="A1" t="str">
            <v>ASSET_NUMBER</v>
          </cell>
        </row>
      </sheetData>
      <sheetData sheetId="2551">
        <row r="1">
          <cell r="A1" t="str">
            <v>ASSET_NUMBER</v>
          </cell>
        </row>
      </sheetData>
      <sheetData sheetId="2552">
        <row r="5">
          <cell r="A5">
            <v>1</v>
          </cell>
        </row>
      </sheetData>
      <sheetData sheetId="2553">
        <row r="5">
          <cell r="A5">
            <v>1</v>
          </cell>
        </row>
      </sheetData>
      <sheetData sheetId="2554">
        <row r="5">
          <cell r="A5">
            <v>1</v>
          </cell>
        </row>
      </sheetData>
      <sheetData sheetId="2555">
        <row r="5">
          <cell r="A5">
            <v>1</v>
          </cell>
        </row>
      </sheetData>
      <sheetData sheetId="2556">
        <row r="1">
          <cell r="A1" t="str">
            <v>ASSET_NUMBER</v>
          </cell>
        </row>
      </sheetData>
      <sheetData sheetId="2557">
        <row r="1">
          <cell r="A1" t="str">
            <v>ASSET_NUMBER</v>
          </cell>
        </row>
      </sheetData>
      <sheetData sheetId="2558">
        <row r="1">
          <cell r="A1" t="str">
            <v>ASSET_NUMBER</v>
          </cell>
        </row>
      </sheetData>
      <sheetData sheetId="2559">
        <row r="1">
          <cell r="A1" t="str">
            <v>ASSET_NUMBER</v>
          </cell>
        </row>
      </sheetData>
      <sheetData sheetId="2560">
        <row r="5">
          <cell r="A5">
            <v>1</v>
          </cell>
        </row>
      </sheetData>
      <sheetData sheetId="2561">
        <row r="5">
          <cell r="A5">
            <v>1</v>
          </cell>
        </row>
      </sheetData>
      <sheetData sheetId="2562">
        <row r="5">
          <cell r="A5">
            <v>1</v>
          </cell>
        </row>
      </sheetData>
      <sheetData sheetId="2563">
        <row r="5">
          <cell r="A5">
            <v>1</v>
          </cell>
        </row>
      </sheetData>
      <sheetData sheetId="2564">
        <row r="5">
          <cell r="A5">
            <v>1</v>
          </cell>
        </row>
      </sheetData>
      <sheetData sheetId="2565">
        <row r="1">
          <cell r="A1" t="str">
            <v>ASSET_NUMBER</v>
          </cell>
        </row>
      </sheetData>
      <sheetData sheetId="2566">
        <row r="1">
          <cell r="A1" t="str">
            <v>ASSET_NUMBER</v>
          </cell>
        </row>
      </sheetData>
      <sheetData sheetId="2567">
        <row r="1">
          <cell r="A1" t="str">
            <v>ASSET_NUMBER</v>
          </cell>
        </row>
      </sheetData>
      <sheetData sheetId="2568">
        <row r="5">
          <cell r="A5">
            <v>1</v>
          </cell>
        </row>
      </sheetData>
      <sheetData sheetId="2569">
        <row r="5">
          <cell r="A5">
            <v>1</v>
          </cell>
        </row>
      </sheetData>
      <sheetData sheetId="2570">
        <row r="5">
          <cell r="A5">
            <v>1</v>
          </cell>
        </row>
      </sheetData>
      <sheetData sheetId="2571">
        <row r="5">
          <cell r="A5">
            <v>1</v>
          </cell>
        </row>
      </sheetData>
      <sheetData sheetId="2572">
        <row r="5">
          <cell r="A5">
            <v>1</v>
          </cell>
        </row>
      </sheetData>
      <sheetData sheetId="2573">
        <row r="5">
          <cell r="A5">
            <v>1</v>
          </cell>
        </row>
      </sheetData>
      <sheetData sheetId="2574">
        <row r="1">
          <cell r="A1" t="str">
            <v>ASSET_NUMBER</v>
          </cell>
        </row>
      </sheetData>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ow r="5">
          <cell r="A5">
            <v>1</v>
          </cell>
        </row>
      </sheetData>
      <sheetData sheetId="2636">
        <row r="5">
          <cell r="A5">
            <v>1</v>
          </cell>
        </row>
      </sheetData>
      <sheetData sheetId="2637">
        <row r="5">
          <cell r="A5">
            <v>1</v>
          </cell>
        </row>
      </sheetData>
      <sheetData sheetId="2638">
        <row r="5">
          <cell r="A5">
            <v>1</v>
          </cell>
        </row>
      </sheetData>
      <sheetData sheetId="2639">
        <row r="5">
          <cell r="A5">
            <v>1</v>
          </cell>
        </row>
      </sheetData>
      <sheetData sheetId="2640">
        <row r="1">
          <cell r="A1" t="str">
            <v>ASSET_NUMBER</v>
          </cell>
        </row>
      </sheetData>
      <sheetData sheetId="2641">
        <row r="1">
          <cell r="A1" t="str">
            <v>ASSET_NUMBER</v>
          </cell>
        </row>
      </sheetData>
      <sheetData sheetId="2642" refreshError="1"/>
      <sheetData sheetId="2643">
        <row r="5">
          <cell r="A5">
            <v>1</v>
          </cell>
        </row>
      </sheetData>
      <sheetData sheetId="2644">
        <row r="5">
          <cell r="A5">
            <v>1</v>
          </cell>
        </row>
      </sheetData>
      <sheetData sheetId="2645">
        <row r="5">
          <cell r="A5">
            <v>1</v>
          </cell>
        </row>
      </sheetData>
      <sheetData sheetId="2646">
        <row r="5">
          <cell r="A5">
            <v>1</v>
          </cell>
        </row>
      </sheetData>
      <sheetData sheetId="2647" refreshError="1"/>
      <sheetData sheetId="2648" refreshError="1"/>
      <sheetData sheetId="2649">
        <row r="1">
          <cell r="A1" t="str">
            <v>ASSET_NUMBER</v>
          </cell>
        </row>
      </sheetData>
      <sheetData sheetId="2650">
        <row r="1">
          <cell r="A1" t="str">
            <v>ASSET_NUMBER</v>
          </cell>
        </row>
      </sheetData>
      <sheetData sheetId="2651">
        <row r="5">
          <cell r="A5">
            <v>1</v>
          </cell>
        </row>
      </sheetData>
      <sheetData sheetId="2652">
        <row r="5">
          <cell r="A5">
            <v>1</v>
          </cell>
        </row>
      </sheetData>
      <sheetData sheetId="2653">
        <row r="5">
          <cell r="A5">
            <v>1</v>
          </cell>
        </row>
      </sheetData>
      <sheetData sheetId="2654">
        <row r="5">
          <cell r="A5">
            <v>1</v>
          </cell>
        </row>
      </sheetData>
      <sheetData sheetId="2655">
        <row r="5">
          <cell r="A5">
            <v>1</v>
          </cell>
        </row>
      </sheetData>
      <sheetData sheetId="2656">
        <row r="5">
          <cell r="A5">
            <v>1</v>
          </cell>
        </row>
      </sheetData>
      <sheetData sheetId="2657">
        <row r="1">
          <cell r="A1" t="str">
            <v>ASSET_NUMBER</v>
          </cell>
        </row>
      </sheetData>
      <sheetData sheetId="2658">
        <row r="1">
          <cell r="A1" t="str">
            <v>ASSET_NUMBER</v>
          </cell>
        </row>
      </sheetData>
      <sheetData sheetId="2659">
        <row r="1">
          <cell r="A1" t="str">
            <v>ASSET_NUMBER</v>
          </cell>
        </row>
      </sheetData>
      <sheetData sheetId="2660">
        <row r="5">
          <cell r="A5">
            <v>1</v>
          </cell>
        </row>
      </sheetData>
      <sheetData sheetId="2661">
        <row r="5">
          <cell r="A5">
            <v>1</v>
          </cell>
        </row>
      </sheetData>
      <sheetData sheetId="2662">
        <row r="5">
          <cell r="A5">
            <v>1</v>
          </cell>
        </row>
      </sheetData>
      <sheetData sheetId="2663">
        <row r="5">
          <cell r="A5">
            <v>1</v>
          </cell>
        </row>
      </sheetData>
      <sheetData sheetId="2664">
        <row r="5">
          <cell r="A5">
            <v>1</v>
          </cell>
        </row>
      </sheetData>
      <sheetData sheetId="2665">
        <row r="5">
          <cell r="A5">
            <v>1</v>
          </cell>
        </row>
      </sheetData>
      <sheetData sheetId="2666">
        <row r="1">
          <cell r="A1" t="str">
            <v>ASSET_NUMBER</v>
          </cell>
        </row>
      </sheetData>
      <sheetData sheetId="2667">
        <row r="1">
          <cell r="A1" t="str">
            <v>ASSET_NUMBER</v>
          </cell>
        </row>
      </sheetData>
      <sheetData sheetId="2668">
        <row r="5">
          <cell r="A5">
            <v>1</v>
          </cell>
        </row>
      </sheetData>
      <sheetData sheetId="2669">
        <row r="5">
          <cell r="A5">
            <v>1</v>
          </cell>
        </row>
      </sheetData>
      <sheetData sheetId="2670">
        <row r="5">
          <cell r="A5">
            <v>1</v>
          </cell>
        </row>
      </sheetData>
      <sheetData sheetId="2671">
        <row r="5">
          <cell r="A5">
            <v>1</v>
          </cell>
        </row>
      </sheetData>
      <sheetData sheetId="2672">
        <row r="5">
          <cell r="A5">
            <v>1</v>
          </cell>
        </row>
      </sheetData>
      <sheetData sheetId="2673">
        <row r="5">
          <cell r="A5">
            <v>1</v>
          </cell>
        </row>
      </sheetData>
      <sheetData sheetId="2674">
        <row r="5">
          <cell r="A5">
            <v>1</v>
          </cell>
        </row>
      </sheetData>
      <sheetData sheetId="2675">
        <row r="1">
          <cell r="A1" t="str">
            <v>ASSET_NUMBER</v>
          </cell>
        </row>
      </sheetData>
      <sheetData sheetId="2676">
        <row r="5">
          <cell r="A5">
            <v>1</v>
          </cell>
        </row>
      </sheetData>
      <sheetData sheetId="2677">
        <row r="5">
          <cell r="A5">
            <v>1</v>
          </cell>
        </row>
      </sheetData>
      <sheetData sheetId="2678">
        <row r="5">
          <cell r="A5">
            <v>1</v>
          </cell>
        </row>
      </sheetData>
      <sheetData sheetId="2679">
        <row r="5">
          <cell r="A5">
            <v>1</v>
          </cell>
        </row>
      </sheetData>
      <sheetData sheetId="2680">
        <row r="5">
          <cell r="A5">
            <v>1</v>
          </cell>
        </row>
      </sheetData>
      <sheetData sheetId="2681">
        <row r="5">
          <cell r="A5">
            <v>1</v>
          </cell>
        </row>
      </sheetData>
      <sheetData sheetId="2682">
        <row r="5">
          <cell r="A5">
            <v>1</v>
          </cell>
        </row>
      </sheetData>
      <sheetData sheetId="2683">
        <row r="1">
          <cell r="A1" t="str">
            <v>ASSET_NUMBER</v>
          </cell>
        </row>
      </sheetData>
      <sheetData sheetId="2684">
        <row r="1">
          <cell r="A1" t="str">
            <v>ASSET_NUMBER</v>
          </cell>
        </row>
      </sheetData>
      <sheetData sheetId="2685">
        <row r="5">
          <cell r="A5">
            <v>1</v>
          </cell>
        </row>
      </sheetData>
      <sheetData sheetId="2686">
        <row r="5">
          <cell r="A5">
            <v>1</v>
          </cell>
        </row>
      </sheetData>
      <sheetData sheetId="2687">
        <row r="5">
          <cell r="A5">
            <v>1</v>
          </cell>
        </row>
      </sheetData>
      <sheetData sheetId="2688">
        <row r="5">
          <cell r="A5">
            <v>1</v>
          </cell>
        </row>
      </sheetData>
      <sheetData sheetId="2689">
        <row r="5">
          <cell r="A5">
            <v>1</v>
          </cell>
        </row>
      </sheetData>
      <sheetData sheetId="2690">
        <row r="5">
          <cell r="A5">
            <v>1</v>
          </cell>
        </row>
      </sheetData>
      <sheetData sheetId="2691">
        <row r="1">
          <cell r="A1" t="str">
            <v>ASSET_NUMBER</v>
          </cell>
        </row>
      </sheetData>
      <sheetData sheetId="2692">
        <row r="1">
          <cell r="A1" t="str">
            <v>ASSET_NUMBER</v>
          </cell>
        </row>
      </sheetData>
      <sheetData sheetId="2693">
        <row r="1">
          <cell r="A1" t="str">
            <v>ASSET_NUMBER</v>
          </cell>
        </row>
      </sheetData>
      <sheetData sheetId="2694">
        <row r="5">
          <cell r="A5">
            <v>1</v>
          </cell>
        </row>
      </sheetData>
      <sheetData sheetId="2695">
        <row r="5">
          <cell r="A5">
            <v>1</v>
          </cell>
        </row>
      </sheetData>
      <sheetData sheetId="2696">
        <row r="5">
          <cell r="A5">
            <v>1</v>
          </cell>
        </row>
      </sheetData>
      <sheetData sheetId="2697">
        <row r="5">
          <cell r="A5">
            <v>1</v>
          </cell>
        </row>
      </sheetData>
      <sheetData sheetId="2698">
        <row r="5">
          <cell r="A5">
            <v>1</v>
          </cell>
        </row>
      </sheetData>
      <sheetData sheetId="2699">
        <row r="5">
          <cell r="A5">
            <v>1</v>
          </cell>
        </row>
      </sheetData>
      <sheetData sheetId="2700">
        <row r="1">
          <cell r="A1" t="str">
            <v>ASSET_NUMBER</v>
          </cell>
        </row>
      </sheetData>
      <sheetData sheetId="2701">
        <row r="1">
          <cell r="A1" t="str">
            <v>ASSET_NUMBER</v>
          </cell>
        </row>
      </sheetData>
      <sheetData sheetId="2702" refreshError="1"/>
      <sheetData sheetId="2703">
        <row r="5">
          <cell r="A5">
            <v>1</v>
          </cell>
        </row>
      </sheetData>
      <sheetData sheetId="2704">
        <row r="5">
          <cell r="A5">
            <v>1</v>
          </cell>
        </row>
      </sheetData>
      <sheetData sheetId="2705">
        <row r="5">
          <cell r="A5">
            <v>1</v>
          </cell>
        </row>
      </sheetData>
      <sheetData sheetId="2706">
        <row r="5">
          <cell r="A5">
            <v>1</v>
          </cell>
        </row>
      </sheetData>
      <sheetData sheetId="2707">
        <row r="5">
          <cell r="A5">
            <v>1</v>
          </cell>
        </row>
      </sheetData>
      <sheetData sheetId="2708">
        <row r="5">
          <cell r="A5">
            <v>1</v>
          </cell>
        </row>
      </sheetData>
      <sheetData sheetId="2709">
        <row r="1">
          <cell r="A1" t="str">
            <v>ASSET_NUMBER</v>
          </cell>
        </row>
      </sheetData>
      <sheetData sheetId="2710">
        <row r="1">
          <cell r="A1" t="str">
            <v>ASSET_NUMBER</v>
          </cell>
        </row>
      </sheetData>
      <sheetData sheetId="2711">
        <row r="5">
          <cell r="A5">
            <v>1</v>
          </cell>
        </row>
      </sheetData>
      <sheetData sheetId="2712">
        <row r="5">
          <cell r="A5">
            <v>1</v>
          </cell>
        </row>
      </sheetData>
      <sheetData sheetId="2713" refreshError="1"/>
      <sheetData sheetId="2714" refreshError="1"/>
      <sheetData sheetId="2715" refreshError="1"/>
      <sheetData sheetId="2716">
        <row r="5">
          <cell r="A5">
            <v>1</v>
          </cell>
        </row>
      </sheetData>
      <sheetData sheetId="2717" refreshError="1"/>
      <sheetData sheetId="2718" refreshError="1"/>
      <sheetData sheetId="2719">
        <row r="5">
          <cell r="A5">
            <v>1</v>
          </cell>
        </row>
      </sheetData>
      <sheetData sheetId="2720">
        <row r="5">
          <cell r="A5">
            <v>1</v>
          </cell>
        </row>
      </sheetData>
      <sheetData sheetId="2721" refreshError="1"/>
      <sheetData sheetId="2722" refreshError="1"/>
      <sheetData sheetId="2723">
        <row r="5">
          <cell r="A5">
            <v>1</v>
          </cell>
        </row>
      </sheetData>
      <sheetData sheetId="2724">
        <row r="5">
          <cell r="A5">
            <v>1</v>
          </cell>
        </row>
      </sheetData>
      <sheetData sheetId="2725">
        <row r="5">
          <cell r="A5">
            <v>1</v>
          </cell>
        </row>
      </sheetData>
      <sheetData sheetId="2726">
        <row r="5">
          <cell r="A5">
            <v>1</v>
          </cell>
        </row>
      </sheetData>
      <sheetData sheetId="2727">
        <row r="5">
          <cell r="A5">
            <v>1</v>
          </cell>
        </row>
      </sheetData>
      <sheetData sheetId="2728">
        <row r="5">
          <cell r="A5">
            <v>1</v>
          </cell>
        </row>
      </sheetData>
      <sheetData sheetId="2729">
        <row r="5">
          <cell r="A5">
            <v>1</v>
          </cell>
        </row>
      </sheetData>
      <sheetData sheetId="2730" refreshError="1"/>
      <sheetData sheetId="2731">
        <row r="5">
          <cell r="A5">
            <v>1</v>
          </cell>
        </row>
      </sheetData>
      <sheetData sheetId="2732">
        <row r="5">
          <cell r="A5">
            <v>1</v>
          </cell>
        </row>
      </sheetData>
      <sheetData sheetId="2733" refreshError="1"/>
      <sheetData sheetId="2734" refreshError="1"/>
      <sheetData sheetId="2735">
        <row r="5">
          <cell r="A5">
            <v>1</v>
          </cell>
        </row>
      </sheetData>
      <sheetData sheetId="2736">
        <row r="5">
          <cell r="A5">
            <v>1</v>
          </cell>
        </row>
      </sheetData>
      <sheetData sheetId="2737">
        <row r="5">
          <cell r="A5">
            <v>1</v>
          </cell>
        </row>
      </sheetData>
      <sheetData sheetId="2738">
        <row r="5">
          <cell r="A5">
            <v>1</v>
          </cell>
        </row>
      </sheetData>
      <sheetData sheetId="2739">
        <row r="5">
          <cell r="A5">
            <v>1</v>
          </cell>
        </row>
      </sheetData>
      <sheetData sheetId="2740">
        <row r="5">
          <cell r="A5">
            <v>1</v>
          </cell>
        </row>
      </sheetData>
      <sheetData sheetId="2741">
        <row r="5">
          <cell r="A5">
            <v>1</v>
          </cell>
        </row>
      </sheetData>
      <sheetData sheetId="2742">
        <row r="5">
          <cell r="A5">
            <v>1</v>
          </cell>
        </row>
      </sheetData>
      <sheetData sheetId="2743">
        <row r="5">
          <cell r="A5">
            <v>1</v>
          </cell>
        </row>
      </sheetData>
      <sheetData sheetId="2744">
        <row r="5">
          <cell r="A5">
            <v>1</v>
          </cell>
        </row>
      </sheetData>
      <sheetData sheetId="2745">
        <row r="5">
          <cell r="A5">
            <v>1</v>
          </cell>
        </row>
      </sheetData>
      <sheetData sheetId="2746">
        <row r="5">
          <cell r="A5">
            <v>1</v>
          </cell>
        </row>
      </sheetData>
      <sheetData sheetId="2747" refreshError="1"/>
      <sheetData sheetId="2748">
        <row r="5">
          <cell r="A5">
            <v>1</v>
          </cell>
        </row>
      </sheetData>
      <sheetData sheetId="2749">
        <row r="5">
          <cell r="A5">
            <v>1</v>
          </cell>
        </row>
      </sheetData>
      <sheetData sheetId="2750">
        <row r="5">
          <cell r="A5">
            <v>1</v>
          </cell>
        </row>
      </sheetData>
      <sheetData sheetId="2751">
        <row r="5">
          <cell r="A5">
            <v>1</v>
          </cell>
        </row>
      </sheetData>
      <sheetData sheetId="2752">
        <row r="5">
          <cell r="A5">
            <v>1</v>
          </cell>
        </row>
      </sheetData>
      <sheetData sheetId="2753">
        <row r="5">
          <cell r="A5">
            <v>1</v>
          </cell>
        </row>
      </sheetData>
      <sheetData sheetId="2754">
        <row r="5">
          <cell r="A5">
            <v>1</v>
          </cell>
        </row>
      </sheetData>
      <sheetData sheetId="2755">
        <row r="5">
          <cell r="A5">
            <v>1</v>
          </cell>
        </row>
      </sheetData>
      <sheetData sheetId="2756">
        <row r="5">
          <cell r="A5">
            <v>1</v>
          </cell>
        </row>
      </sheetData>
      <sheetData sheetId="2757">
        <row r="5">
          <cell r="A5">
            <v>1</v>
          </cell>
        </row>
      </sheetData>
      <sheetData sheetId="2758">
        <row r="5">
          <cell r="A5">
            <v>1</v>
          </cell>
        </row>
      </sheetData>
      <sheetData sheetId="2759">
        <row r="5">
          <cell r="A5">
            <v>1</v>
          </cell>
        </row>
      </sheetData>
      <sheetData sheetId="2760">
        <row r="5">
          <cell r="A5">
            <v>1</v>
          </cell>
        </row>
      </sheetData>
      <sheetData sheetId="2761">
        <row r="5">
          <cell r="A5">
            <v>1</v>
          </cell>
        </row>
      </sheetData>
      <sheetData sheetId="2762">
        <row r="5">
          <cell r="A5">
            <v>1</v>
          </cell>
        </row>
      </sheetData>
      <sheetData sheetId="2763">
        <row r="5">
          <cell r="A5">
            <v>1</v>
          </cell>
        </row>
      </sheetData>
      <sheetData sheetId="2764">
        <row r="5">
          <cell r="A5">
            <v>1</v>
          </cell>
        </row>
      </sheetData>
      <sheetData sheetId="2765" refreshError="1"/>
      <sheetData sheetId="2766">
        <row r="5">
          <cell r="A5">
            <v>1</v>
          </cell>
        </row>
      </sheetData>
      <sheetData sheetId="2767">
        <row r="5">
          <cell r="A5">
            <v>1</v>
          </cell>
        </row>
      </sheetData>
      <sheetData sheetId="2768">
        <row r="5">
          <cell r="A5">
            <v>1</v>
          </cell>
        </row>
      </sheetData>
      <sheetData sheetId="2769">
        <row r="5">
          <cell r="A5">
            <v>1</v>
          </cell>
        </row>
      </sheetData>
      <sheetData sheetId="2770">
        <row r="5">
          <cell r="A5">
            <v>1</v>
          </cell>
        </row>
      </sheetData>
      <sheetData sheetId="2771">
        <row r="5">
          <cell r="A5">
            <v>1</v>
          </cell>
        </row>
      </sheetData>
      <sheetData sheetId="2772">
        <row r="5">
          <cell r="A5">
            <v>1</v>
          </cell>
        </row>
      </sheetData>
      <sheetData sheetId="2773">
        <row r="5">
          <cell r="A5">
            <v>1</v>
          </cell>
        </row>
      </sheetData>
      <sheetData sheetId="2774">
        <row r="5">
          <cell r="A5">
            <v>1</v>
          </cell>
        </row>
      </sheetData>
      <sheetData sheetId="2775">
        <row r="5">
          <cell r="A5">
            <v>1</v>
          </cell>
        </row>
      </sheetData>
      <sheetData sheetId="2776">
        <row r="5">
          <cell r="A5">
            <v>1</v>
          </cell>
        </row>
      </sheetData>
      <sheetData sheetId="2777">
        <row r="5">
          <cell r="A5">
            <v>1</v>
          </cell>
        </row>
      </sheetData>
      <sheetData sheetId="2778">
        <row r="5">
          <cell r="A5">
            <v>1</v>
          </cell>
        </row>
      </sheetData>
      <sheetData sheetId="2779">
        <row r="5">
          <cell r="A5">
            <v>1</v>
          </cell>
        </row>
      </sheetData>
      <sheetData sheetId="2780">
        <row r="5">
          <cell r="A5">
            <v>1</v>
          </cell>
        </row>
      </sheetData>
      <sheetData sheetId="2781">
        <row r="5">
          <cell r="A5">
            <v>1</v>
          </cell>
        </row>
      </sheetData>
      <sheetData sheetId="2782">
        <row r="5">
          <cell r="A5">
            <v>1</v>
          </cell>
        </row>
      </sheetData>
      <sheetData sheetId="2783">
        <row r="5">
          <cell r="A5">
            <v>1</v>
          </cell>
        </row>
      </sheetData>
      <sheetData sheetId="2784">
        <row r="5">
          <cell r="A5">
            <v>1</v>
          </cell>
        </row>
      </sheetData>
      <sheetData sheetId="2785">
        <row r="5">
          <cell r="A5">
            <v>1</v>
          </cell>
        </row>
      </sheetData>
      <sheetData sheetId="2786">
        <row r="5">
          <cell r="A5">
            <v>1</v>
          </cell>
        </row>
      </sheetData>
      <sheetData sheetId="2787">
        <row r="5">
          <cell r="A5">
            <v>1</v>
          </cell>
        </row>
      </sheetData>
      <sheetData sheetId="2788">
        <row r="5">
          <cell r="A5">
            <v>1</v>
          </cell>
        </row>
      </sheetData>
      <sheetData sheetId="2789">
        <row r="5">
          <cell r="A5">
            <v>1</v>
          </cell>
        </row>
      </sheetData>
      <sheetData sheetId="2790">
        <row r="5">
          <cell r="A5">
            <v>1</v>
          </cell>
        </row>
      </sheetData>
      <sheetData sheetId="2791">
        <row r="5">
          <cell r="A5">
            <v>1</v>
          </cell>
        </row>
      </sheetData>
      <sheetData sheetId="2792">
        <row r="5">
          <cell r="A5">
            <v>1</v>
          </cell>
        </row>
      </sheetData>
      <sheetData sheetId="2793">
        <row r="5">
          <cell r="A5">
            <v>1</v>
          </cell>
        </row>
      </sheetData>
      <sheetData sheetId="2794">
        <row r="5">
          <cell r="A5">
            <v>1</v>
          </cell>
        </row>
      </sheetData>
      <sheetData sheetId="2795">
        <row r="5">
          <cell r="A5">
            <v>1</v>
          </cell>
        </row>
      </sheetData>
      <sheetData sheetId="2796">
        <row r="5">
          <cell r="A5">
            <v>1</v>
          </cell>
        </row>
      </sheetData>
      <sheetData sheetId="2797">
        <row r="5">
          <cell r="A5">
            <v>1</v>
          </cell>
        </row>
      </sheetData>
      <sheetData sheetId="2798">
        <row r="5">
          <cell r="A5">
            <v>1</v>
          </cell>
        </row>
      </sheetData>
      <sheetData sheetId="2799">
        <row r="5">
          <cell r="A5">
            <v>1</v>
          </cell>
        </row>
      </sheetData>
      <sheetData sheetId="2800">
        <row r="5">
          <cell r="A5">
            <v>1</v>
          </cell>
        </row>
      </sheetData>
      <sheetData sheetId="2801">
        <row r="5">
          <cell r="A5">
            <v>1</v>
          </cell>
        </row>
      </sheetData>
      <sheetData sheetId="2802">
        <row r="5">
          <cell r="A5">
            <v>1</v>
          </cell>
        </row>
      </sheetData>
      <sheetData sheetId="2803">
        <row r="5">
          <cell r="A5">
            <v>1</v>
          </cell>
        </row>
      </sheetData>
      <sheetData sheetId="2804">
        <row r="5">
          <cell r="A5">
            <v>1</v>
          </cell>
        </row>
      </sheetData>
      <sheetData sheetId="2805">
        <row r="5">
          <cell r="A5">
            <v>1</v>
          </cell>
        </row>
      </sheetData>
      <sheetData sheetId="2806">
        <row r="5">
          <cell r="A5">
            <v>1</v>
          </cell>
        </row>
      </sheetData>
      <sheetData sheetId="2807">
        <row r="5">
          <cell r="A5">
            <v>1</v>
          </cell>
        </row>
      </sheetData>
      <sheetData sheetId="2808">
        <row r="5">
          <cell r="A5">
            <v>1</v>
          </cell>
        </row>
      </sheetData>
      <sheetData sheetId="2809">
        <row r="5">
          <cell r="A5">
            <v>1</v>
          </cell>
        </row>
      </sheetData>
      <sheetData sheetId="2810">
        <row r="5">
          <cell r="A5">
            <v>1</v>
          </cell>
        </row>
      </sheetData>
      <sheetData sheetId="2811">
        <row r="5">
          <cell r="A5">
            <v>1</v>
          </cell>
        </row>
      </sheetData>
      <sheetData sheetId="2812">
        <row r="5">
          <cell r="A5">
            <v>1</v>
          </cell>
        </row>
      </sheetData>
      <sheetData sheetId="2813">
        <row r="5">
          <cell r="A5">
            <v>1</v>
          </cell>
        </row>
      </sheetData>
      <sheetData sheetId="2814">
        <row r="5">
          <cell r="A5">
            <v>1</v>
          </cell>
        </row>
      </sheetData>
      <sheetData sheetId="2815">
        <row r="5">
          <cell r="A5">
            <v>1</v>
          </cell>
        </row>
      </sheetData>
      <sheetData sheetId="2816">
        <row r="5">
          <cell r="A5">
            <v>1</v>
          </cell>
        </row>
      </sheetData>
      <sheetData sheetId="2817">
        <row r="5">
          <cell r="A5">
            <v>1</v>
          </cell>
        </row>
      </sheetData>
      <sheetData sheetId="2818">
        <row r="5">
          <cell r="A5">
            <v>1</v>
          </cell>
        </row>
      </sheetData>
      <sheetData sheetId="2819">
        <row r="5">
          <cell r="A5">
            <v>1</v>
          </cell>
        </row>
      </sheetData>
      <sheetData sheetId="2820">
        <row r="5">
          <cell r="A5">
            <v>1</v>
          </cell>
        </row>
      </sheetData>
      <sheetData sheetId="2821">
        <row r="5">
          <cell r="A5">
            <v>1</v>
          </cell>
        </row>
      </sheetData>
      <sheetData sheetId="2822">
        <row r="5">
          <cell r="A5">
            <v>1</v>
          </cell>
        </row>
      </sheetData>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ow r="5">
          <cell r="A5">
            <v>1</v>
          </cell>
        </row>
      </sheetData>
      <sheetData sheetId="2836">
        <row r="5">
          <cell r="A5">
            <v>1</v>
          </cell>
        </row>
      </sheetData>
      <sheetData sheetId="2837">
        <row r="5">
          <cell r="A5">
            <v>1</v>
          </cell>
        </row>
      </sheetData>
      <sheetData sheetId="2838">
        <row r="5">
          <cell r="A5">
            <v>1</v>
          </cell>
        </row>
      </sheetData>
      <sheetData sheetId="2839">
        <row r="5">
          <cell r="A5">
            <v>1</v>
          </cell>
        </row>
      </sheetData>
      <sheetData sheetId="2840">
        <row r="5">
          <cell r="A5">
            <v>1</v>
          </cell>
        </row>
      </sheetData>
      <sheetData sheetId="2841">
        <row r="5">
          <cell r="A5">
            <v>1</v>
          </cell>
        </row>
      </sheetData>
      <sheetData sheetId="2842">
        <row r="5">
          <cell r="A5">
            <v>1</v>
          </cell>
        </row>
      </sheetData>
      <sheetData sheetId="2843">
        <row r="5">
          <cell r="A5">
            <v>1</v>
          </cell>
        </row>
      </sheetData>
      <sheetData sheetId="2844">
        <row r="5">
          <cell r="A5">
            <v>1</v>
          </cell>
        </row>
      </sheetData>
      <sheetData sheetId="2845">
        <row r="5">
          <cell r="A5">
            <v>1</v>
          </cell>
        </row>
      </sheetData>
      <sheetData sheetId="2846">
        <row r="5">
          <cell r="A5">
            <v>1</v>
          </cell>
        </row>
      </sheetData>
      <sheetData sheetId="2847">
        <row r="5">
          <cell r="A5">
            <v>1</v>
          </cell>
        </row>
      </sheetData>
      <sheetData sheetId="2848">
        <row r="5">
          <cell r="A5">
            <v>1</v>
          </cell>
        </row>
      </sheetData>
      <sheetData sheetId="2849">
        <row r="5">
          <cell r="A5">
            <v>1</v>
          </cell>
        </row>
      </sheetData>
      <sheetData sheetId="2850">
        <row r="5">
          <cell r="A5">
            <v>1</v>
          </cell>
        </row>
      </sheetData>
      <sheetData sheetId="2851">
        <row r="5">
          <cell r="A5">
            <v>1</v>
          </cell>
        </row>
      </sheetData>
      <sheetData sheetId="2852">
        <row r="5">
          <cell r="A5">
            <v>1</v>
          </cell>
        </row>
      </sheetData>
      <sheetData sheetId="2853">
        <row r="5">
          <cell r="A5">
            <v>1</v>
          </cell>
        </row>
      </sheetData>
      <sheetData sheetId="2854" refreshError="1"/>
      <sheetData sheetId="2855" refreshError="1"/>
      <sheetData sheetId="2856" refreshError="1"/>
      <sheetData sheetId="2857" refreshError="1"/>
      <sheetData sheetId="2858">
        <row r="5">
          <cell r="A5">
            <v>1</v>
          </cell>
        </row>
      </sheetData>
      <sheetData sheetId="2859">
        <row r="5">
          <cell r="A5">
            <v>1</v>
          </cell>
        </row>
      </sheetData>
      <sheetData sheetId="2860">
        <row r="5">
          <cell r="A5">
            <v>1</v>
          </cell>
        </row>
      </sheetData>
      <sheetData sheetId="2861">
        <row r="5">
          <cell r="A5">
            <v>1</v>
          </cell>
        </row>
      </sheetData>
      <sheetData sheetId="2862">
        <row r="5">
          <cell r="A5">
            <v>1</v>
          </cell>
        </row>
      </sheetData>
      <sheetData sheetId="2863">
        <row r="5">
          <cell r="A5">
            <v>1</v>
          </cell>
        </row>
      </sheetData>
      <sheetData sheetId="2864">
        <row r="5">
          <cell r="A5">
            <v>1</v>
          </cell>
        </row>
      </sheetData>
      <sheetData sheetId="2865">
        <row r="5">
          <cell r="A5">
            <v>1</v>
          </cell>
        </row>
      </sheetData>
      <sheetData sheetId="2866">
        <row r="5">
          <cell r="A5">
            <v>1</v>
          </cell>
        </row>
      </sheetData>
      <sheetData sheetId="2867">
        <row r="5">
          <cell r="A5">
            <v>1</v>
          </cell>
        </row>
      </sheetData>
      <sheetData sheetId="2868">
        <row r="5">
          <cell r="A5">
            <v>1</v>
          </cell>
        </row>
      </sheetData>
      <sheetData sheetId="2869">
        <row r="5">
          <cell r="A5">
            <v>1</v>
          </cell>
        </row>
      </sheetData>
      <sheetData sheetId="2870">
        <row r="5">
          <cell r="A5">
            <v>1</v>
          </cell>
        </row>
      </sheetData>
      <sheetData sheetId="2871">
        <row r="5">
          <cell r="A5">
            <v>1</v>
          </cell>
        </row>
      </sheetData>
      <sheetData sheetId="2872">
        <row r="5">
          <cell r="A5">
            <v>1</v>
          </cell>
        </row>
      </sheetData>
      <sheetData sheetId="2873">
        <row r="5">
          <cell r="A5">
            <v>1</v>
          </cell>
        </row>
      </sheetData>
      <sheetData sheetId="2874">
        <row r="5">
          <cell r="A5">
            <v>1</v>
          </cell>
        </row>
      </sheetData>
      <sheetData sheetId="2875">
        <row r="5">
          <cell r="A5">
            <v>1</v>
          </cell>
        </row>
      </sheetData>
      <sheetData sheetId="2876">
        <row r="5">
          <cell r="A5">
            <v>1</v>
          </cell>
        </row>
      </sheetData>
      <sheetData sheetId="2877">
        <row r="5">
          <cell r="A5">
            <v>1</v>
          </cell>
        </row>
      </sheetData>
      <sheetData sheetId="2878">
        <row r="5">
          <cell r="A5">
            <v>1</v>
          </cell>
        </row>
      </sheetData>
      <sheetData sheetId="2879">
        <row r="5">
          <cell r="A5">
            <v>1</v>
          </cell>
        </row>
      </sheetData>
      <sheetData sheetId="2880">
        <row r="5">
          <cell r="A5">
            <v>1</v>
          </cell>
        </row>
      </sheetData>
      <sheetData sheetId="2881">
        <row r="5">
          <cell r="A5">
            <v>1</v>
          </cell>
        </row>
      </sheetData>
      <sheetData sheetId="2882">
        <row r="5">
          <cell r="A5">
            <v>1</v>
          </cell>
        </row>
      </sheetData>
      <sheetData sheetId="2883">
        <row r="5">
          <cell r="A5">
            <v>1</v>
          </cell>
        </row>
      </sheetData>
      <sheetData sheetId="2884">
        <row r="5">
          <cell r="A5">
            <v>1</v>
          </cell>
        </row>
      </sheetData>
      <sheetData sheetId="2885">
        <row r="5">
          <cell r="A5">
            <v>1</v>
          </cell>
        </row>
      </sheetData>
      <sheetData sheetId="2886">
        <row r="5">
          <cell r="A5">
            <v>1</v>
          </cell>
        </row>
      </sheetData>
      <sheetData sheetId="2887">
        <row r="5">
          <cell r="A5">
            <v>1</v>
          </cell>
        </row>
      </sheetData>
      <sheetData sheetId="2888">
        <row r="5">
          <cell r="A5">
            <v>1</v>
          </cell>
        </row>
      </sheetData>
      <sheetData sheetId="2889">
        <row r="5">
          <cell r="A5">
            <v>1</v>
          </cell>
        </row>
      </sheetData>
      <sheetData sheetId="2890">
        <row r="5">
          <cell r="A5">
            <v>1</v>
          </cell>
        </row>
      </sheetData>
      <sheetData sheetId="2891">
        <row r="5">
          <cell r="A5">
            <v>1</v>
          </cell>
        </row>
      </sheetData>
      <sheetData sheetId="2892">
        <row r="5">
          <cell r="A5">
            <v>1</v>
          </cell>
        </row>
      </sheetData>
      <sheetData sheetId="2893">
        <row r="5">
          <cell r="A5">
            <v>1</v>
          </cell>
        </row>
      </sheetData>
      <sheetData sheetId="2894">
        <row r="5">
          <cell r="A5">
            <v>1</v>
          </cell>
        </row>
      </sheetData>
      <sheetData sheetId="2895">
        <row r="5">
          <cell r="A5">
            <v>1</v>
          </cell>
        </row>
      </sheetData>
      <sheetData sheetId="2896">
        <row r="5">
          <cell r="A5">
            <v>1</v>
          </cell>
        </row>
      </sheetData>
      <sheetData sheetId="2897">
        <row r="5">
          <cell r="A5">
            <v>1</v>
          </cell>
        </row>
      </sheetData>
      <sheetData sheetId="2898">
        <row r="5">
          <cell r="A5">
            <v>1</v>
          </cell>
        </row>
      </sheetData>
      <sheetData sheetId="2899">
        <row r="5">
          <cell r="A5">
            <v>1</v>
          </cell>
        </row>
      </sheetData>
      <sheetData sheetId="2900">
        <row r="5">
          <cell r="A5">
            <v>1</v>
          </cell>
        </row>
      </sheetData>
      <sheetData sheetId="2901">
        <row r="5">
          <cell r="A5">
            <v>1</v>
          </cell>
        </row>
      </sheetData>
      <sheetData sheetId="2902">
        <row r="5">
          <cell r="A5">
            <v>1</v>
          </cell>
        </row>
      </sheetData>
      <sheetData sheetId="2903">
        <row r="5">
          <cell r="A5">
            <v>1</v>
          </cell>
        </row>
      </sheetData>
      <sheetData sheetId="2904">
        <row r="5">
          <cell r="A5">
            <v>1</v>
          </cell>
        </row>
      </sheetData>
      <sheetData sheetId="2905">
        <row r="5">
          <cell r="A5">
            <v>1</v>
          </cell>
        </row>
      </sheetData>
      <sheetData sheetId="2906">
        <row r="5">
          <cell r="A5">
            <v>1</v>
          </cell>
        </row>
      </sheetData>
      <sheetData sheetId="2907">
        <row r="5">
          <cell r="A5">
            <v>1</v>
          </cell>
        </row>
      </sheetData>
      <sheetData sheetId="2908">
        <row r="5">
          <cell r="A5">
            <v>1</v>
          </cell>
        </row>
      </sheetData>
      <sheetData sheetId="2909">
        <row r="5">
          <cell r="A5">
            <v>1</v>
          </cell>
        </row>
      </sheetData>
      <sheetData sheetId="2910">
        <row r="5">
          <cell r="A5">
            <v>1</v>
          </cell>
        </row>
      </sheetData>
      <sheetData sheetId="2911">
        <row r="5">
          <cell r="A5">
            <v>1</v>
          </cell>
        </row>
      </sheetData>
      <sheetData sheetId="2912">
        <row r="5">
          <cell r="A5">
            <v>1</v>
          </cell>
        </row>
      </sheetData>
      <sheetData sheetId="2913">
        <row r="5">
          <cell r="A5">
            <v>1</v>
          </cell>
        </row>
      </sheetData>
      <sheetData sheetId="2914" refreshError="1"/>
      <sheetData sheetId="2915">
        <row r="5">
          <cell r="A5">
            <v>1</v>
          </cell>
        </row>
      </sheetData>
      <sheetData sheetId="2916">
        <row r="5">
          <cell r="A5">
            <v>1</v>
          </cell>
        </row>
      </sheetData>
      <sheetData sheetId="2917">
        <row r="5">
          <cell r="A5">
            <v>1</v>
          </cell>
        </row>
      </sheetData>
      <sheetData sheetId="2918">
        <row r="5">
          <cell r="A5">
            <v>1</v>
          </cell>
        </row>
      </sheetData>
      <sheetData sheetId="2919">
        <row r="5">
          <cell r="A5">
            <v>1</v>
          </cell>
        </row>
      </sheetData>
      <sheetData sheetId="2920">
        <row r="5">
          <cell r="A5">
            <v>1</v>
          </cell>
        </row>
      </sheetData>
      <sheetData sheetId="2921">
        <row r="5">
          <cell r="A5">
            <v>1</v>
          </cell>
        </row>
      </sheetData>
      <sheetData sheetId="2922">
        <row r="5">
          <cell r="A5">
            <v>1</v>
          </cell>
        </row>
      </sheetData>
      <sheetData sheetId="2923">
        <row r="5">
          <cell r="A5">
            <v>1</v>
          </cell>
        </row>
      </sheetData>
      <sheetData sheetId="2924">
        <row r="5">
          <cell r="A5">
            <v>1</v>
          </cell>
        </row>
      </sheetData>
      <sheetData sheetId="2925">
        <row r="5">
          <cell r="A5">
            <v>1</v>
          </cell>
        </row>
      </sheetData>
      <sheetData sheetId="2926">
        <row r="5">
          <cell r="A5">
            <v>1</v>
          </cell>
        </row>
      </sheetData>
      <sheetData sheetId="2927">
        <row r="5">
          <cell r="A5">
            <v>1</v>
          </cell>
        </row>
      </sheetData>
      <sheetData sheetId="2928">
        <row r="5">
          <cell r="A5">
            <v>1</v>
          </cell>
        </row>
      </sheetData>
      <sheetData sheetId="2929">
        <row r="5">
          <cell r="A5">
            <v>1</v>
          </cell>
        </row>
      </sheetData>
      <sheetData sheetId="2930">
        <row r="5">
          <cell r="A5">
            <v>1</v>
          </cell>
        </row>
      </sheetData>
      <sheetData sheetId="2931">
        <row r="5">
          <cell r="A5">
            <v>1</v>
          </cell>
        </row>
      </sheetData>
      <sheetData sheetId="2932">
        <row r="5">
          <cell r="A5">
            <v>1</v>
          </cell>
        </row>
      </sheetData>
      <sheetData sheetId="2933">
        <row r="5">
          <cell r="A5">
            <v>1</v>
          </cell>
        </row>
      </sheetData>
      <sheetData sheetId="2934">
        <row r="5">
          <cell r="A5">
            <v>1</v>
          </cell>
        </row>
      </sheetData>
      <sheetData sheetId="2935">
        <row r="5">
          <cell r="A5">
            <v>1</v>
          </cell>
        </row>
      </sheetData>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ow r="5">
          <cell r="A5">
            <v>1</v>
          </cell>
        </row>
      </sheetData>
      <sheetData sheetId="2947">
        <row r="5">
          <cell r="A5">
            <v>1</v>
          </cell>
        </row>
      </sheetData>
      <sheetData sheetId="2948">
        <row r="5">
          <cell r="A5">
            <v>1</v>
          </cell>
        </row>
      </sheetData>
      <sheetData sheetId="2949"/>
      <sheetData sheetId="2950">
        <row r="5">
          <cell r="A5">
            <v>1</v>
          </cell>
        </row>
      </sheetData>
      <sheetData sheetId="2951">
        <row r="5">
          <cell r="A5">
            <v>1</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ow r="5">
          <cell r="A5">
            <v>1</v>
          </cell>
        </row>
      </sheetData>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ow r="5">
          <cell r="A5">
            <v>1</v>
          </cell>
        </row>
      </sheetData>
      <sheetData sheetId="2978"/>
      <sheetData sheetId="2979"/>
      <sheetData sheetId="2980"/>
      <sheetData sheetId="2981"/>
      <sheetData sheetId="2982"/>
      <sheetData sheetId="2983"/>
      <sheetData sheetId="2984"/>
      <sheetData sheetId="2985">
        <row r="5">
          <cell r="A5">
            <v>1</v>
          </cell>
        </row>
      </sheetData>
      <sheetData sheetId="2986" refreshError="1"/>
      <sheetData sheetId="2987" refreshError="1"/>
      <sheetData sheetId="2988" refreshError="1"/>
      <sheetData sheetId="2989" refreshError="1"/>
      <sheetData sheetId="2990" refreshError="1"/>
      <sheetData sheetId="2991" refreshError="1"/>
      <sheetData sheetId="2992" refreshError="1"/>
      <sheetData sheetId="2993"/>
      <sheetData sheetId="2994">
        <row r="5">
          <cell r="A5">
            <v>1</v>
          </cell>
        </row>
      </sheetData>
      <sheetData sheetId="2995"/>
      <sheetData sheetId="2996"/>
      <sheetData sheetId="2997"/>
      <sheetData sheetId="2998" refreshError="1"/>
      <sheetData sheetId="2999"/>
      <sheetData sheetId="3000" refreshError="1"/>
      <sheetData sheetId="3001" refreshError="1"/>
      <sheetData sheetId="3002"/>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5">
          <cell r="A5">
            <v>1</v>
          </cell>
        </row>
      </sheetData>
      <sheetData sheetId="3038" refreshError="1"/>
      <sheetData sheetId="3039">
        <row r="5">
          <cell r="A5">
            <v>1</v>
          </cell>
        </row>
      </sheetData>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ow r="5">
          <cell r="A5">
            <v>1</v>
          </cell>
        </row>
      </sheetData>
      <sheetData sheetId="3059">
        <row r="5">
          <cell r="A5">
            <v>1</v>
          </cell>
        </row>
      </sheetData>
      <sheetData sheetId="3060">
        <row r="5">
          <cell r="A5">
            <v>1</v>
          </cell>
        </row>
      </sheetData>
      <sheetData sheetId="3061">
        <row r="5">
          <cell r="A5">
            <v>1</v>
          </cell>
        </row>
      </sheetData>
      <sheetData sheetId="3062">
        <row r="5">
          <cell r="A5">
            <v>1</v>
          </cell>
        </row>
      </sheetData>
      <sheetData sheetId="3063">
        <row r="5">
          <cell r="A5">
            <v>1</v>
          </cell>
        </row>
      </sheetData>
      <sheetData sheetId="3064">
        <row r="5">
          <cell r="A5">
            <v>1</v>
          </cell>
        </row>
      </sheetData>
      <sheetData sheetId="3065">
        <row r="5">
          <cell r="A5">
            <v>1</v>
          </cell>
        </row>
      </sheetData>
      <sheetData sheetId="3066">
        <row r="5">
          <cell r="A5">
            <v>1</v>
          </cell>
        </row>
      </sheetData>
      <sheetData sheetId="3067">
        <row r="5">
          <cell r="A5">
            <v>1</v>
          </cell>
        </row>
      </sheetData>
      <sheetData sheetId="3068">
        <row r="5">
          <cell r="A5">
            <v>1</v>
          </cell>
        </row>
      </sheetData>
      <sheetData sheetId="3069">
        <row r="5">
          <cell r="A5">
            <v>1</v>
          </cell>
        </row>
      </sheetData>
      <sheetData sheetId="3070">
        <row r="5">
          <cell r="A5">
            <v>1</v>
          </cell>
        </row>
      </sheetData>
      <sheetData sheetId="3071">
        <row r="5">
          <cell r="A5">
            <v>1</v>
          </cell>
        </row>
      </sheetData>
      <sheetData sheetId="3072">
        <row r="2">
          <cell r="A2" t="str">
            <v>ANND NISHIKAWA CO. LTD LALRU UNIT - II</v>
          </cell>
        </row>
      </sheetData>
      <sheetData sheetId="3073">
        <row r="5">
          <cell r="A5">
            <v>1</v>
          </cell>
        </row>
      </sheetData>
      <sheetData sheetId="3074">
        <row r="5">
          <cell r="A5">
            <v>1</v>
          </cell>
        </row>
      </sheetData>
      <sheetData sheetId="3075">
        <row r="5">
          <cell r="A5">
            <v>1</v>
          </cell>
        </row>
      </sheetData>
      <sheetData sheetId="3076">
        <row r="5">
          <cell r="A5">
            <v>1</v>
          </cell>
        </row>
      </sheetData>
      <sheetData sheetId="3077">
        <row r="5">
          <cell r="A5">
            <v>1</v>
          </cell>
        </row>
      </sheetData>
      <sheetData sheetId="3078">
        <row r="5">
          <cell r="A5">
            <v>1</v>
          </cell>
        </row>
      </sheetData>
      <sheetData sheetId="3079">
        <row r="5">
          <cell r="A5">
            <v>1</v>
          </cell>
        </row>
      </sheetData>
      <sheetData sheetId="3080">
        <row r="5">
          <cell r="A5">
            <v>1</v>
          </cell>
        </row>
      </sheetData>
      <sheetData sheetId="3081">
        <row r="5">
          <cell r="A5">
            <v>1</v>
          </cell>
        </row>
      </sheetData>
      <sheetData sheetId="3082">
        <row r="5">
          <cell r="A5">
            <v>1</v>
          </cell>
        </row>
      </sheetData>
      <sheetData sheetId="3083">
        <row r="5">
          <cell r="A5">
            <v>1</v>
          </cell>
        </row>
      </sheetData>
      <sheetData sheetId="3084">
        <row r="5">
          <cell r="A5">
            <v>1</v>
          </cell>
        </row>
      </sheetData>
      <sheetData sheetId="3085">
        <row r="5">
          <cell r="A5">
            <v>1</v>
          </cell>
        </row>
      </sheetData>
      <sheetData sheetId="3086">
        <row r="5">
          <cell r="A5">
            <v>1</v>
          </cell>
        </row>
      </sheetData>
      <sheetData sheetId="3087">
        <row r="5">
          <cell r="A5">
            <v>1</v>
          </cell>
        </row>
      </sheetData>
      <sheetData sheetId="3088">
        <row r="5">
          <cell r="A5">
            <v>1</v>
          </cell>
        </row>
      </sheetData>
      <sheetData sheetId="3089" refreshError="1"/>
      <sheetData sheetId="3090" refreshError="1"/>
      <sheetData sheetId="3091" refreshError="1"/>
      <sheetData sheetId="3092" refreshError="1"/>
      <sheetData sheetId="3093" refreshError="1"/>
      <sheetData sheetId="3094" refreshError="1"/>
      <sheetData sheetId="3095">
        <row r="5">
          <cell r="A5">
            <v>1</v>
          </cell>
        </row>
      </sheetData>
      <sheetData sheetId="3096" refreshError="1"/>
      <sheetData sheetId="3097" refreshError="1"/>
      <sheetData sheetId="3098">
        <row r="5">
          <cell r="A5">
            <v>1</v>
          </cell>
        </row>
      </sheetData>
      <sheetData sheetId="3099">
        <row r="5">
          <cell r="A5">
            <v>1</v>
          </cell>
        </row>
      </sheetData>
      <sheetData sheetId="3100" refreshError="1"/>
      <sheetData sheetId="3101" refreshError="1"/>
      <sheetData sheetId="3102">
        <row r="5">
          <cell r="A5">
            <v>1</v>
          </cell>
        </row>
      </sheetData>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sheetData sheetId="3135"/>
      <sheetData sheetId="3136"/>
      <sheetData sheetId="3137"/>
      <sheetData sheetId="3138"/>
      <sheetData sheetId="3139"/>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sheetData sheetId="3158" refreshError="1"/>
      <sheetData sheetId="3159" refreshError="1"/>
      <sheetData sheetId="3160">
        <row r="28">
          <cell r="M28">
            <v>25518769.103220712</v>
          </cell>
        </row>
      </sheetData>
      <sheetData sheetId="3161" refreshError="1"/>
      <sheetData sheetId="3162" refreshError="1"/>
      <sheetData sheetId="3163" refreshError="1"/>
      <sheetData sheetId="3164"/>
      <sheetData sheetId="3165"/>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ow r="28">
          <cell r="M28">
            <v>25518769.103220712</v>
          </cell>
        </row>
      </sheetData>
      <sheetData sheetId="3189"/>
      <sheetData sheetId="3190"/>
      <sheetData sheetId="3191"/>
      <sheetData sheetId="3192"/>
      <sheetData sheetId="3193" refreshError="1"/>
      <sheetData sheetId="3194">
        <row r="28">
          <cell r="M28">
            <v>25518769.103220712</v>
          </cell>
        </row>
      </sheetData>
      <sheetData sheetId="3195"/>
      <sheetData sheetId="3196">
        <row r="28">
          <cell r="M28">
            <v>25518769.103220712</v>
          </cell>
        </row>
      </sheetData>
      <sheetData sheetId="3197">
        <row r="28">
          <cell r="M28">
            <v>25518769.103220712</v>
          </cell>
        </row>
      </sheetData>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refreshError="1"/>
      <sheetData sheetId="3423"/>
      <sheetData sheetId="3424"/>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sheetData sheetId="3459" refreshError="1"/>
      <sheetData sheetId="3460"/>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ow r="2">
          <cell r="A2" t="str">
            <v>A101001</v>
          </cell>
        </row>
      </sheetData>
      <sheetData sheetId="3968">
        <row r="2">
          <cell r="A2" t="str">
            <v>A101001</v>
          </cell>
        </row>
      </sheetData>
      <sheetData sheetId="3969">
        <row r="1">
          <cell r="E1">
            <v>3.7037037037037035E-2</v>
          </cell>
        </row>
      </sheetData>
      <sheetData sheetId="3970">
        <row r="2">
          <cell r="A2" t="str">
            <v>A101001</v>
          </cell>
        </row>
      </sheetData>
      <sheetData sheetId="3971">
        <row r="2">
          <cell r="A2" t="str">
            <v>A101001</v>
          </cell>
        </row>
      </sheetData>
      <sheetData sheetId="3972"/>
      <sheetData sheetId="3973"/>
      <sheetData sheetId="3974">
        <row r="2">
          <cell r="A2" t="str">
            <v>A101001</v>
          </cell>
        </row>
      </sheetData>
      <sheetData sheetId="3975">
        <row r="1">
          <cell r="A1" t="str">
            <v>Customer Name</v>
          </cell>
        </row>
      </sheetData>
      <sheetData sheetId="3976">
        <row r="1">
          <cell r="B1" t="str">
            <v>Q101A</v>
          </cell>
        </row>
      </sheetData>
      <sheetData sheetId="3977">
        <row r="2">
          <cell r="A2" t="str">
            <v>A101001</v>
          </cell>
        </row>
      </sheetData>
      <sheetData sheetId="3978">
        <row r="1">
          <cell r="E1">
            <v>3.7037037037037035E-2</v>
          </cell>
        </row>
      </sheetData>
      <sheetData sheetId="3979">
        <row r="2">
          <cell r="A2" t="str">
            <v>A101001</v>
          </cell>
        </row>
      </sheetData>
      <sheetData sheetId="3980">
        <row r="2">
          <cell r="A2" t="str">
            <v>A101001</v>
          </cell>
        </row>
      </sheetData>
      <sheetData sheetId="3981"/>
      <sheetData sheetId="3982"/>
      <sheetData sheetId="3983">
        <row r="2">
          <cell r="A2" t="str">
            <v>A101001</v>
          </cell>
        </row>
      </sheetData>
      <sheetData sheetId="3984">
        <row r="1">
          <cell r="A1" t="str">
            <v>Customer Name</v>
          </cell>
        </row>
      </sheetData>
      <sheetData sheetId="3985">
        <row r="2">
          <cell r="A2" t="str">
            <v>A101001</v>
          </cell>
        </row>
      </sheetData>
      <sheetData sheetId="3986">
        <row r="2">
          <cell r="A2" t="str">
            <v>A101001</v>
          </cell>
        </row>
      </sheetData>
      <sheetData sheetId="3987">
        <row r="1">
          <cell r="E1">
            <v>3.7037037037037035E-2</v>
          </cell>
        </row>
      </sheetData>
      <sheetData sheetId="3988">
        <row r="2">
          <cell r="A2" t="str">
            <v>A101001</v>
          </cell>
        </row>
      </sheetData>
      <sheetData sheetId="3989">
        <row r="2">
          <cell r="A2" t="str">
            <v>A101001</v>
          </cell>
        </row>
      </sheetData>
      <sheetData sheetId="3990"/>
      <sheetData sheetId="3991"/>
      <sheetData sheetId="3992">
        <row r="2">
          <cell r="A2" t="str">
            <v>A101001</v>
          </cell>
        </row>
      </sheetData>
      <sheetData sheetId="3993">
        <row r="1">
          <cell r="A1" t="str">
            <v>Customer Name</v>
          </cell>
        </row>
      </sheetData>
      <sheetData sheetId="3994">
        <row r="2">
          <cell r="A2" t="str">
            <v>A101001</v>
          </cell>
        </row>
      </sheetData>
      <sheetData sheetId="3995">
        <row r="6">
          <cell r="I6" t="str">
            <v>2011</v>
          </cell>
        </row>
      </sheetData>
      <sheetData sheetId="3996"/>
      <sheetData sheetId="3997">
        <row r="2">
          <cell r="A2" t="str">
            <v>A101001</v>
          </cell>
        </row>
      </sheetData>
      <sheetData sheetId="3998">
        <row r="6">
          <cell r="I6" t="str">
            <v>2011</v>
          </cell>
        </row>
      </sheetData>
      <sheetData sheetId="3999"/>
      <sheetData sheetId="4000" refreshError="1"/>
      <sheetData sheetId="4001" refreshError="1"/>
      <sheetData sheetId="4002">
        <row r="8">
          <cell r="B8" t="str">
            <v>DPE002</v>
          </cell>
        </row>
      </sheetData>
      <sheetData sheetId="4003" refreshError="1"/>
      <sheetData sheetId="4004"/>
      <sheetData sheetId="4005"/>
      <sheetData sheetId="4006"/>
      <sheetData sheetId="4007" refreshError="1"/>
      <sheetData sheetId="4008" refreshError="1"/>
      <sheetData sheetId="4009">
        <row r="2">
          <cell r="B2" t="str">
            <v>NTN NEI Manufacturing India Pvt Ltd.</v>
          </cell>
        </row>
      </sheetData>
      <sheetData sheetId="4010">
        <row r="8">
          <cell r="C8" t="str">
            <v>CONTRACT</v>
          </cell>
        </row>
      </sheetData>
      <sheetData sheetId="4011">
        <row r="2">
          <cell r="H2" t="str">
            <v>India Countrywide</v>
          </cell>
        </row>
      </sheetData>
      <sheetData sheetId="4012">
        <row r="1">
          <cell r="E1">
            <v>3.7037037037037035E-2</v>
          </cell>
        </row>
      </sheetData>
      <sheetData sheetId="4013">
        <row r="3">
          <cell r="A3">
            <v>100501</v>
          </cell>
        </row>
      </sheetData>
      <sheetData sheetId="4014">
        <row r="6">
          <cell r="D6">
            <v>5500</v>
          </cell>
        </row>
      </sheetData>
      <sheetData sheetId="4015">
        <row r="2">
          <cell r="B2" t="str">
            <v>NTN NEI Manufacturing India Pvt Ltd.</v>
          </cell>
        </row>
      </sheetData>
      <sheetData sheetId="4016">
        <row r="3">
          <cell r="A3" t="str">
            <v>Balance Period Name:SEP-03</v>
          </cell>
        </row>
      </sheetData>
      <sheetData sheetId="4017">
        <row r="10">
          <cell r="E10">
            <v>0</v>
          </cell>
        </row>
      </sheetData>
      <sheetData sheetId="4018">
        <row r="2">
          <cell r="H2" t="str">
            <v>India Countrywide</v>
          </cell>
        </row>
      </sheetData>
      <sheetData sheetId="4019">
        <row r="2">
          <cell r="K2">
            <v>0</v>
          </cell>
        </row>
      </sheetData>
      <sheetData sheetId="4020">
        <row r="2">
          <cell r="I2">
            <v>0</v>
          </cell>
        </row>
      </sheetData>
      <sheetData sheetId="4021">
        <row r="1">
          <cell r="A1" t="str">
            <v>CODE</v>
          </cell>
        </row>
      </sheetData>
      <sheetData sheetId="4022">
        <row r="1">
          <cell r="E1">
            <v>3.7037037037037035E-2</v>
          </cell>
        </row>
      </sheetData>
      <sheetData sheetId="4023">
        <row r="1">
          <cell r="B1" t="str">
            <v>Q101A</v>
          </cell>
        </row>
      </sheetData>
      <sheetData sheetId="4024">
        <row r="2">
          <cell r="K2">
            <v>0</v>
          </cell>
        </row>
      </sheetData>
      <sheetData sheetId="4025">
        <row r="8">
          <cell r="C8" t="str">
            <v>CONTRACT</v>
          </cell>
        </row>
      </sheetData>
      <sheetData sheetId="4026">
        <row r="10">
          <cell r="E10">
            <v>0</v>
          </cell>
        </row>
      </sheetData>
      <sheetData sheetId="4027">
        <row r="2">
          <cell r="K2">
            <v>0</v>
          </cell>
        </row>
      </sheetData>
      <sheetData sheetId="4028">
        <row r="2">
          <cell r="B2" t="str">
            <v>NTN NEI Manufacturing India Pvt Ltd.</v>
          </cell>
        </row>
      </sheetData>
      <sheetData sheetId="4029">
        <row r="1">
          <cell r="A1" t="str">
            <v>CODE</v>
          </cell>
        </row>
      </sheetData>
      <sheetData sheetId="4030">
        <row r="1">
          <cell r="E1">
            <v>3.7037037037037035E-2</v>
          </cell>
        </row>
      </sheetData>
      <sheetData sheetId="4031">
        <row r="2">
          <cell r="H2" t="str">
            <v>India Countrywide</v>
          </cell>
        </row>
      </sheetData>
      <sheetData sheetId="4032">
        <row r="5">
          <cell r="C5">
            <v>0</v>
          </cell>
        </row>
      </sheetData>
      <sheetData sheetId="4033"/>
      <sheetData sheetId="4034">
        <row r="2">
          <cell r="B2" t="str">
            <v>NTN NEI Manufacturing India Pvt Ltd.</v>
          </cell>
        </row>
      </sheetData>
      <sheetData sheetId="4035">
        <row r="1">
          <cell r="B1" t="str">
            <v>Q101A</v>
          </cell>
        </row>
      </sheetData>
      <sheetData sheetId="4036">
        <row r="3">
          <cell r="A3" t="str">
            <v>Balance Period Name:SEP-03</v>
          </cell>
        </row>
      </sheetData>
      <sheetData sheetId="4037">
        <row r="10">
          <cell r="E10">
            <v>0</v>
          </cell>
        </row>
      </sheetData>
      <sheetData sheetId="4038">
        <row r="2">
          <cell r="H2" t="str">
            <v>India Countrywide</v>
          </cell>
        </row>
      </sheetData>
      <sheetData sheetId="4039">
        <row r="1">
          <cell r="A1" t="str">
            <v>CODE</v>
          </cell>
        </row>
      </sheetData>
      <sheetData sheetId="4040">
        <row r="2">
          <cell r="I2">
            <v>0</v>
          </cell>
        </row>
      </sheetData>
      <sheetData sheetId="4041"/>
      <sheetData sheetId="4042"/>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ow r="1">
          <cell r="B1" t="str">
            <v>Q101A</v>
          </cell>
        </row>
      </sheetData>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ow r="1">
          <cell r="A1" t="str">
            <v>CODE</v>
          </cell>
        </row>
      </sheetData>
      <sheetData sheetId="4106">
        <row r="1">
          <cell r="E1">
            <v>3.7037037037037035E-2</v>
          </cell>
        </row>
      </sheetData>
      <sheetData sheetId="4107">
        <row r="1">
          <cell r="B1" t="str">
            <v>Q101A</v>
          </cell>
        </row>
      </sheetData>
      <sheetData sheetId="4108" refreshError="1"/>
      <sheetData sheetId="4109" refreshError="1"/>
      <sheetData sheetId="4110" refreshError="1"/>
      <sheetData sheetId="4111" refreshError="1"/>
      <sheetData sheetId="4112" refreshError="1"/>
      <sheetData sheetId="4113" refreshError="1"/>
      <sheetData sheetId="4114">
        <row r="1">
          <cell r="B1" t="str">
            <v>Q101A</v>
          </cell>
        </row>
      </sheetData>
      <sheetData sheetId="4115">
        <row r="3">
          <cell r="A3" t="str">
            <v>Balance Period Name:SEP-03</v>
          </cell>
        </row>
      </sheetData>
      <sheetData sheetId="4116">
        <row r="10">
          <cell r="E10">
            <v>0</v>
          </cell>
        </row>
      </sheetData>
      <sheetData sheetId="4117">
        <row r="2">
          <cell r="H2" t="str">
            <v>India Countrywide</v>
          </cell>
        </row>
      </sheetData>
      <sheetData sheetId="4118">
        <row r="1">
          <cell r="A1" t="str">
            <v>CODE</v>
          </cell>
        </row>
      </sheetData>
      <sheetData sheetId="4119">
        <row r="1">
          <cell r="B1" t="str">
            <v>Q101A</v>
          </cell>
        </row>
      </sheetData>
      <sheetData sheetId="4120">
        <row r="1">
          <cell r="B1" t="str">
            <v>Q101A</v>
          </cell>
        </row>
      </sheetData>
      <sheetData sheetId="4121">
        <row r="2">
          <cell r="H2" t="str">
            <v>India Countrywide</v>
          </cell>
        </row>
      </sheetData>
      <sheetData sheetId="4122">
        <row r="2">
          <cell r="H2" t="str">
            <v>India Countrywide</v>
          </cell>
        </row>
      </sheetData>
      <sheetData sheetId="4123">
        <row r="1">
          <cell r="B1" t="str">
            <v>Q101A</v>
          </cell>
        </row>
      </sheetData>
      <sheetData sheetId="4124">
        <row r="8">
          <cell r="C8" t="str">
            <v>CONTRACT</v>
          </cell>
        </row>
      </sheetData>
      <sheetData sheetId="4125">
        <row r="8">
          <cell r="C8" t="str">
            <v>CONTRACT</v>
          </cell>
        </row>
      </sheetData>
      <sheetData sheetId="4126">
        <row r="10">
          <cell r="E10">
            <v>0</v>
          </cell>
        </row>
      </sheetData>
      <sheetData sheetId="4127">
        <row r="2">
          <cell r="K2">
            <v>0</v>
          </cell>
        </row>
      </sheetData>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ow r="5">
          <cell r="C5">
            <v>0</v>
          </cell>
        </row>
      </sheetData>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sheetData sheetId="4188"/>
      <sheetData sheetId="4189"/>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sheetData sheetId="4538"/>
      <sheetData sheetId="4539" refreshError="1"/>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sheetData sheetId="463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refreshError="1"/>
      <sheetData sheetId="4831" refreshError="1"/>
      <sheetData sheetId="4832" refreshError="1"/>
      <sheetData sheetId="4833" refreshError="1"/>
      <sheetData sheetId="4834" refreshError="1"/>
      <sheetData sheetId="4835" refreshError="1"/>
      <sheetData sheetId="4836"/>
      <sheetData sheetId="4837">
        <row r="23">
          <cell r="E23">
            <v>190015296.30999899</v>
          </cell>
        </row>
      </sheetData>
      <sheetData sheetId="4838">
        <row r="108">
          <cell r="M108">
            <v>10157487.206534987</v>
          </cell>
        </row>
      </sheetData>
      <sheetData sheetId="4839">
        <row r="17">
          <cell r="C17">
            <v>43023199.910000011</v>
          </cell>
        </row>
      </sheetData>
      <sheetData sheetId="4840"/>
      <sheetData sheetId="4841"/>
      <sheetData sheetId="4842"/>
      <sheetData sheetId="4843">
        <row r="23">
          <cell r="E23">
            <v>190015296.30999899</v>
          </cell>
        </row>
      </sheetData>
      <sheetData sheetId="4844"/>
      <sheetData sheetId="4845"/>
      <sheetData sheetId="4846"/>
      <sheetData sheetId="4847"/>
      <sheetData sheetId="4848">
        <row r="2">
          <cell r="A2" t="str">
            <v>ANND NISHIKAWA CO. LTD LALRU UNIT - II</v>
          </cell>
        </row>
      </sheetData>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ow r="131">
          <cell r="A131" t="str">
            <v>40000</v>
          </cell>
        </row>
      </sheetData>
      <sheetData sheetId="4900">
        <row r="131">
          <cell r="A131" t="str">
            <v>40000</v>
          </cell>
        </row>
      </sheetData>
      <sheetData sheetId="4901">
        <row r="131">
          <cell r="A131" t="str">
            <v>40000</v>
          </cell>
        </row>
      </sheetData>
      <sheetData sheetId="4902">
        <row r="131">
          <cell r="A131" t="str">
            <v>40000</v>
          </cell>
        </row>
      </sheetData>
      <sheetData sheetId="4903">
        <row r="131">
          <cell r="A131" t="str">
            <v>40000</v>
          </cell>
        </row>
      </sheetData>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sheetData sheetId="4988"/>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sheetData sheetId="5002" refreshError="1"/>
      <sheetData sheetId="5003"/>
      <sheetData sheetId="5004"/>
      <sheetData sheetId="5005"/>
      <sheetData sheetId="5006"/>
      <sheetData sheetId="5007"/>
      <sheetData sheetId="5008"/>
      <sheetData sheetId="5009" refreshError="1"/>
      <sheetData sheetId="5010" refreshError="1"/>
      <sheetData sheetId="5011"/>
      <sheetData sheetId="5012"/>
      <sheetData sheetId="5013"/>
      <sheetData sheetId="5014"/>
      <sheetData sheetId="5015"/>
      <sheetData sheetId="5016" refreshError="1"/>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ow r="6">
          <cell r="B6" t="str">
            <v>As at 31.03.2003</v>
          </cell>
        </row>
      </sheetData>
      <sheetData sheetId="5103">
        <row r="2">
          <cell r="B2" t="str">
            <v>HUGHES ESCORTS COMMUNICATIONS LIMITED</v>
          </cell>
        </row>
      </sheetData>
      <sheetData sheetId="5104">
        <row r="1">
          <cell r="D1">
            <v>3</v>
          </cell>
        </row>
      </sheetData>
      <sheetData sheetId="5105"/>
      <sheetData sheetId="5106"/>
      <sheetData sheetId="5107"/>
      <sheetData sheetId="5108"/>
      <sheetData sheetId="5109"/>
      <sheetData sheetId="5110"/>
      <sheetData sheetId="5111"/>
      <sheetData sheetId="5112"/>
      <sheetData sheetId="5113"/>
      <sheetData sheetId="5114"/>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ow r="12">
          <cell r="B12">
            <v>48.302064999999999</v>
          </cell>
        </row>
      </sheetData>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sheetData sheetId="5314"/>
      <sheetData sheetId="5315"/>
      <sheetData sheetId="5316"/>
      <sheetData sheetId="5317">
        <row r="10">
          <cell r="C10">
            <v>127060800.33999997</v>
          </cell>
        </row>
      </sheetData>
      <sheetData sheetId="5318">
        <row r="433">
          <cell r="F433">
            <v>0</v>
          </cell>
        </row>
      </sheetData>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row r="10">
          <cell r="C10">
            <v>127060800.33999997</v>
          </cell>
        </row>
      </sheetData>
      <sheetData sheetId="5332">
        <row r="433">
          <cell r="F433">
            <v>0</v>
          </cell>
        </row>
      </sheetData>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sheetData sheetId="5432"/>
      <sheetData sheetId="5433"/>
      <sheetData sheetId="5434"/>
      <sheetData sheetId="5435"/>
      <sheetData sheetId="5436"/>
      <sheetData sheetId="5437"/>
      <sheetData sheetId="5438">
        <row r="2">
          <cell r="A2" t="str">
            <v>A101001</v>
          </cell>
        </row>
      </sheetData>
      <sheetData sheetId="5439">
        <row r="2">
          <cell r="A2" t="str">
            <v>A101001</v>
          </cell>
        </row>
      </sheetData>
      <sheetData sheetId="5440">
        <row r="2">
          <cell r="A2" t="str">
            <v>A101001</v>
          </cell>
        </row>
      </sheetData>
      <sheetData sheetId="5441">
        <row r="2">
          <cell r="A2" t="str">
            <v>A101001</v>
          </cell>
        </row>
      </sheetData>
      <sheetData sheetId="5442">
        <row r="6">
          <cell r="I6" t="str">
            <v>2011</v>
          </cell>
        </row>
      </sheetData>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sheetData sheetId="5492"/>
      <sheetData sheetId="5493"/>
      <sheetData sheetId="5494"/>
      <sheetData sheetId="5495"/>
      <sheetData sheetId="5496"/>
      <sheetData sheetId="5497"/>
      <sheetData sheetId="5498"/>
      <sheetData sheetId="5499"/>
      <sheetData sheetId="5500"/>
      <sheetData sheetId="5501"/>
      <sheetData sheetId="5502"/>
      <sheetData sheetId="5503"/>
      <sheetData sheetId="5504"/>
      <sheetData sheetId="5505"/>
      <sheetData sheetId="5506"/>
      <sheetData sheetId="5507"/>
      <sheetData sheetId="5508"/>
      <sheetData sheetId="5509"/>
      <sheetData sheetId="5510"/>
      <sheetData sheetId="5511"/>
      <sheetData sheetId="5512"/>
      <sheetData sheetId="5513"/>
      <sheetData sheetId="5514"/>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refreshError="1"/>
      <sheetData sheetId="5540"/>
      <sheetData sheetId="5541"/>
      <sheetData sheetId="5542"/>
      <sheetData sheetId="5543"/>
      <sheetData sheetId="5544"/>
      <sheetData sheetId="5545"/>
      <sheetData sheetId="5546"/>
      <sheetData sheetId="5547"/>
      <sheetData sheetId="5548"/>
      <sheetData sheetId="5549">
        <row r="1">
          <cell r="A1" t="str">
            <v>A/C NO.</v>
          </cell>
        </row>
      </sheetData>
      <sheetData sheetId="5550"/>
      <sheetData sheetId="5551"/>
      <sheetData sheetId="5552"/>
      <sheetData sheetId="5553"/>
      <sheetData sheetId="5554" refreshError="1"/>
      <sheetData sheetId="5555"/>
      <sheetData sheetId="5556" refreshError="1"/>
      <sheetData sheetId="5557"/>
      <sheetData sheetId="5558"/>
      <sheetData sheetId="5559" refreshError="1"/>
      <sheetData sheetId="5560" refreshError="1"/>
      <sheetData sheetId="5561"/>
      <sheetData sheetId="5562"/>
      <sheetData sheetId="5563"/>
      <sheetData sheetId="5564"/>
      <sheetData sheetId="5565" refreshError="1"/>
      <sheetData sheetId="5566" refreshError="1"/>
      <sheetData sheetId="5567" refreshError="1"/>
      <sheetData sheetId="5568">
        <row r="11">
          <cell r="Q11" t="str">
            <v>ORDER#</v>
          </cell>
        </row>
      </sheetData>
      <sheetData sheetId="5569" refreshError="1"/>
      <sheetData sheetId="5570" refreshError="1"/>
      <sheetData sheetId="5571" refreshError="1"/>
      <sheetData sheetId="5572" refreshError="1"/>
      <sheetData sheetId="5573" refreshError="1"/>
      <sheetData sheetId="5574" refreshError="1"/>
      <sheetData sheetId="5575" refreshError="1"/>
      <sheetData sheetId="5576">
        <row r="7">
          <cell r="C7" t="str">
            <v>Match Key</v>
          </cell>
        </row>
      </sheetData>
      <sheetData sheetId="5577" refreshError="1"/>
      <sheetData sheetId="5578" refreshError="1"/>
      <sheetData sheetId="5579" refreshError="1"/>
      <sheetData sheetId="5580" refreshError="1"/>
      <sheetData sheetId="5581" refreshError="1"/>
      <sheetData sheetId="5582" refreshError="1"/>
      <sheetData sheetId="5583" refreshError="1"/>
      <sheetData sheetId="5584">
        <row r="2">
          <cell r="O2" t="str">
            <v>データ</v>
          </cell>
        </row>
      </sheetData>
      <sheetData sheetId="5585"/>
      <sheetData sheetId="5586" refreshError="1"/>
      <sheetData sheetId="5587" refreshError="1"/>
      <sheetData sheetId="5588" refreshError="1"/>
      <sheetData sheetId="5589" refreshError="1"/>
      <sheetData sheetId="5590"/>
      <sheetData sheetId="5591"/>
      <sheetData sheetId="5592"/>
      <sheetData sheetId="5593"/>
      <sheetData sheetId="5594"/>
      <sheetData sheetId="5595"/>
      <sheetData sheetId="5596">
        <row r="5">
          <cell r="A5" t="str">
            <v>MATCHKEY</v>
          </cell>
        </row>
      </sheetData>
      <sheetData sheetId="5597">
        <row r="4">
          <cell r="Y4" t="str">
            <v>MATCH-KEY-YACCS</v>
          </cell>
        </row>
      </sheetData>
      <sheetData sheetId="5598" refreshError="1"/>
      <sheetData sheetId="5599" refreshError="1"/>
      <sheetData sheetId="5600"/>
      <sheetData sheetId="5601">
        <row r="7">
          <cell r="A7" t="str">
            <v>MATCH KEY</v>
          </cell>
        </row>
      </sheetData>
      <sheetData sheetId="5602"/>
      <sheetData sheetId="5603"/>
      <sheetData sheetId="5604"/>
      <sheetData sheetId="5605"/>
      <sheetData sheetId="5606"/>
      <sheetData sheetId="5607"/>
      <sheetData sheetId="5608"/>
      <sheetData sheetId="5609"/>
      <sheetData sheetId="5610"/>
      <sheetData sheetId="5611"/>
      <sheetData sheetId="5612"/>
      <sheetData sheetId="5613"/>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sheetData sheetId="5646"/>
      <sheetData sheetId="5647"/>
      <sheetData sheetId="5648"/>
      <sheetData sheetId="5649"/>
      <sheetData sheetId="5650"/>
      <sheetData sheetId="5651"/>
      <sheetData sheetId="5652">
        <row r="2">
          <cell r="C2" t="str">
            <v>LOCATION</v>
          </cell>
        </row>
      </sheetData>
      <sheetData sheetId="5653"/>
      <sheetData sheetId="5654" refreshError="1"/>
      <sheetData sheetId="5655"/>
      <sheetData sheetId="5656"/>
      <sheetData sheetId="5657"/>
      <sheetData sheetId="5658"/>
      <sheetData sheetId="5659"/>
      <sheetData sheetId="5660"/>
      <sheetData sheetId="5661">
        <row r="8">
          <cell r="AB8" t="str">
            <v>Order-No</v>
          </cell>
        </row>
      </sheetData>
      <sheetData sheetId="5662"/>
      <sheetData sheetId="5663"/>
      <sheetData sheetId="5664"/>
      <sheetData sheetId="5665"/>
      <sheetData sheetId="5666"/>
      <sheetData sheetId="5667"/>
      <sheetData sheetId="5668"/>
      <sheetData sheetId="5669"/>
      <sheetData sheetId="5670"/>
      <sheetData sheetId="5671"/>
      <sheetData sheetId="5672">
        <row r="59">
          <cell r="F59">
            <v>22</v>
          </cell>
        </row>
      </sheetData>
      <sheetData sheetId="5673" refreshError="1"/>
      <sheetData sheetId="5674" refreshError="1"/>
      <sheetData sheetId="5675"/>
      <sheetData sheetId="5676" refreshError="1"/>
      <sheetData sheetId="5677" refreshError="1"/>
      <sheetData sheetId="5678"/>
      <sheetData sheetId="5679" refreshError="1"/>
      <sheetData sheetId="5680" refreshError="1"/>
      <sheetData sheetId="5681" refreshError="1"/>
      <sheetData sheetId="5682" refreshError="1"/>
      <sheetData sheetId="5683" refreshError="1"/>
      <sheetData sheetId="5684"/>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sheetData sheetId="5698"/>
      <sheetData sheetId="5699"/>
      <sheetData sheetId="5700"/>
      <sheetData sheetId="5701"/>
      <sheetData sheetId="5702"/>
      <sheetData sheetId="5703"/>
      <sheetData sheetId="5704"/>
      <sheetData sheetId="5705"/>
      <sheetData sheetId="5706"/>
      <sheetData sheetId="5707" refreshError="1"/>
      <sheetData sheetId="5708" refreshError="1"/>
      <sheetData sheetId="5709" refreshError="1"/>
      <sheetData sheetId="5710" refreshError="1"/>
      <sheetData sheetId="5711" refreshError="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sheetData sheetId="5801"/>
      <sheetData sheetId="5802"/>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sheetData sheetId="586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sheetData sheetId="5902"/>
      <sheetData sheetId="5903"/>
      <sheetData sheetId="5904"/>
      <sheetData sheetId="5905"/>
      <sheetData sheetId="5906"/>
      <sheetData sheetId="5907"/>
      <sheetData sheetId="5908"/>
      <sheetData sheetId="5909"/>
      <sheetData sheetId="5910"/>
      <sheetData sheetId="5911"/>
      <sheetData sheetId="5912"/>
      <sheetData sheetId="5913"/>
      <sheetData sheetId="5914"/>
      <sheetData sheetId="5915"/>
      <sheetData sheetId="5916"/>
      <sheetData sheetId="5917"/>
      <sheetData sheetId="5918"/>
      <sheetData sheetId="5919"/>
      <sheetData sheetId="5920"/>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sheetData sheetId="5949"/>
      <sheetData sheetId="5950"/>
      <sheetData sheetId="5951"/>
      <sheetData sheetId="5952"/>
      <sheetData sheetId="5953"/>
      <sheetData sheetId="5954"/>
      <sheetData sheetId="5955"/>
      <sheetData sheetId="5956"/>
      <sheetData sheetId="5957"/>
      <sheetData sheetId="5958"/>
      <sheetData sheetId="5959"/>
      <sheetData sheetId="5960"/>
      <sheetData sheetId="5961"/>
      <sheetData sheetId="5962"/>
      <sheetData sheetId="5963"/>
      <sheetData sheetId="5964"/>
      <sheetData sheetId="5965"/>
      <sheetData sheetId="5966"/>
      <sheetData sheetId="5967"/>
      <sheetData sheetId="5968"/>
      <sheetData sheetId="5969"/>
      <sheetData sheetId="5970"/>
      <sheetData sheetId="5971"/>
      <sheetData sheetId="5972"/>
      <sheetData sheetId="5973"/>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sheetData sheetId="6023"/>
      <sheetData sheetId="6024"/>
      <sheetData sheetId="6025"/>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sheetData sheetId="6276" refreshError="1"/>
      <sheetData sheetId="6277"/>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sheetData sheetId="6290" refreshError="1"/>
      <sheetData sheetId="6291" refreshError="1"/>
      <sheetData sheetId="6292" refreshError="1"/>
      <sheetData sheetId="6293" refreshError="1"/>
      <sheetData sheetId="6294"/>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sheetData sheetId="6387"/>
      <sheetData sheetId="6388"/>
      <sheetData sheetId="6389"/>
      <sheetData sheetId="6390"/>
      <sheetData sheetId="6391"/>
      <sheetData sheetId="6392"/>
      <sheetData sheetId="6393" refreshError="1"/>
      <sheetData sheetId="6394" refreshError="1"/>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sheetData sheetId="6451" refreshError="1"/>
      <sheetData sheetId="6452"/>
      <sheetData sheetId="6453"/>
      <sheetData sheetId="6454" refreshError="1"/>
      <sheetData sheetId="6455"/>
      <sheetData sheetId="6456" refreshError="1"/>
      <sheetData sheetId="6457"/>
      <sheetData sheetId="6458" refreshError="1"/>
      <sheetData sheetId="6459"/>
      <sheetData sheetId="6460" refreshError="1"/>
      <sheetData sheetId="6461" refreshError="1"/>
      <sheetData sheetId="6462" refreshError="1"/>
      <sheetData sheetId="6463"/>
      <sheetData sheetId="6464" refreshError="1"/>
      <sheetData sheetId="6465" refreshError="1"/>
      <sheetData sheetId="6466" refreshError="1"/>
      <sheetData sheetId="6467"/>
      <sheetData sheetId="6468"/>
      <sheetData sheetId="6469"/>
      <sheetData sheetId="6470" refreshError="1"/>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refreshError="1"/>
      <sheetData sheetId="6497" refreshError="1"/>
      <sheetData sheetId="6498" refreshError="1"/>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refreshError="1"/>
      <sheetData sheetId="6550" refreshError="1"/>
      <sheetData sheetId="6551" refreshError="1"/>
      <sheetData sheetId="6552" refreshError="1"/>
      <sheetData sheetId="6553" refreshError="1"/>
      <sheetData sheetId="6554" refreshError="1"/>
      <sheetData sheetId="6555" refreshError="1"/>
      <sheetData sheetId="6556" refreshError="1"/>
      <sheetData sheetId="6557" refreshError="1"/>
      <sheetData sheetId="6558" refreshError="1"/>
      <sheetData sheetId="6559" refreshError="1"/>
      <sheetData sheetId="6560" refreshError="1"/>
      <sheetData sheetId="6561" refreshError="1"/>
      <sheetData sheetId="6562" refreshError="1"/>
      <sheetData sheetId="6563" refreshError="1"/>
      <sheetData sheetId="6564" refreshError="1"/>
      <sheetData sheetId="6565" refreshError="1"/>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sheetData sheetId="6584"/>
      <sheetData sheetId="6585" refreshError="1"/>
      <sheetData sheetId="6586"/>
      <sheetData sheetId="6587" refreshError="1"/>
      <sheetData sheetId="6588" refreshError="1"/>
      <sheetData sheetId="6589" refreshError="1"/>
      <sheetData sheetId="6590" refreshError="1"/>
      <sheetData sheetId="659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refreshError="1"/>
      <sheetData sheetId="6693" refreshError="1"/>
      <sheetData sheetId="6694" refreshError="1"/>
      <sheetData sheetId="6695" refreshError="1"/>
      <sheetData sheetId="6696" refreshError="1"/>
      <sheetData sheetId="6697" refreshError="1"/>
      <sheetData sheetId="6698" refreshError="1"/>
      <sheetData sheetId="6699" refreshError="1"/>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efreshError="1"/>
      <sheetData sheetId="6710" refreshError="1"/>
      <sheetData sheetId="6711" refreshError="1"/>
      <sheetData sheetId="6712" refreshError="1"/>
      <sheetData sheetId="6713" refreshError="1"/>
      <sheetData sheetId="6714" refreshError="1"/>
      <sheetData sheetId="6715" refreshError="1"/>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sheetData sheetId="6726"/>
      <sheetData sheetId="6727" refreshError="1"/>
      <sheetData sheetId="6728" refreshError="1"/>
      <sheetData sheetId="6729" refreshError="1"/>
      <sheetData sheetId="6730" refreshError="1"/>
      <sheetData sheetId="6731" refreshError="1"/>
      <sheetData sheetId="6732">
        <row r="3">
          <cell r="A3">
            <v>100501</v>
          </cell>
        </row>
      </sheetData>
      <sheetData sheetId="6733">
        <row r="1">
          <cell r="B1" t="str">
            <v>Q101A</v>
          </cell>
        </row>
      </sheetData>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sheetData sheetId="6798"/>
      <sheetData sheetId="6799"/>
      <sheetData sheetId="6800" refreshError="1"/>
      <sheetData sheetId="6801"/>
      <sheetData sheetId="6802"/>
      <sheetData sheetId="6803" refreshError="1"/>
      <sheetData sheetId="6804"/>
      <sheetData sheetId="6805"/>
      <sheetData sheetId="6806"/>
      <sheetData sheetId="6807"/>
      <sheetData sheetId="6808"/>
      <sheetData sheetId="6809"/>
      <sheetData sheetId="6810"/>
      <sheetData sheetId="6811"/>
      <sheetData sheetId="6812"/>
      <sheetData sheetId="6813" refreshError="1"/>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refreshError="1"/>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sheetData sheetId="6888"/>
      <sheetData sheetId="6889"/>
      <sheetData sheetId="6890"/>
      <sheetData sheetId="6891"/>
      <sheetData sheetId="6892"/>
      <sheetData sheetId="6893"/>
      <sheetData sheetId="6894"/>
      <sheetData sheetId="6895"/>
      <sheetData sheetId="6896"/>
      <sheetData sheetId="6897"/>
      <sheetData sheetId="6898"/>
      <sheetData sheetId="6899"/>
      <sheetData sheetId="6900"/>
      <sheetData sheetId="6901"/>
      <sheetData sheetId="6902"/>
      <sheetData sheetId="6903"/>
      <sheetData sheetId="6904"/>
      <sheetData sheetId="6905"/>
      <sheetData sheetId="6906"/>
      <sheetData sheetId="6907"/>
      <sheetData sheetId="6908">
        <row r="2">
          <cell r="C2">
            <v>3.93</v>
          </cell>
        </row>
      </sheetData>
      <sheetData sheetId="6909"/>
      <sheetData sheetId="6910"/>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refreshError="1"/>
      <sheetData sheetId="7047"/>
      <sheetData sheetId="7048"/>
      <sheetData sheetId="7049"/>
      <sheetData sheetId="7050"/>
      <sheetData sheetId="7051"/>
      <sheetData sheetId="7052"/>
      <sheetData sheetId="7053"/>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sheetData sheetId="7076"/>
      <sheetData sheetId="7077"/>
      <sheetData sheetId="7078"/>
      <sheetData sheetId="7079"/>
      <sheetData sheetId="7080"/>
      <sheetData sheetId="7081"/>
      <sheetData sheetId="7082"/>
      <sheetData sheetId="7083"/>
      <sheetData sheetId="7084"/>
      <sheetData sheetId="7085" refreshError="1"/>
      <sheetData sheetId="7086">
        <row r="1">
          <cell r="E1" t="str">
            <v>digital code</v>
          </cell>
        </row>
      </sheetData>
      <sheetData sheetId="7087"/>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sheetData sheetId="7143"/>
      <sheetData sheetId="7144"/>
      <sheetData sheetId="7145"/>
      <sheetData sheetId="7146"/>
      <sheetData sheetId="7147"/>
      <sheetData sheetId="7148"/>
      <sheetData sheetId="7149"/>
      <sheetData sheetId="7150"/>
      <sheetData sheetId="7151"/>
      <sheetData sheetId="7152"/>
      <sheetData sheetId="7153"/>
      <sheetData sheetId="7154"/>
      <sheetData sheetId="7155"/>
      <sheetData sheetId="7156"/>
      <sheetData sheetId="7157"/>
      <sheetData sheetId="7158"/>
      <sheetData sheetId="7159"/>
      <sheetData sheetId="7160"/>
      <sheetData sheetId="7161"/>
      <sheetData sheetId="7162"/>
      <sheetData sheetId="7163"/>
      <sheetData sheetId="7164"/>
      <sheetData sheetId="7165"/>
      <sheetData sheetId="7166"/>
      <sheetData sheetId="7167"/>
      <sheetData sheetId="7168"/>
      <sheetData sheetId="7169"/>
      <sheetData sheetId="7170"/>
      <sheetData sheetId="7171"/>
      <sheetData sheetId="7172"/>
      <sheetData sheetId="7173"/>
      <sheetData sheetId="7174"/>
      <sheetData sheetId="7175"/>
      <sheetData sheetId="7176"/>
      <sheetData sheetId="7177"/>
      <sheetData sheetId="7178"/>
      <sheetData sheetId="7179"/>
      <sheetData sheetId="7180"/>
      <sheetData sheetId="7181"/>
      <sheetData sheetId="7182"/>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sheetData sheetId="7202"/>
      <sheetData sheetId="7203" refreshError="1"/>
      <sheetData sheetId="7204" refreshError="1"/>
      <sheetData sheetId="7205" refreshError="1"/>
      <sheetData sheetId="7206"/>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refreshError="1"/>
      <sheetData sheetId="7234" refreshError="1"/>
      <sheetData sheetId="7235" refreshError="1"/>
      <sheetData sheetId="7236" refreshError="1"/>
      <sheetData sheetId="7237"/>
      <sheetData sheetId="7238"/>
      <sheetData sheetId="7239"/>
      <sheetData sheetId="7240"/>
      <sheetData sheetId="7241"/>
      <sheetData sheetId="7242"/>
      <sheetData sheetId="7243"/>
      <sheetData sheetId="7244"/>
      <sheetData sheetId="7245"/>
      <sheetData sheetId="7246" refreshError="1"/>
      <sheetData sheetId="7247"/>
      <sheetData sheetId="7248"/>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sheetData sheetId="7279"/>
      <sheetData sheetId="7280"/>
      <sheetData sheetId="7281"/>
      <sheetData sheetId="7282" refreshError="1"/>
      <sheetData sheetId="7283"/>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sheetData sheetId="7333"/>
      <sheetData sheetId="7334"/>
      <sheetData sheetId="7335"/>
      <sheetData sheetId="7336" refreshError="1"/>
      <sheetData sheetId="7337" refreshError="1"/>
      <sheetData sheetId="7338" refreshError="1"/>
      <sheetData sheetId="7339"/>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sheetData sheetId="7497"/>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sheetData sheetId="7512"/>
      <sheetData sheetId="7513"/>
      <sheetData sheetId="7514"/>
      <sheetData sheetId="7515"/>
      <sheetData sheetId="7516" refreshError="1"/>
      <sheetData sheetId="7517"/>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sheetData sheetId="7548"/>
      <sheetData sheetId="7549"/>
      <sheetData sheetId="7550"/>
      <sheetData sheetId="7551"/>
      <sheetData sheetId="7552"/>
      <sheetData sheetId="7553"/>
      <sheetData sheetId="7554"/>
      <sheetData sheetId="7555"/>
      <sheetData sheetId="7556"/>
      <sheetData sheetId="7557" refreshError="1"/>
      <sheetData sheetId="7558" refreshError="1"/>
      <sheetData sheetId="7559" refreshError="1"/>
      <sheetData sheetId="7560"/>
      <sheetData sheetId="7561" refreshError="1"/>
      <sheetData sheetId="7562" refreshError="1"/>
      <sheetData sheetId="7563" refreshError="1"/>
      <sheetData sheetId="7564" refreshError="1"/>
      <sheetData sheetId="7565" refreshError="1"/>
      <sheetData sheetId="7566" refreshError="1"/>
      <sheetData sheetId="7567"/>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sheetData sheetId="7616"/>
      <sheetData sheetId="7617"/>
      <sheetData sheetId="7618"/>
      <sheetData sheetId="7619"/>
      <sheetData sheetId="7620"/>
      <sheetData sheetId="7621"/>
      <sheetData sheetId="7622"/>
      <sheetData sheetId="7623"/>
      <sheetData sheetId="7624" refreshError="1"/>
      <sheetData sheetId="7625"/>
      <sheetData sheetId="7626" refreshError="1"/>
      <sheetData sheetId="7627"/>
      <sheetData sheetId="7628"/>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sheetData sheetId="7638" refreshError="1"/>
      <sheetData sheetId="7639" refreshError="1"/>
      <sheetData sheetId="7640" refreshError="1"/>
      <sheetData sheetId="7641" refreshError="1"/>
      <sheetData sheetId="7642" refreshError="1"/>
      <sheetData sheetId="7643"/>
      <sheetData sheetId="7644"/>
      <sheetData sheetId="7645"/>
      <sheetData sheetId="7646"/>
      <sheetData sheetId="7647"/>
      <sheetData sheetId="7648"/>
      <sheetData sheetId="7649"/>
      <sheetData sheetId="7650"/>
      <sheetData sheetId="7651"/>
      <sheetData sheetId="7652"/>
      <sheetData sheetId="7653"/>
      <sheetData sheetId="7654" refreshError="1"/>
      <sheetData sheetId="7655" refreshError="1"/>
      <sheetData sheetId="7656" refreshError="1"/>
      <sheetData sheetId="7657" refreshError="1"/>
      <sheetData sheetId="7658" refreshError="1"/>
      <sheetData sheetId="7659"/>
      <sheetData sheetId="7660" refreshError="1"/>
      <sheetData sheetId="7661" refreshError="1"/>
      <sheetData sheetId="7662" refreshError="1"/>
      <sheetData sheetId="7663" refreshError="1"/>
      <sheetData sheetId="7664" refreshError="1"/>
      <sheetData sheetId="7665" refreshError="1"/>
      <sheetData sheetId="7666" refreshError="1"/>
      <sheetData sheetId="7667" refreshError="1"/>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efreshError="1"/>
      <sheetData sheetId="7689" refreshError="1"/>
      <sheetData sheetId="7690" refreshError="1"/>
      <sheetData sheetId="7691" refreshError="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Estimates"/>
      <sheetName val="CPIPE"/>
      <sheetName val="S2groupcode"/>
      <sheetName val="Index"/>
      <sheetName val="Embk top (2)"/>
      <sheetName val="준검 내역서"/>
      <sheetName val="LOCAL RATES"/>
      <sheetName val="Cal"/>
      <sheetName val="Data"/>
      <sheetName val="Erection grider"/>
      <sheetName val="Voucher"/>
      <sheetName val="doq-10"/>
      <sheetName val="BHANDUP"/>
      <sheetName val="Rates_PVC"/>
      <sheetName val="Headings"/>
      <sheetName val="Sump_cal"/>
      <sheetName val="BOQ"/>
      <sheetName val="MOTOR"/>
      <sheetName val="RCC,Ret. Wall"/>
      <sheetName val="S3workplanqty"/>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Index"/>
      <sheetName val="Top Sheet"/>
      <sheetName val="Slots"/>
      <sheetName val="BalanceSheet"/>
      <sheetName val="BS_Schedules"/>
      <sheetName val="Custom_Reserve"/>
      <sheetName val="SOCE"/>
      <sheetName val="ProfitLoss"/>
      <sheetName val="PL_Schedules"/>
      <sheetName val="Reserves"/>
      <sheetName val="Minority"/>
      <sheetName val="FA"/>
      <sheetName val="CashFlows"/>
      <sheetName val="CFS_Link"/>
      <sheetName val="Adj_Entries"/>
      <sheetName val="Perm_Entries"/>
      <sheetName val="Consol Trial"/>
      <sheetName val="Trial"/>
      <sheetName val="Forex_Rates"/>
      <sheetName val="Linkage"/>
      <sheetName val="Listing"/>
      <sheetName val="InterI"/>
      <sheetName val="InterW"/>
      <sheetName val="InterE"/>
      <sheetName val="C_NC"/>
      <sheetName val="Admin Consol"/>
      <sheetName val="ContingentL"/>
      <sheetName val="Investments"/>
      <sheetName val="RelatedParty"/>
      <sheetName val="Other Notes"/>
      <sheetName val="ICinventory"/>
      <sheetName val="ICassets"/>
      <sheetName val="Int"/>
      <sheetName val="Intmove"/>
      <sheetName val="P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2">
          <cell r="B2" t="str">
            <v>Listing!B4:B146</v>
          </cell>
        </row>
        <row r="4">
          <cell r="P4" t="str">
            <v>Balance Sheet</v>
          </cell>
        </row>
        <row r="5">
          <cell r="P5" t="str">
            <v>Profit and Loss</v>
          </cell>
        </row>
        <row r="6">
          <cell r="P6" t="str">
            <v>TrialBalance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SL at 31 Dec 01 Problem"/>
      <sheetName val="LSL at 31 Dec 01"/>
      <sheetName val="LSL at 31 Dec 01 VCO"/>
      <sheetName val="LSL at 31 Dec 01 NVRI"/>
      <sheetName val="Sheet2"/>
      <sheetName val="Sheet3"/>
    </sheetNames>
    <sheetDataSet>
      <sheetData sheetId="0"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1"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2" refreshError="1"/>
      <sheetData sheetId="3" refreshError="1"/>
      <sheetData sheetId="4" refreshError="1"/>
      <sheetData sheetId="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rterwise (2) Lac "/>
      <sheetName val="Main lac"/>
      <sheetName val="Main"/>
      <sheetName val="HO &amp; Works"/>
      <sheetName val="Quarterwise"/>
      <sheetName val="Share Div"/>
      <sheetName val="S Receipts"/>
      <sheetName val="S Receipt HO"/>
      <sheetName val="Software Services"/>
      <sheetName val="Sheet1"/>
      <sheetName val="570001"/>
      <sheetName val="5607120"/>
      <sheetName val="Exch-diff New"/>
      <sheetName val="Estimates"/>
      <sheetName val="PLAN_FEB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ING"/>
      <sheetName val="Cont.Liab."/>
      <sheetName val="3"/>
      <sheetName val="4"/>
      <sheetName val="5"/>
      <sheetName val="ENCL6"/>
      <sheetName val="ENCL6 (2)"/>
      <sheetName val="encl-6-Working Apr'03-MAR'04"/>
      <sheetName val="encl-6-Apr'03 to MAR'04"/>
      <sheetName val="netting"/>
      <sheetName val="ENCL7 "/>
      <sheetName val="Encl.8"/>
      <sheetName val="Bk. Bal."/>
      <sheetName val="ENCL9"/>
      <sheetName val="ENCL10"/>
      <sheetName val="ENCL10 (A)"/>
      <sheetName val="ENCL11"/>
      <sheetName val="Encl.12"/>
      <sheetName val="Site Stock"/>
      <sheetName val="ENCL13"/>
      <sheetName val="Liab"/>
      <sheetName val="Mat. Liab."/>
      <sheetName val="ENCL-14"/>
      <sheetName val="Abstract15-03-04"/>
      <sheetName val="ENCL15"/>
      <sheetName val="ENCL16"/>
      <sheetName val="ENCL17"/>
      <sheetName val="ENCL18"/>
      <sheetName val="ENCL19"/>
      <sheetName val="ENCL20"/>
      <sheetName val="ENCL21"/>
      <sheetName val="ABSTRACT"/>
      <sheetName val="ENCL22B"/>
      <sheetName val="ENCL23"/>
      <sheetName val="ENCL24"/>
      <sheetName val="ENCL25 "/>
      <sheetName val="ENCL26"/>
      <sheetName val="ENCL27"/>
      <sheetName val="ENCL28"/>
      <sheetName val="ENCL29"/>
      <sheetName val="Sheet1"/>
      <sheetName val="S3workplanqty"/>
      <sheetName val="Main"/>
      <sheetName val="Lawson"/>
      <sheetName val="Material"/>
    </sheetNames>
    <sheetDataSet>
      <sheetData sheetId="0">
        <row r="5">
          <cell r="B5" t="str">
            <v>A/C Code</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5">
          <cell r="B5" t="str">
            <v>A/C Code</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S1BOQ"/>
      <sheetName val="S2groupcode"/>
      <sheetName val="S3workplanqty"/>
      <sheetName val="S3workplanAmt"/>
      <sheetName val="S4Timecycle"/>
      <sheetName val="S5Esc"/>
      <sheetName val="S6Matqty-code"/>
      <sheetName val="S7Matqty-group"/>
      <sheetName val="S8Matexp-code"/>
      <sheetName val="S9wastage"/>
      <sheetName val="S11EQPnorm"/>
      <sheetName val="S12EQPhrs"/>
      <sheetName val="S12-Subtotals"/>
      <sheetName val="S13Cons"/>
      <sheetName val="S14Spares"/>
      <sheetName val="S15Pol"/>
      <sheetName val="S16Elec"/>
      <sheetName val="load&amp;DG"/>
      <sheetName val="S17Power"/>
      <sheetName val="S18Eqplan"/>
      <sheetName val="S19CAP"/>
      <sheetName val="DEPRI"/>
      <sheetName val="S20MSEitems"/>
      <sheetName val="S21Subcon"/>
      <sheetName val="S22PRW"/>
      <sheetName val="S23Mannos."/>
      <sheetName val="Officer Budget Form"/>
      <sheetName val="S24Mancost"/>
      <sheetName val="S25EQPrep"/>
      <sheetName val="S26Eqphire"/>
      <sheetName val="S27EQPlease"/>
      <sheetName val="S28Rev"/>
      <sheetName val="S29PrelimItem"/>
      <sheetName val="S30Prelplant"/>
      <sheetName val="S31Preitem"/>
      <sheetName val="S32Prelexp"/>
      <sheetName val="S33prelexdet"/>
      <sheetName val="S34Dircost"/>
      <sheetName val="S35Indircost"/>
      <sheetName val="S36Prelimcost"/>
      <sheetName val="S37UnitCost"/>
      <sheetName val="S38Stock"/>
      <sheetName val="S39Liability"/>
      <sheetName val="S40Milestones"/>
      <sheetName val="S42HSE"/>
      <sheetName val="PLAN_FEB97"/>
      <sheetName val="EQUIP II 2004 - 2005"/>
    </sheetNames>
    <sheetDataSet>
      <sheetData sheetId="0">
        <row r="1">
          <cell r="HS1">
            <v>100000</v>
          </cell>
        </row>
      </sheetData>
      <sheetData sheetId="1"/>
      <sheetData sheetId="2"/>
      <sheetData sheetId="3"/>
      <sheetData sheetId="4"/>
      <sheetData sheetId="5"/>
      <sheetData sheetId="6"/>
      <sheetData sheetId="7"/>
      <sheetData sheetId="8"/>
      <sheetData sheetId="9"/>
      <sheetData sheetId="10"/>
      <sheetData sheetId="11" refreshError="1">
        <row r="1">
          <cell r="HS1">
            <v>100000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_TURBHE1214"/>
      <sheetName val="TB_TURBHE1213"/>
      <sheetName val="GRP"/>
    </sheetNames>
    <sheetDataSet>
      <sheetData sheetId="0">
        <row r="2">
          <cell r="B2" t="str">
            <v>BALMER LAWRIE - VAN LEER LTD.</v>
          </cell>
          <cell r="U2">
            <v>-6.120002269744873</v>
          </cell>
          <cell r="W2">
            <v>-2.28999924659729</v>
          </cell>
          <cell r="Y2">
            <v>186617.46999692917</v>
          </cell>
          <cell r="Z2">
            <v>0</v>
          </cell>
          <cell r="AA2">
            <v>186617.46999692917</v>
          </cell>
          <cell r="AB2">
            <v>93308.734998464584</v>
          </cell>
        </row>
        <row r="3">
          <cell r="B3" t="str">
            <v>FORMAT FOR TRIAL BALANCE AS ON PARTICULAR DATE</v>
          </cell>
        </row>
        <row r="4">
          <cell r="B4">
            <v>-8.4100022315979004</v>
          </cell>
          <cell r="S4" t="str">
            <v>CLOSING ERP</v>
          </cell>
          <cell r="U4" t="str">
            <v>OPENING BALANCE</v>
          </cell>
          <cell r="W4" t="str">
            <v>TRASACTIONS</v>
          </cell>
          <cell r="Y4" t="str">
            <v>CLOSING BALANCE</v>
          </cell>
        </row>
        <row r="5">
          <cell r="D5" t="str">
            <v>SDCT</v>
          </cell>
          <cell r="F5" t="str">
            <v>PCDT</v>
          </cell>
          <cell r="H5" t="str">
            <v>PCDC</v>
          </cell>
          <cell r="J5" t="str">
            <v>PCDN</v>
          </cell>
          <cell r="L5" t="str">
            <v>CORP</v>
          </cell>
          <cell r="N5" t="str">
            <v>OTHER</v>
          </cell>
          <cell r="P5" t="str">
            <v>TOTAL</v>
          </cell>
          <cell r="S5" t="str">
            <v>SDCT</v>
          </cell>
          <cell r="T5" t="str">
            <v>PCDT</v>
          </cell>
          <cell r="U5" t="str">
            <v>SDCT</v>
          </cell>
          <cell r="V5" t="str">
            <v>PCDT</v>
          </cell>
          <cell r="W5" t="str">
            <v>SDCT</v>
          </cell>
          <cell r="X5" t="str">
            <v>PCDT</v>
          </cell>
          <cell r="Y5" t="str">
            <v>SDCT</v>
          </cell>
          <cell r="Z5" t="str">
            <v>PCDT</v>
          </cell>
        </row>
        <row r="6">
          <cell r="B6" t="str">
            <v>GL CODE</v>
          </cell>
          <cell r="C6" t="str">
            <v>ACCOUNT HEAD</v>
          </cell>
        </row>
        <row r="8">
          <cell r="D8" t="str">
            <v>DR.</v>
          </cell>
          <cell r="E8" t="str">
            <v>CR.</v>
          </cell>
          <cell r="F8" t="str">
            <v>DR.</v>
          </cell>
          <cell r="G8" t="str">
            <v>CR.</v>
          </cell>
          <cell r="H8" t="str">
            <v>DR.</v>
          </cell>
          <cell r="I8" t="str">
            <v>CR.</v>
          </cell>
          <cell r="J8" t="str">
            <v>DR.</v>
          </cell>
          <cell r="K8" t="str">
            <v>CR.</v>
          </cell>
          <cell r="L8" t="str">
            <v>DR.</v>
          </cell>
          <cell r="M8" t="str">
            <v>CR.</v>
          </cell>
          <cell r="N8" t="str">
            <v>DR.</v>
          </cell>
          <cell r="O8" t="str">
            <v>CR.</v>
          </cell>
          <cell r="P8" t="str">
            <v>DR.</v>
          </cell>
          <cell r="Q8" t="str">
            <v>CR.</v>
          </cell>
        </row>
        <row r="10">
          <cell r="B10">
            <v>11025</v>
          </cell>
          <cell r="C10" t="str">
            <v>PRODUCT SALES (5010)</v>
          </cell>
          <cell r="D10">
            <v>650583109.55999994</v>
          </cell>
          <cell r="E10">
            <v>-1750718377</v>
          </cell>
          <cell r="F10">
            <v>12475766.15</v>
          </cell>
          <cell r="G10">
            <v>-2117511046.21</v>
          </cell>
          <cell r="H10">
            <v>262979</v>
          </cell>
          <cell r="I10">
            <v>-11386103.65</v>
          </cell>
          <cell r="J10">
            <v>3047619.5</v>
          </cell>
          <cell r="K10">
            <v>-3561016.53</v>
          </cell>
          <cell r="L10">
            <v>0</v>
          </cell>
          <cell r="M10">
            <v>0</v>
          </cell>
          <cell r="N10">
            <v>0</v>
          </cell>
          <cell r="O10">
            <v>0</v>
          </cell>
          <cell r="P10">
            <v>666369474.21000004</v>
          </cell>
          <cell r="Q10">
            <v>-3883176543.3899999</v>
          </cell>
          <cell r="S10">
            <v>-1100135267.4400001</v>
          </cell>
          <cell r="T10">
            <v>-2116671801.74</v>
          </cell>
          <cell r="U10">
            <v>-589445743</v>
          </cell>
          <cell r="V10">
            <v>-1097876545</v>
          </cell>
          <cell r="W10">
            <v>-510689524.44000006</v>
          </cell>
          <cell r="X10">
            <v>-1018795256.74</v>
          </cell>
          <cell r="Y10">
            <v>-510689524.44000006</v>
          </cell>
          <cell r="Z10">
            <v>-1018795256.74</v>
          </cell>
          <cell r="AA10">
            <v>-1529484781.1800001</v>
          </cell>
          <cell r="AC10">
            <v>11025</v>
          </cell>
          <cell r="AD10">
            <v>0</v>
          </cell>
        </row>
        <row r="11">
          <cell r="S11">
            <v>0</v>
          </cell>
          <cell r="T11">
            <v>0</v>
          </cell>
          <cell r="U11">
            <v>0</v>
          </cell>
          <cell r="V11">
            <v>0</v>
          </cell>
          <cell r="W11">
            <v>0</v>
          </cell>
          <cell r="X11">
            <v>0</v>
          </cell>
          <cell r="Y11">
            <v>0</v>
          </cell>
          <cell r="Z11">
            <v>0</v>
          </cell>
          <cell r="AA11">
            <v>0</v>
          </cell>
          <cell r="AC11">
            <v>0</v>
          </cell>
          <cell r="AD11">
            <v>0</v>
          </cell>
        </row>
        <row r="12">
          <cell r="B12">
            <v>11030</v>
          </cell>
          <cell r="C12" t="str">
            <v>PRODUCT SALES ACCOUNT (5000) (OTHHER THAN FG [SO-POSTING])</v>
          </cell>
          <cell r="D12">
            <v>1111340</v>
          </cell>
          <cell r="E12">
            <v>-2248467</v>
          </cell>
          <cell r="F12">
            <v>42358379.490000002</v>
          </cell>
          <cell r="G12">
            <v>-52834410.189999998</v>
          </cell>
          <cell r="H12">
            <v>0</v>
          </cell>
          <cell r="I12">
            <v>0</v>
          </cell>
          <cell r="J12">
            <v>0</v>
          </cell>
          <cell r="K12">
            <v>0</v>
          </cell>
          <cell r="L12">
            <v>0</v>
          </cell>
          <cell r="M12">
            <v>0</v>
          </cell>
          <cell r="N12">
            <v>0</v>
          </cell>
          <cell r="O12">
            <v>0</v>
          </cell>
          <cell r="P12">
            <v>43469719.490000002</v>
          </cell>
          <cell r="Q12">
            <v>-55082877.189999998</v>
          </cell>
          <cell r="S12">
            <v>-1137127</v>
          </cell>
          <cell r="T12">
            <v>-10476030.699999996</v>
          </cell>
          <cell r="U12">
            <v>-1135927</v>
          </cell>
          <cell r="V12">
            <v>-4364696.2</v>
          </cell>
          <cell r="W12">
            <v>-1200</v>
          </cell>
          <cell r="X12">
            <v>-6111334.4999999953</v>
          </cell>
          <cell r="Y12">
            <v>-1200</v>
          </cell>
          <cell r="Z12">
            <v>-6111334.4999999953</v>
          </cell>
          <cell r="AA12">
            <v>-6112534.4999999953</v>
          </cell>
          <cell r="AC12">
            <v>11030</v>
          </cell>
          <cell r="AD12">
            <v>0</v>
          </cell>
        </row>
        <row r="13">
          <cell r="S13">
            <v>0</v>
          </cell>
          <cell r="T13">
            <v>0</v>
          </cell>
          <cell r="U13">
            <v>0</v>
          </cell>
          <cell r="V13">
            <v>0</v>
          </cell>
          <cell r="W13">
            <v>0</v>
          </cell>
          <cell r="X13">
            <v>0</v>
          </cell>
          <cell r="Y13">
            <v>0</v>
          </cell>
          <cell r="Z13">
            <v>0</v>
          </cell>
          <cell r="AA13">
            <v>0</v>
          </cell>
          <cell r="AC13">
            <v>0</v>
          </cell>
          <cell r="AD13">
            <v>0</v>
          </cell>
        </row>
        <row r="14">
          <cell r="B14">
            <v>11035</v>
          </cell>
          <cell r="C14" t="str">
            <v>SCRAP SALES (GENERATED OUT OF PROCESS) (5100)</v>
          </cell>
          <cell r="D14">
            <v>434089</v>
          </cell>
          <cell r="E14">
            <v>-130862594.59999999</v>
          </cell>
          <cell r="F14">
            <v>433381.5</v>
          </cell>
          <cell r="G14">
            <v>-3432345.15</v>
          </cell>
          <cell r="H14">
            <v>0</v>
          </cell>
          <cell r="I14">
            <v>0</v>
          </cell>
          <cell r="J14">
            <v>0</v>
          </cell>
          <cell r="K14">
            <v>0</v>
          </cell>
          <cell r="L14">
            <v>0</v>
          </cell>
          <cell r="M14">
            <v>0</v>
          </cell>
          <cell r="N14">
            <v>0</v>
          </cell>
          <cell r="O14">
            <v>0</v>
          </cell>
          <cell r="P14">
            <v>867470.5</v>
          </cell>
          <cell r="Q14">
            <v>-134294939.75</v>
          </cell>
          <cell r="S14">
            <v>-130428505.59999999</v>
          </cell>
          <cell r="T14">
            <v>-2998963.65</v>
          </cell>
          <cell r="U14">
            <v>-70763796.5</v>
          </cell>
          <cell r="V14">
            <v>-1610630.65</v>
          </cell>
          <cell r="W14">
            <v>-59664709.099999994</v>
          </cell>
          <cell r="X14">
            <v>-1388333</v>
          </cell>
          <cell r="Y14">
            <v>-59664709.099999994</v>
          </cell>
          <cell r="Z14">
            <v>-1388333</v>
          </cell>
          <cell r="AA14">
            <v>-61053042.099999994</v>
          </cell>
          <cell r="AC14">
            <v>11035</v>
          </cell>
          <cell r="AD14">
            <v>0</v>
          </cell>
        </row>
        <row r="15">
          <cell r="S15">
            <v>0</v>
          </cell>
          <cell r="T15">
            <v>0</v>
          </cell>
          <cell r="U15">
            <v>0</v>
          </cell>
          <cell r="V15">
            <v>0</v>
          </cell>
          <cell r="W15">
            <v>0</v>
          </cell>
          <cell r="X15">
            <v>0</v>
          </cell>
          <cell r="Y15">
            <v>0</v>
          </cell>
          <cell r="Z15">
            <v>0</v>
          </cell>
          <cell r="AA15">
            <v>0</v>
          </cell>
          <cell r="AC15">
            <v>0</v>
          </cell>
          <cell r="AD15">
            <v>0</v>
          </cell>
        </row>
        <row r="16">
          <cell r="B16">
            <v>11040</v>
          </cell>
          <cell r="C16" t="str">
            <v>SCRAP SALES - MISC (N)</v>
          </cell>
          <cell r="D16">
            <v>0</v>
          </cell>
          <cell r="E16">
            <v>-147776.97</v>
          </cell>
          <cell r="F16">
            <v>0</v>
          </cell>
          <cell r="G16">
            <v>0</v>
          </cell>
          <cell r="H16">
            <v>0</v>
          </cell>
          <cell r="I16">
            <v>0</v>
          </cell>
          <cell r="J16">
            <v>0</v>
          </cell>
          <cell r="K16">
            <v>0</v>
          </cell>
          <cell r="L16">
            <v>0</v>
          </cell>
          <cell r="M16">
            <v>0</v>
          </cell>
          <cell r="N16">
            <v>0</v>
          </cell>
          <cell r="O16">
            <v>0</v>
          </cell>
          <cell r="P16">
            <v>0</v>
          </cell>
          <cell r="Q16">
            <v>-147776.97</v>
          </cell>
          <cell r="S16">
            <v>-147776.97</v>
          </cell>
          <cell r="T16">
            <v>0</v>
          </cell>
          <cell r="U16">
            <v>-147776.97</v>
          </cell>
          <cell r="V16">
            <v>0</v>
          </cell>
          <cell r="W16">
            <v>0</v>
          </cell>
          <cell r="X16">
            <v>0</v>
          </cell>
          <cell r="Y16">
            <v>0</v>
          </cell>
          <cell r="Z16">
            <v>0</v>
          </cell>
          <cell r="AA16">
            <v>0</v>
          </cell>
          <cell r="AC16">
            <v>11040</v>
          </cell>
          <cell r="AD16">
            <v>0</v>
          </cell>
        </row>
        <row r="17">
          <cell r="S17">
            <v>0</v>
          </cell>
          <cell r="T17">
            <v>0</v>
          </cell>
          <cell r="U17">
            <v>0</v>
          </cell>
          <cell r="V17">
            <v>0</v>
          </cell>
          <cell r="W17">
            <v>0</v>
          </cell>
          <cell r="X17">
            <v>0</v>
          </cell>
          <cell r="Y17">
            <v>0</v>
          </cell>
          <cell r="Z17">
            <v>0</v>
          </cell>
          <cell r="AA17">
            <v>0</v>
          </cell>
          <cell r="AC17">
            <v>0</v>
          </cell>
          <cell r="AD17">
            <v>0</v>
          </cell>
        </row>
        <row r="18">
          <cell r="B18">
            <v>11205</v>
          </cell>
          <cell r="C18" t="str">
            <v>DEPB BENIFIT A/C (INCOME FROM DEPB)</v>
          </cell>
          <cell r="D18">
            <v>1564648</v>
          </cell>
          <cell r="E18">
            <v>-17339008</v>
          </cell>
          <cell r="F18">
            <v>0</v>
          </cell>
          <cell r="G18">
            <v>-6264</v>
          </cell>
          <cell r="H18">
            <v>0</v>
          </cell>
          <cell r="I18">
            <v>0</v>
          </cell>
          <cell r="J18">
            <v>0</v>
          </cell>
          <cell r="K18">
            <v>0</v>
          </cell>
          <cell r="L18">
            <v>0</v>
          </cell>
          <cell r="M18">
            <v>0</v>
          </cell>
          <cell r="N18">
            <v>0</v>
          </cell>
          <cell r="O18">
            <v>0</v>
          </cell>
          <cell r="P18">
            <v>1564648</v>
          </cell>
          <cell r="Q18">
            <v>-17345272</v>
          </cell>
          <cell r="S18">
            <v>-15774360</v>
          </cell>
          <cell r="T18">
            <v>-6264</v>
          </cell>
          <cell r="U18">
            <v>-12989350.5</v>
          </cell>
          <cell r="V18">
            <v>0</v>
          </cell>
          <cell r="W18">
            <v>-2785009.5</v>
          </cell>
          <cell r="X18">
            <v>-6264</v>
          </cell>
          <cell r="Y18">
            <v>-2785009.5</v>
          </cell>
          <cell r="Z18">
            <v>-6264</v>
          </cell>
          <cell r="AA18">
            <v>-2791273.5</v>
          </cell>
          <cell r="AC18">
            <v>11205</v>
          </cell>
          <cell r="AD18">
            <v>0</v>
          </cell>
        </row>
        <row r="19">
          <cell r="S19">
            <v>0</v>
          </cell>
          <cell r="T19">
            <v>0</v>
          </cell>
          <cell r="U19">
            <v>0</v>
          </cell>
          <cell r="V19">
            <v>0</v>
          </cell>
          <cell r="W19">
            <v>0</v>
          </cell>
          <cell r="X19">
            <v>0</v>
          </cell>
          <cell r="Y19">
            <v>0</v>
          </cell>
          <cell r="Z19">
            <v>0</v>
          </cell>
          <cell r="AA19">
            <v>0</v>
          </cell>
          <cell r="AC19">
            <v>0</v>
          </cell>
          <cell r="AD19">
            <v>0</v>
          </cell>
        </row>
        <row r="20">
          <cell r="B20">
            <v>11210</v>
          </cell>
          <cell r="C20" t="str">
            <v>MARKETING &amp; MANAGEMENT FEES (INCOME) (5210)</v>
          </cell>
          <cell r="D20">
            <v>0</v>
          </cell>
          <cell r="E20">
            <v>0</v>
          </cell>
          <cell r="F20">
            <v>0</v>
          </cell>
          <cell r="G20">
            <v>0</v>
          </cell>
          <cell r="H20">
            <v>0</v>
          </cell>
          <cell r="I20">
            <v>0</v>
          </cell>
          <cell r="J20">
            <v>0</v>
          </cell>
          <cell r="K20">
            <v>0</v>
          </cell>
          <cell r="L20">
            <v>0</v>
          </cell>
          <cell r="M20">
            <v>-8863450</v>
          </cell>
          <cell r="N20">
            <v>0</v>
          </cell>
          <cell r="O20">
            <v>0</v>
          </cell>
          <cell r="P20">
            <v>0</v>
          </cell>
          <cell r="Q20">
            <v>0</v>
          </cell>
          <cell r="S20">
            <v>-8863450</v>
          </cell>
          <cell r="T20">
            <v>0</v>
          </cell>
          <cell r="U20">
            <v>-8863450</v>
          </cell>
          <cell r="V20">
            <v>0</v>
          </cell>
          <cell r="W20">
            <v>0</v>
          </cell>
          <cell r="X20">
            <v>0</v>
          </cell>
          <cell r="Y20">
            <v>0</v>
          </cell>
          <cell r="Z20">
            <v>0</v>
          </cell>
          <cell r="AA20">
            <v>0</v>
          </cell>
          <cell r="AC20">
            <v>11210</v>
          </cell>
          <cell r="AD20">
            <v>0</v>
          </cell>
        </row>
        <row r="21">
          <cell r="S21">
            <v>0</v>
          </cell>
          <cell r="T21">
            <v>0</v>
          </cell>
          <cell r="U21">
            <v>0</v>
          </cell>
          <cell r="V21">
            <v>0</v>
          </cell>
          <cell r="W21">
            <v>0</v>
          </cell>
          <cell r="X21">
            <v>0</v>
          </cell>
          <cell r="Y21">
            <v>0</v>
          </cell>
          <cell r="Z21">
            <v>0</v>
          </cell>
          <cell r="AA21">
            <v>0</v>
          </cell>
          <cell r="AC21">
            <v>0</v>
          </cell>
          <cell r="AD21">
            <v>0</v>
          </cell>
        </row>
        <row r="22">
          <cell r="B22">
            <v>11215</v>
          </cell>
          <cell r="C22" t="str">
            <v>INTEREST RECEIVED (5150)</v>
          </cell>
          <cell r="D22">
            <v>761310</v>
          </cell>
          <cell r="E22">
            <v>-999747.87</v>
          </cell>
          <cell r="F22">
            <v>9668</v>
          </cell>
          <cell r="G22">
            <v>-755678</v>
          </cell>
          <cell r="H22">
            <v>0</v>
          </cell>
          <cell r="I22">
            <v>0</v>
          </cell>
          <cell r="J22">
            <v>0</v>
          </cell>
          <cell r="K22">
            <v>0</v>
          </cell>
          <cell r="L22">
            <v>23892</v>
          </cell>
          <cell r="M22">
            <v>-58776.63</v>
          </cell>
          <cell r="N22">
            <v>0</v>
          </cell>
          <cell r="O22">
            <v>0</v>
          </cell>
          <cell r="P22">
            <v>770978</v>
          </cell>
          <cell r="Q22">
            <v>-1755425.87</v>
          </cell>
          <cell r="S22">
            <v>-273322.5</v>
          </cell>
          <cell r="T22">
            <v>-746010</v>
          </cell>
          <cell r="U22">
            <v>-272129.5</v>
          </cell>
          <cell r="V22">
            <v>-728875</v>
          </cell>
          <cell r="W22">
            <v>-1193</v>
          </cell>
          <cell r="X22">
            <v>-17135</v>
          </cell>
          <cell r="Y22">
            <v>-1193</v>
          </cell>
          <cell r="Z22">
            <v>-17135</v>
          </cell>
          <cell r="AA22">
            <v>-18328</v>
          </cell>
          <cell r="AC22">
            <v>11215</v>
          </cell>
          <cell r="AD22">
            <v>0</v>
          </cell>
        </row>
        <row r="23">
          <cell r="S23">
            <v>0</v>
          </cell>
          <cell r="T23">
            <v>0</v>
          </cell>
          <cell r="U23">
            <v>0</v>
          </cell>
          <cell r="V23">
            <v>0</v>
          </cell>
          <cell r="W23">
            <v>0</v>
          </cell>
          <cell r="X23">
            <v>0</v>
          </cell>
          <cell r="Y23">
            <v>0</v>
          </cell>
          <cell r="Z23">
            <v>0</v>
          </cell>
          <cell r="AA23">
            <v>0</v>
          </cell>
          <cell r="AC23">
            <v>0</v>
          </cell>
          <cell r="AD23">
            <v>0</v>
          </cell>
        </row>
        <row r="24">
          <cell r="B24">
            <v>11220</v>
          </cell>
          <cell r="C24" t="str">
            <v>PROVISION (DRS) NO LONGER REQUIRED W/BACK (5180)</v>
          </cell>
          <cell r="D24">
            <v>0</v>
          </cell>
          <cell r="E24">
            <v>0</v>
          </cell>
          <cell r="F24">
            <v>197207</v>
          </cell>
          <cell r="G24">
            <v>-197207</v>
          </cell>
          <cell r="H24">
            <v>0</v>
          </cell>
          <cell r="I24">
            <v>0</v>
          </cell>
          <cell r="J24">
            <v>0</v>
          </cell>
          <cell r="K24">
            <v>0</v>
          </cell>
          <cell r="L24">
            <v>0</v>
          </cell>
          <cell r="M24">
            <v>0</v>
          </cell>
          <cell r="N24">
            <v>0</v>
          </cell>
          <cell r="O24">
            <v>0</v>
          </cell>
          <cell r="P24">
            <v>197207</v>
          </cell>
          <cell r="Q24">
            <v>-197207</v>
          </cell>
          <cell r="S24">
            <v>0</v>
          </cell>
          <cell r="T24">
            <v>0</v>
          </cell>
          <cell r="U24">
            <v>0</v>
          </cell>
          <cell r="V24">
            <v>0</v>
          </cell>
          <cell r="W24">
            <v>0</v>
          </cell>
          <cell r="X24">
            <v>0</v>
          </cell>
          <cell r="Y24">
            <v>0</v>
          </cell>
          <cell r="Z24">
            <v>0</v>
          </cell>
          <cell r="AA24">
            <v>0</v>
          </cell>
          <cell r="AC24">
            <v>11220</v>
          </cell>
          <cell r="AD24">
            <v>0</v>
          </cell>
        </row>
        <row r="25">
          <cell r="S25">
            <v>0</v>
          </cell>
          <cell r="T25">
            <v>0</v>
          </cell>
          <cell r="U25">
            <v>0</v>
          </cell>
          <cell r="V25">
            <v>0</v>
          </cell>
          <cell r="W25">
            <v>0</v>
          </cell>
          <cell r="X25">
            <v>0</v>
          </cell>
          <cell r="Y25">
            <v>0</v>
          </cell>
          <cell r="Z25">
            <v>0</v>
          </cell>
          <cell r="AA25">
            <v>0</v>
          </cell>
          <cell r="AC25">
            <v>0</v>
          </cell>
          <cell r="AD25">
            <v>0</v>
          </cell>
        </row>
        <row r="26">
          <cell r="B26">
            <v>11225</v>
          </cell>
          <cell r="C26" t="str">
            <v>SUNDRY CREDIT BALANCES WRITTEN BACK (5235)</v>
          </cell>
          <cell r="D26">
            <v>0</v>
          </cell>
          <cell r="E26">
            <v>-742186.15</v>
          </cell>
          <cell r="F26">
            <v>0</v>
          </cell>
          <cell r="G26">
            <v>-107739.02</v>
          </cell>
          <cell r="H26">
            <v>0</v>
          </cell>
          <cell r="I26">
            <v>0</v>
          </cell>
          <cell r="J26">
            <v>0</v>
          </cell>
          <cell r="K26">
            <v>0</v>
          </cell>
          <cell r="L26">
            <v>0</v>
          </cell>
          <cell r="M26">
            <v>0</v>
          </cell>
          <cell r="N26">
            <v>0</v>
          </cell>
          <cell r="O26">
            <v>0</v>
          </cell>
          <cell r="P26">
            <v>0</v>
          </cell>
          <cell r="Q26">
            <v>-849925.17</v>
          </cell>
          <cell r="S26">
            <v>-742186.15</v>
          </cell>
          <cell r="T26">
            <v>-107739.02</v>
          </cell>
          <cell r="U26">
            <v>-738482.15</v>
          </cell>
          <cell r="V26">
            <v>-55651.67</v>
          </cell>
          <cell r="W26">
            <v>-3704</v>
          </cell>
          <cell r="X26">
            <v>-52087.350000000006</v>
          </cell>
          <cell r="Y26">
            <v>-3704</v>
          </cell>
          <cell r="Z26">
            <v>-52087.350000000006</v>
          </cell>
          <cell r="AA26">
            <v>-55791.350000000006</v>
          </cell>
          <cell r="AC26">
            <v>11225</v>
          </cell>
          <cell r="AD26">
            <v>0</v>
          </cell>
        </row>
        <row r="27">
          <cell r="S27">
            <v>0</v>
          </cell>
          <cell r="T27">
            <v>0</v>
          </cell>
          <cell r="U27">
            <v>0</v>
          </cell>
          <cell r="V27">
            <v>0</v>
          </cell>
          <cell r="W27">
            <v>0</v>
          </cell>
          <cell r="X27">
            <v>0</v>
          </cell>
          <cell r="Y27">
            <v>0</v>
          </cell>
          <cell r="Z27">
            <v>0</v>
          </cell>
          <cell r="AA27">
            <v>0</v>
          </cell>
          <cell r="AC27">
            <v>0</v>
          </cell>
          <cell r="AD27">
            <v>0</v>
          </cell>
        </row>
        <row r="28">
          <cell r="B28">
            <v>11230</v>
          </cell>
          <cell r="C28" t="str">
            <v>LIABILITIES NO LONGER REQUIRED WRITTEN BACK</v>
          </cell>
          <cell r="D28">
            <v>0</v>
          </cell>
          <cell r="E28">
            <v>-1586281</v>
          </cell>
          <cell r="F28">
            <v>0</v>
          </cell>
          <cell r="G28">
            <v>-1080450.5600000001</v>
          </cell>
          <cell r="H28">
            <v>0</v>
          </cell>
          <cell r="I28">
            <v>0</v>
          </cell>
          <cell r="J28">
            <v>0</v>
          </cell>
          <cell r="K28">
            <v>0</v>
          </cell>
          <cell r="L28">
            <v>0</v>
          </cell>
          <cell r="M28">
            <v>-29450302</v>
          </cell>
          <cell r="N28">
            <v>0</v>
          </cell>
          <cell r="O28">
            <v>0</v>
          </cell>
          <cell r="P28">
            <v>0</v>
          </cell>
          <cell r="Q28">
            <v>-2666731.56</v>
          </cell>
          <cell r="S28">
            <v>-31036583</v>
          </cell>
          <cell r="T28">
            <v>-1080450.5600000001</v>
          </cell>
          <cell r="U28">
            <v>-31036583</v>
          </cell>
          <cell r="V28">
            <v>-1080450.5600000001</v>
          </cell>
          <cell r="W28">
            <v>0</v>
          </cell>
          <cell r="X28">
            <v>0</v>
          </cell>
          <cell r="Y28">
            <v>0</v>
          </cell>
          <cell r="Z28">
            <v>0</v>
          </cell>
          <cell r="AA28">
            <v>0</v>
          </cell>
          <cell r="AC28">
            <v>11230</v>
          </cell>
          <cell r="AD28">
            <v>0</v>
          </cell>
        </row>
        <row r="29">
          <cell r="S29">
            <v>0</v>
          </cell>
          <cell r="T29">
            <v>0</v>
          </cell>
          <cell r="U29">
            <v>0</v>
          </cell>
          <cell r="V29">
            <v>0</v>
          </cell>
          <cell r="W29">
            <v>0</v>
          </cell>
          <cell r="X29">
            <v>0</v>
          </cell>
          <cell r="Y29">
            <v>0</v>
          </cell>
          <cell r="Z29">
            <v>0</v>
          </cell>
          <cell r="AA29">
            <v>0</v>
          </cell>
          <cell r="AC29">
            <v>0</v>
          </cell>
          <cell r="AD29">
            <v>0</v>
          </cell>
        </row>
        <row r="30">
          <cell r="B30">
            <v>11240</v>
          </cell>
          <cell r="C30" t="str">
            <v>PROFIT ON SALE OF ASSETS (5170)</v>
          </cell>
          <cell r="D30">
            <v>0</v>
          </cell>
          <cell r="E30">
            <v>-42029</v>
          </cell>
          <cell r="F30">
            <v>0</v>
          </cell>
          <cell r="G30">
            <v>0</v>
          </cell>
          <cell r="H30">
            <v>0</v>
          </cell>
          <cell r="I30">
            <v>0</v>
          </cell>
          <cell r="J30">
            <v>0</v>
          </cell>
          <cell r="K30">
            <v>0</v>
          </cell>
          <cell r="L30">
            <v>0</v>
          </cell>
          <cell r="M30">
            <v>0</v>
          </cell>
          <cell r="N30">
            <v>0</v>
          </cell>
          <cell r="O30">
            <v>0</v>
          </cell>
          <cell r="P30">
            <v>0</v>
          </cell>
          <cell r="Q30">
            <v>-42029</v>
          </cell>
          <cell r="S30">
            <v>-42029</v>
          </cell>
          <cell r="T30">
            <v>0</v>
          </cell>
          <cell r="U30">
            <v>-40529</v>
          </cell>
          <cell r="V30">
            <v>0</v>
          </cell>
          <cell r="W30">
            <v>-1500</v>
          </cell>
          <cell r="X30">
            <v>0</v>
          </cell>
          <cell r="Y30">
            <v>-1500</v>
          </cell>
          <cell r="Z30">
            <v>0</v>
          </cell>
          <cell r="AA30">
            <v>-1500</v>
          </cell>
          <cell r="AC30">
            <v>11240</v>
          </cell>
          <cell r="AD30">
            <v>0</v>
          </cell>
        </row>
        <row r="31">
          <cell r="S31">
            <v>0</v>
          </cell>
          <cell r="T31">
            <v>0</v>
          </cell>
          <cell r="U31">
            <v>0</v>
          </cell>
          <cell r="V31">
            <v>0</v>
          </cell>
          <cell r="W31">
            <v>0</v>
          </cell>
          <cell r="X31">
            <v>0</v>
          </cell>
          <cell r="Y31">
            <v>0</v>
          </cell>
          <cell r="Z31">
            <v>0</v>
          </cell>
          <cell r="AA31">
            <v>0</v>
          </cell>
          <cell r="AC31">
            <v>0</v>
          </cell>
          <cell r="AD31">
            <v>0</v>
          </cell>
        </row>
        <row r="32">
          <cell r="B32">
            <v>11245</v>
          </cell>
          <cell r="C32" t="str">
            <v>DIVIDEND INCOME (5240)</v>
          </cell>
          <cell r="D32">
            <v>0</v>
          </cell>
          <cell r="E32">
            <v>0</v>
          </cell>
          <cell r="F32">
            <v>0</v>
          </cell>
          <cell r="G32">
            <v>0</v>
          </cell>
          <cell r="H32">
            <v>0</v>
          </cell>
          <cell r="I32">
            <v>0</v>
          </cell>
          <cell r="J32">
            <v>0</v>
          </cell>
          <cell r="K32">
            <v>0</v>
          </cell>
          <cell r="L32">
            <v>0</v>
          </cell>
          <cell r="M32">
            <v>-24123000</v>
          </cell>
          <cell r="N32">
            <v>0</v>
          </cell>
          <cell r="O32">
            <v>0</v>
          </cell>
          <cell r="P32">
            <v>0</v>
          </cell>
          <cell r="Q32">
            <v>0</v>
          </cell>
          <cell r="S32">
            <v>-24123000</v>
          </cell>
          <cell r="T32">
            <v>0</v>
          </cell>
          <cell r="U32">
            <v>-10098000</v>
          </cell>
          <cell r="V32">
            <v>0</v>
          </cell>
          <cell r="W32">
            <v>-14025000</v>
          </cell>
          <cell r="X32">
            <v>0</v>
          </cell>
          <cell r="Y32">
            <v>-14025000</v>
          </cell>
          <cell r="Z32">
            <v>0</v>
          </cell>
          <cell r="AA32">
            <v>-14025000</v>
          </cell>
          <cell r="AC32">
            <v>11245</v>
          </cell>
          <cell r="AD32">
            <v>0</v>
          </cell>
        </row>
        <row r="33">
          <cell r="S33">
            <v>0</v>
          </cell>
          <cell r="T33">
            <v>0</v>
          </cell>
          <cell r="U33">
            <v>0</v>
          </cell>
          <cell r="V33">
            <v>0</v>
          </cell>
          <cell r="W33">
            <v>0</v>
          </cell>
          <cell r="X33">
            <v>0</v>
          </cell>
          <cell r="Y33">
            <v>0</v>
          </cell>
          <cell r="Z33">
            <v>0</v>
          </cell>
          <cell r="AA33">
            <v>0</v>
          </cell>
          <cell r="AC33">
            <v>0</v>
          </cell>
          <cell r="AD33">
            <v>0</v>
          </cell>
        </row>
        <row r="34">
          <cell r="B34">
            <v>12140</v>
          </cell>
          <cell r="C34" t="str">
            <v>ROUNDING OF DIFF A/C</v>
          </cell>
          <cell r="D34">
            <v>0</v>
          </cell>
          <cell r="E34">
            <v>0</v>
          </cell>
          <cell r="F34">
            <v>0</v>
          </cell>
          <cell r="G34">
            <v>0</v>
          </cell>
          <cell r="H34">
            <v>0</v>
          </cell>
          <cell r="I34">
            <v>0</v>
          </cell>
          <cell r="J34">
            <v>0</v>
          </cell>
          <cell r="K34">
            <v>0</v>
          </cell>
          <cell r="L34">
            <v>0</v>
          </cell>
          <cell r="M34">
            <v>0</v>
          </cell>
          <cell r="N34">
            <v>0.11</v>
          </cell>
          <cell r="O34">
            <v>-0.01</v>
          </cell>
          <cell r="P34">
            <v>0.11</v>
          </cell>
          <cell r="Q34">
            <v>-0.01</v>
          </cell>
          <cell r="S34">
            <v>0.1</v>
          </cell>
          <cell r="T34">
            <v>0</v>
          </cell>
          <cell r="U34">
            <v>0.03</v>
          </cell>
          <cell r="V34">
            <v>0</v>
          </cell>
          <cell r="W34">
            <v>7.0000000000000007E-2</v>
          </cell>
          <cell r="X34">
            <v>0</v>
          </cell>
          <cell r="Y34">
            <v>7.0000000000000007E-2</v>
          </cell>
          <cell r="Z34">
            <v>0</v>
          </cell>
          <cell r="AA34">
            <v>7.0000000000000007E-2</v>
          </cell>
          <cell r="AC34">
            <v>12140</v>
          </cell>
          <cell r="AD34">
            <v>0</v>
          </cell>
        </row>
        <row r="35">
          <cell r="S35">
            <v>0</v>
          </cell>
          <cell r="T35">
            <v>0</v>
          </cell>
          <cell r="U35">
            <v>0</v>
          </cell>
          <cell r="V35">
            <v>0</v>
          </cell>
          <cell r="W35">
            <v>0</v>
          </cell>
          <cell r="X35">
            <v>0</v>
          </cell>
          <cell r="Y35">
            <v>0</v>
          </cell>
          <cell r="Z35">
            <v>0</v>
          </cell>
          <cell r="AA35">
            <v>0</v>
          </cell>
          <cell r="AC35">
            <v>0</v>
          </cell>
          <cell r="AD35">
            <v>0</v>
          </cell>
        </row>
        <row r="36">
          <cell r="B36">
            <v>12142</v>
          </cell>
          <cell r="C36" t="str">
            <v>ORDER INVOICE ROUNDING (SYS)</v>
          </cell>
          <cell r="D36">
            <v>650.53</v>
          </cell>
          <cell r="E36">
            <v>-865.06</v>
          </cell>
          <cell r="F36">
            <v>1404.18</v>
          </cell>
          <cell r="G36">
            <v>-1617.77</v>
          </cell>
          <cell r="H36">
            <v>6.13</v>
          </cell>
          <cell r="I36">
            <v>-10.17</v>
          </cell>
          <cell r="J36">
            <v>1.19</v>
          </cell>
          <cell r="K36">
            <v>-1.8</v>
          </cell>
          <cell r="L36">
            <v>0</v>
          </cell>
          <cell r="M36">
            <v>0</v>
          </cell>
          <cell r="N36">
            <v>0</v>
          </cell>
          <cell r="O36">
            <v>0</v>
          </cell>
          <cell r="P36">
            <v>2062.0300000000002</v>
          </cell>
          <cell r="Q36">
            <v>-2494.8000000000002</v>
          </cell>
          <cell r="S36">
            <v>-214.52999999999997</v>
          </cell>
          <cell r="T36">
            <v>-218.23999999999992</v>
          </cell>
          <cell r="U36">
            <v>-31.7</v>
          </cell>
          <cell r="V36">
            <v>-129.33000000000001</v>
          </cell>
          <cell r="W36">
            <v>-182.82999999999998</v>
          </cell>
          <cell r="X36">
            <v>-88.909999999999911</v>
          </cell>
          <cell r="Y36">
            <v>-182.82999999999998</v>
          </cell>
          <cell r="Z36">
            <v>-88.909999999999911</v>
          </cell>
          <cell r="AA36">
            <v>-271.7399999999999</v>
          </cell>
          <cell r="AC36">
            <v>12142</v>
          </cell>
          <cell r="AD36">
            <v>0</v>
          </cell>
        </row>
        <row r="37">
          <cell r="S37">
            <v>0</v>
          </cell>
          <cell r="T37">
            <v>0</v>
          </cell>
          <cell r="U37">
            <v>0</v>
          </cell>
          <cell r="V37">
            <v>0</v>
          </cell>
          <cell r="W37">
            <v>0</v>
          </cell>
          <cell r="X37">
            <v>0</v>
          </cell>
          <cell r="Y37">
            <v>0</v>
          </cell>
          <cell r="Z37">
            <v>0</v>
          </cell>
          <cell r="AA37">
            <v>0</v>
          </cell>
          <cell r="AC37">
            <v>0</v>
          </cell>
          <cell r="AD37">
            <v>0</v>
          </cell>
        </row>
        <row r="38">
          <cell r="B38">
            <v>12145</v>
          </cell>
          <cell r="C38" t="str">
            <v>DISCOUNT RECEIVED</v>
          </cell>
          <cell r="D38">
            <v>250883.4</v>
          </cell>
          <cell r="E38">
            <v>-872827.9</v>
          </cell>
          <cell r="F38">
            <v>20529</v>
          </cell>
          <cell r="G38">
            <v>-2504473.85</v>
          </cell>
          <cell r="H38">
            <v>0</v>
          </cell>
          <cell r="I38">
            <v>0</v>
          </cell>
          <cell r="J38">
            <v>0</v>
          </cell>
          <cell r="K38">
            <v>0</v>
          </cell>
          <cell r="L38">
            <v>0</v>
          </cell>
          <cell r="M38">
            <v>0</v>
          </cell>
          <cell r="N38">
            <v>0</v>
          </cell>
          <cell r="O38">
            <v>0</v>
          </cell>
          <cell r="P38">
            <v>271412.40000000002</v>
          </cell>
          <cell r="Q38">
            <v>-3377301.75</v>
          </cell>
          <cell r="S38">
            <v>-621944.5</v>
          </cell>
          <cell r="T38">
            <v>-2483944.85</v>
          </cell>
          <cell r="U38">
            <v>-524711.5</v>
          </cell>
          <cell r="V38">
            <v>-2444163.85</v>
          </cell>
          <cell r="W38">
            <v>-97233</v>
          </cell>
          <cell r="X38">
            <v>-39781</v>
          </cell>
          <cell r="Y38">
            <v>-97233</v>
          </cell>
          <cell r="Z38">
            <v>-39781</v>
          </cell>
          <cell r="AA38">
            <v>-137014</v>
          </cell>
          <cell r="AC38">
            <v>12145</v>
          </cell>
          <cell r="AD38">
            <v>0</v>
          </cell>
        </row>
        <row r="39">
          <cell r="S39">
            <v>0</v>
          </cell>
          <cell r="T39">
            <v>0</v>
          </cell>
          <cell r="U39">
            <v>0</v>
          </cell>
          <cell r="V39">
            <v>0</v>
          </cell>
          <cell r="W39">
            <v>0</v>
          </cell>
          <cell r="X39">
            <v>0</v>
          </cell>
          <cell r="Y39">
            <v>0</v>
          </cell>
          <cell r="Z39">
            <v>0</v>
          </cell>
          <cell r="AA39">
            <v>0</v>
          </cell>
          <cell r="AC39">
            <v>0</v>
          </cell>
          <cell r="AD39">
            <v>0</v>
          </cell>
        </row>
        <row r="40">
          <cell r="B40">
            <v>12146</v>
          </cell>
          <cell r="C40" t="str">
            <v>OPENING STOCK OF RAW MATERIALS</v>
          </cell>
          <cell r="D40">
            <v>33200792</v>
          </cell>
          <cell r="E40">
            <v>0</v>
          </cell>
          <cell r="F40">
            <v>36262050</v>
          </cell>
          <cell r="G40">
            <v>0</v>
          </cell>
          <cell r="H40">
            <v>0</v>
          </cell>
          <cell r="I40">
            <v>0</v>
          </cell>
          <cell r="J40">
            <v>0</v>
          </cell>
          <cell r="K40">
            <v>0</v>
          </cell>
          <cell r="L40">
            <v>0</v>
          </cell>
          <cell r="M40">
            <v>0</v>
          </cell>
          <cell r="N40">
            <v>0</v>
          </cell>
          <cell r="O40">
            <v>0</v>
          </cell>
          <cell r="P40">
            <v>69462842</v>
          </cell>
          <cell r="Q40">
            <v>0</v>
          </cell>
          <cell r="S40">
            <v>33200792</v>
          </cell>
          <cell r="T40">
            <v>36262050</v>
          </cell>
          <cell r="U40">
            <v>33200792</v>
          </cell>
          <cell r="V40">
            <v>36262050</v>
          </cell>
          <cell r="W40">
            <v>0</v>
          </cell>
          <cell r="X40">
            <v>0</v>
          </cell>
          <cell r="Y40">
            <v>0</v>
          </cell>
          <cell r="Z40">
            <v>0</v>
          </cell>
          <cell r="AA40">
            <v>0</v>
          </cell>
          <cell r="AC40">
            <v>12146</v>
          </cell>
          <cell r="AD40">
            <v>0</v>
          </cell>
        </row>
        <row r="41">
          <cell r="S41">
            <v>0</v>
          </cell>
          <cell r="T41">
            <v>0</v>
          </cell>
          <cell r="U41">
            <v>0</v>
          </cell>
          <cell r="V41">
            <v>0</v>
          </cell>
          <cell r="W41">
            <v>0</v>
          </cell>
          <cell r="X41">
            <v>0</v>
          </cell>
          <cell r="Y41">
            <v>0</v>
          </cell>
          <cell r="Z41">
            <v>0</v>
          </cell>
          <cell r="AA41">
            <v>0</v>
          </cell>
          <cell r="AC41">
            <v>0</v>
          </cell>
          <cell r="AD41">
            <v>0</v>
          </cell>
        </row>
        <row r="42">
          <cell r="B42">
            <v>12150</v>
          </cell>
          <cell r="C42" t="str">
            <v>RAW MATERIAL CONSUMED (BOM)</v>
          </cell>
          <cell r="D42">
            <v>840884366.23000002</v>
          </cell>
          <cell r="E42">
            <v>-496331339.38</v>
          </cell>
          <cell r="F42">
            <v>2267199843.5500002</v>
          </cell>
          <cell r="G42">
            <v>-1515447172.76</v>
          </cell>
          <cell r="H42">
            <v>16711911.109999999</v>
          </cell>
          <cell r="I42">
            <v>-8180066.3899999997</v>
          </cell>
          <cell r="J42">
            <v>1848790.32</v>
          </cell>
          <cell r="K42">
            <v>-1452738.52</v>
          </cell>
          <cell r="L42">
            <v>0</v>
          </cell>
          <cell r="M42">
            <v>0</v>
          </cell>
          <cell r="N42">
            <v>0</v>
          </cell>
          <cell r="O42">
            <v>0</v>
          </cell>
          <cell r="P42">
            <v>3126644911.21</v>
          </cell>
          <cell r="Q42">
            <v>-2021411317.05</v>
          </cell>
          <cell r="S42">
            <v>344553026.85000002</v>
          </cell>
          <cell r="T42">
            <v>760680567.3100003</v>
          </cell>
          <cell r="U42">
            <v>0</v>
          </cell>
          <cell r="V42">
            <v>0</v>
          </cell>
          <cell r="W42">
            <v>344553026.85000002</v>
          </cell>
          <cell r="X42">
            <v>760680567.3100003</v>
          </cell>
          <cell r="Y42">
            <v>344553026.85000002</v>
          </cell>
          <cell r="Z42">
            <v>760680567.3100003</v>
          </cell>
          <cell r="AA42">
            <v>1105233594.1600003</v>
          </cell>
          <cell r="AC42">
            <v>12150</v>
          </cell>
          <cell r="AD42">
            <v>0</v>
          </cell>
        </row>
        <row r="43">
          <cell r="S43">
            <v>0</v>
          </cell>
          <cell r="T43">
            <v>0</v>
          </cell>
          <cell r="U43">
            <v>0</v>
          </cell>
          <cell r="V43">
            <v>0</v>
          </cell>
          <cell r="W43">
            <v>0</v>
          </cell>
          <cell r="X43">
            <v>0</v>
          </cell>
          <cell r="Y43">
            <v>0</v>
          </cell>
          <cell r="Z43">
            <v>0</v>
          </cell>
          <cell r="AA43">
            <v>0</v>
          </cell>
          <cell r="AC43">
            <v>0</v>
          </cell>
          <cell r="AD43">
            <v>0</v>
          </cell>
        </row>
        <row r="44">
          <cell r="B44">
            <v>12151</v>
          </cell>
          <cell r="C44" t="str">
            <v>IMPORT BOOKING DIFF IF MISC CHG. (CHARGED OFF)</v>
          </cell>
          <cell r="D44">
            <v>73103.600000000006</v>
          </cell>
          <cell r="E44">
            <v>-171554.33</v>
          </cell>
          <cell r="F44">
            <v>1144940.51</v>
          </cell>
          <cell r="G44">
            <v>-178856.86</v>
          </cell>
          <cell r="H44">
            <v>0</v>
          </cell>
          <cell r="I44">
            <v>0</v>
          </cell>
          <cell r="J44">
            <v>0</v>
          </cell>
          <cell r="K44">
            <v>0</v>
          </cell>
          <cell r="L44">
            <v>0</v>
          </cell>
          <cell r="M44">
            <v>0</v>
          </cell>
          <cell r="N44">
            <v>0</v>
          </cell>
          <cell r="O44">
            <v>0</v>
          </cell>
          <cell r="P44">
            <v>1218044.1100000001</v>
          </cell>
          <cell r="Q44">
            <v>-350411.19</v>
          </cell>
          <cell r="S44">
            <v>-98450.729999999981</v>
          </cell>
          <cell r="T44">
            <v>966083.65</v>
          </cell>
          <cell r="U44">
            <v>-98450.73</v>
          </cell>
          <cell r="V44">
            <v>957638.14</v>
          </cell>
          <cell r="W44">
            <v>0</v>
          </cell>
          <cell r="X44">
            <v>8445.5100000000093</v>
          </cell>
          <cell r="Y44">
            <v>0</v>
          </cell>
          <cell r="Z44">
            <v>8445.5100000000093</v>
          </cell>
          <cell r="AA44">
            <v>8445.5100000000093</v>
          </cell>
          <cell r="AC44">
            <v>12151</v>
          </cell>
          <cell r="AD44">
            <v>0</v>
          </cell>
        </row>
        <row r="45">
          <cell r="S45">
            <v>0</v>
          </cell>
          <cell r="T45">
            <v>0</v>
          </cell>
          <cell r="U45">
            <v>0</v>
          </cell>
          <cell r="V45">
            <v>0</v>
          </cell>
          <cell r="W45">
            <v>0</v>
          </cell>
          <cell r="X45">
            <v>0</v>
          </cell>
          <cell r="Y45">
            <v>0</v>
          </cell>
          <cell r="Z45">
            <v>0</v>
          </cell>
          <cell r="AA45">
            <v>0</v>
          </cell>
          <cell r="AC45">
            <v>0</v>
          </cell>
          <cell r="AD45">
            <v>0</v>
          </cell>
        </row>
        <row r="46">
          <cell r="B46">
            <v>12152</v>
          </cell>
          <cell r="C46" t="str">
            <v>TRANSPORT ACCOUNT PURCHASE (6102)</v>
          </cell>
          <cell r="D46">
            <v>3168980.5</v>
          </cell>
          <cell r="E46">
            <v>-614546</v>
          </cell>
          <cell r="F46">
            <v>3981381.61</v>
          </cell>
          <cell r="G46">
            <v>-158275.49</v>
          </cell>
          <cell r="H46">
            <v>0</v>
          </cell>
          <cell r="I46">
            <v>0</v>
          </cell>
          <cell r="J46">
            <v>0</v>
          </cell>
          <cell r="K46">
            <v>0</v>
          </cell>
          <cell r="L46">
            <v>11075</v>
          </cell>
          <cell r="M46">
            <v>0</v>
          </cell>
          <cell r="N46">
            <v>0</v>
          </cell>
          <cell r="O46">
            <v>0</v>
          </cell>
          <cell r="P46">
            <v>7150362.1100000003</v>
          </cell>
          <cell r="Q46">
            <v>-772821.49</v>
          </cell>
          <cell r="S46">
            <v>2565509.5</v>
          </cell>
          <cell r="T46">
            <v>3823106.12</v>
          </cell>
          <cell r="U46">
            <v>1666780.9</v>
          </cell>
          <cell r="V46">
            <v>2345171.31</v>
          </cell>
          <cell r="W46">
            <v>898728.60000000009</v>
          </cell>
          <cell r="X46">
            <v>1477934.81</v>
          </cell>
          <cell r="Y46">
            <v>898728.60000000009</v>
          </cell>
          <cell r="Z46">
            <v>1477934.81</v>
          </cell>
          <cell r="AA46">
            <v>2376663.41</v>
          </cell>
          <cell r="AC46">
            <v>12152</v>
          </cell>
          <cell r="AD46">
            <v>0</v>
          </cell>
        </row>
        <row r="47">
          <cell r="S47">
            <v>0</v>
          </cell>
          <cell r="T47">
            <v>0</v>
          </cell>
          <cell r="U47">
            <v>0</v>
          </cell>
          <cell r="V47">
            <v>0</v>
          </cell>
          <cell r="W47">
            <v>0</v>
          </cell>
          <cell r="X47">
            <v>0</v>
          </cell>
          <cell r="Y47">
            <v>0</v>
          </cell>
          <cell r="Z47">
            <v>0</v>
          </cell>
          <cell r="AA47">
            <v>0</v>
          </cell>
          <cell r="AC47">
            <v>0</v>
          </cell>
          <cell r="AD47">
            <v>0</v>
          </cell>
        </row>
        <row r="48">
          <cell r="B48">
            <v>12153</v>
          </cell>
          <cell r="C48" t="str">
            <v>CONSUMPTION RAW MATERIALS (OTHER THAN BOM)</v>
          </cell>
          <cell r="D48">
            <v>225828</v>
          </cell>
          <cell r="E48">
            <v>-225828</v>
          </cell>
          <cell r="F48">
            <v>0</v>
          </cell>
          <cell r="G48">
            <v>0</v>
          </cell>
          <cell r="H48">
            <v>0</v>
          </cell>
          <cell r="I48">
            <v>0</v>
          </cell>
          <cell r="J48">
            <v>0</v>
          </cell>
          <cell r="K48">
            <v>0</v>
          </cell>
          <cell r="L48">
            <v>0</v>
          </cell>
          <cell r="M48">
            <v>0</v>
          </cell>
          <cell r="N48">
            <v>0</v>
          </cell>
          <cell r="O48">
            <v>0</v>
          </cell>
          <cell r="P48">
            <v>225828</v>
          </cell>
          <cell r="Q48">
            <v>-225828</v>
          </cell>
          <cell r="S48">
            <v>0</v>
          </cell>
          <cell r="T48">
            <v>0</v>
          </cell>
          <cell r="U48">
            <v>0</v>
          </cell>
          <cell r="V48">
            <v>0</v>
          </cell>
          <cell r="W48">
            <v>0</v>
          </cell>
          <cell r="X48">
            <v>0</v>
          </cell>
          <cell r="Y48">
            <v>0</v>
          </cell>
          <cell r="Z48">
            <v>0</v>
          </cell>
          <cell r="AA48">
            <v>0</v>
          </cell>
          <cell r="AC48">
            <v>12153</v>
          </cell>
          <cell r="AD48">
            <v>0</v>
          </cell>
        </row>
        <row r="49">
          <cell r="S49">
            <v>0</v>
          </cell>
          <cell r="T49">
            <v>0</v>
          </cell>
          <cell r="U49">
            <v>0</v>
          </cell>
          <cell r="V49">
            <v>0</v>
          </cell>
          <cell r="W49">
            <v>0</v>
          </cell>
          <cell r="X49">
            <v>0</v>
          </cell>
          <cell r="Y49">
            <v>0</v>
          </cell>
          <cell r="Z49">
            <v>0</v>
          </cell>
          <cell r="AA49">
            <v>0</v>
          </cell>
          <cell r="AC49">
            <v>0</v>
          </cell>
          <cell r="AD49">
            <v>0</v>
          </cell>
        </row>
        <row r="50">
          <cell r="B50">
            <v>12155</v>
          </cell>
          <cell r="C50" t="str">
            <v>PLATING CHEMICALS CONSUMED (OTHER THAN BOM)</v>
          </cell>
          <cell r="D50">
            <v>12079655.18</v>
          </cell>
          <cell r="E50">
            <v>-6332229.4199999999</v>
          </cell>
          <cell r="F50">
            <v>0</v>
          </cell>
          <cell r="G50">
            <v>0</v>
          </cell>
          <cell r="H50">
            <v>0</v>
          </cell>
          <cell r="I50">
            <v>0</v>
          </cell>
          <cell r="J50">
            <v>0</v>
          </cell>
          <cell r="K50">
            <v>0</v>
          </cell>
          <cell r="L50">
            <v>0</v>
          </cell>
          <cell r="M50">
            <v>0</v>
          </cell>
          <cell r="N50">
            <v>0</v>
          </cell>
          <cell r="O50">
            <v>0</v>
          </cell>
          <cell r="P50">
            <v>12079655.18</v>
          </cell>
          <cell r="Q50">
            <v>-6332229.4199999999</v>
          </cell>
          <cell r="S50">
            <v>5747425.7599999998</v>
          </cell>
          <cell r="T50">
            <v>0</v>
          </cell>
          <cell r="U50">
            <v>0</v>
          </cell>
          <cell r="V50">
            <v>0</v>
          </cell>
          <cell r="W50">
            <v>5747425.7599999998</v>
          </cell>
          <cell r="X50">
            <v>0</v>
          </cell>
          <cell r="Y50">
            <v>5747425.7599999998</v>
          </cell>
          <cell r="Z50">
            <v>0</v>
          </cell>
          <cell r="AA50">
            <v>5747425.7599999998</v>
          </cell>
          <cell r="AC50">
            <v>12155</v>
          </cell>
          <cell r="AD50">
            <v>0</v>
          </cell>
        </row>
        <row r="51">
          <cell r="S51">
            <v>0</v>
          </cell>
          <cell r="T51">
            <v>0</v>
          </cell>
          <cell r="U51">
            <v>0</v>
          </cell>
          <cell r="V51">
            <v>0</v>
          </cell>
          <cell r="W51">
            <v>0</v>
          </cell>
          <cell r="X51">
            <v>0</v>
          </cell>
          <cell r="Y51">
            <v>0</v>
          </cell>
          <cell r="Z51">
            <v>0</v>
          </cell>
          <cell r="AA51">
            <v>0</v>
          </cell>
          <cell r="AC51">
            <v>0</v>
          </cell>
          <cell r="AD51">
            <v>0</v>
          </cell>
        </row>
        <row r="52">
          <cell r="B52">
            <v>12160</v>
          </cell>
          <cell r="C52" t="str">
            <v>NMMC EXPENSE ACCOUNT</v>
          </cell>
          <cell r="D52">
            <v>7353748.4400000004</v>
          </cell>
          <cell r="E52">
            <v>-500473.4</v>
          </cell>
          <cell r="F52">
            <v>7121429.1699999999</v>
          </cell>
          <cell r="G52">
            <v>-979779.48</v>
          </cell>
          <cell r="H52">
            <v>0</v>
          </cell>
          <cell r="I52">
            <v>0</v>
          </cell>
          <cell r="J52">
            <v>0</v>
          </cell>
          <cell r="K52">
            <v>0</v>
          </cell>
          <cell r="L52">
            <v>291</v>
          </cell>
          <cell r="M52">
            <v>-25774.55</v>
          </cell>
          <cell r="N52">
            <v>0</v>
          </cell>
          <cell r="O52">
            <v>0</v>
          </cell>
          <cell r="P52">
            <v>14475177.609999999</v>
          </cell>
          <cell r="Q52">
            <v>-1480252.88</v>
          </cell>
          <cell r="S52">
            <v>6827791.4900000002</v>
          </cell>
          <cell r="T52">
            <v>6141649.6899999995</v>
          </cell>
          <cell r="U52">
            <v>3383381.57</v>
          </cell>
          <cell r="V52">
            <v>5205621.83</v>
          </cell>
          <cell r="W52">
            <v>3444409.9200000004</v>
          </cell>
          <cell r="X52">
            <v>936027.8599999994</v>
          </cell>
          <cell r="Y52">
            <v>3444409.9200000004</v>
          </cell>
          <cell r="Z52">
            <v>936027.8599999994</v>
          </cell>
          <cell r="AA52">
            <v>4380437.7799999993</v>
          </cell>
          <cell r="AC52">
            <v>12160</v>
          </cell>
          <cell r="AD52">
            <v>0</v>
          </cell>
        </row>
        <row r="53">
          <cell r="S53">
            <v>0</v>
          </cell>
          <cell r="T53">
            <v>0</v>
          </cell>
          <cell r="U53">
            <v>0</v>
          </cell>
          <cell r="V53">
            <v>0</v>
          </cell>
          <cell r="W53">
            <v>0</v>
          </cell>
          <cell r="X53">
            <v>0</v>
          </cell>
          <cell r="Y53">
            <v>0</v>
          </cell>
          <cell r="Z53">
            <v>0</v>
          </cell>
          <cell r="AA53">
            <v>0</v>
          </cell>
          <cell r="AC53">
            <v>0</v>
          </cell>
          <cell r="AD53">
            <v>0</v>
          </cell>
        </row>
        <row r="54">
          <cell r="B54">
            <v>12165</v>
          </cell>
          <cell r="C54" t="str">
            <v>OCTROI ON PURCHASE</v>
          </cell>
          <cell r="D54">
            <v>14089</v>
          </cell>
          <cell r="E54">
            <v>0</v>
          </cell>
          <cell r="F54">
            <v>50131</v>
          </cell>
          <cell r="G54">
            <v>0</v>
          </cell>
          <cell r="H54">
            <v>0</v>
          </cell>
          <cell r="I54">
            <v>0</v>
          </cell>
          <cell r="J54">
            <v>0</v>
          </cell>
          <cell r="K54">
            <v>0</v>
          </cell>
          <cell r="L54">
            <v>0</v>
          </cell>
          <cell r="M54">
            <v>0</v>
          </cell>
          <cell r="N54">
            <v>0</v>
          </cell>
          <cell r="O54">
            <v>0</v>
          </cell>
          <cell r="P54">
            <v>64220</v>
          </cell>
          <cell r="Q54">
            <v>0</v>
          </cell>
          <cell r="S54">
            <v>14089</v>
          </cell>
          <cell r="T54">
            <v>50131</v>
          </cell>
          <cell r="U54">
            <v>14089</v>
          </cell>
          <cell r="V54">
            <v>50131</v>
          </cell>
          <cell r="W54">
            <v>0</v>
          </cell>
          <cell r="X54">
            <v>0</v>
          </cell>
          <cell r="Y54">
            <v>0</v>
          </cell>
          <cell r="Z54">
            <v>0</v>
          </cell>
          <cell r="AA54">
            <v>0</v>
          </cell>
          <cell r="AC54">
            <v>12165</v>
          </cell>
          <cell r="AD54">
            <v>0</v>
          </cell>
        </row>
        <row r="55">
          <cell r="S55">
            <v>0</v>
          </cell>
          <cell r="T55">
            <v>0</v>
          </cell>
          <cell r="U55">
            <v>0</v>
          </cell>
          <cell r="V55">
            <v>0</v>
          </cell>
          <cell r="W55">
            <v>0</v>
          </cell>
          <cell r="X55">
            <v>0</v>
          </cell>
          <cell r="Y55">
            <v>0</v>
          </cell>
          <cell r="Z55">
            <v>0</v>
          </cell>
          <cell r="AA55">
            <v>0</v>
          </cell>
          <cell r="AC55">
            <v>0</v>
          </cell>
          <cell r="AD55">
            <v>0</v>
          </cell>
        </row>
        <row r="56">
          <cell r="B56">
            <v>12170</v>
          </cell>
          <cell r="C56" t="str">
            <v>CST EXPENSES ACCOUNT</v>
          </cell>
          <cell r="D56">
            <v>288040.27</v>
          </cell>
          <cell r="E56">
            <v>-8669.2000000000007</v>
          </cell>
          <cell r="F56">
            <v>811590.66</v>
          </cell>
          <cell r="G56">
            <v>-102170.04</v>
          </cell>
          <cell r="H56">
            <v>0</v>
          </cell>
          <cell r="I56">
            <v>0</v>
          </cell>
          <cell r="J56">
            <v>0</v>
          </cell>
          <cell r="K56">
            <v>0</v>
          </cell>
          <cell r="L56">
            <v>0</v>
          </cell>
          <cell r="M56">
            <v>0</v>
          </cell>
          <cell r="N56">
            <v>0</v>
          </cell>
          <cell r="O56">
            <v>0</v>
          </cell>
          <cell r="P56">
            <v>1099630.93</v>
          </cell>
          <cell r="Q56">
            <v>-110839.24</v>
          </cell>
          <cell r="S56">
            <v>279371.07</v>
          </cell>
          <cell r="T56">
            <v>709420.62</v>
          </cell>
          <cell r="U56">
            <v>99064.72</v>
          </cell>
          <cell r="V56">
            <v>284824.94</v>
          </cell>
          <cell r="W56">
            <v>180306.35</v>
          </cell>
          <cell r="X56">
            <v>424595.68</v>
          </cell>
          <cell r="Y56">
            <v>180306.35</v>
          </cell>
          <cell r="Z56">
            <v>424595.68</v>
          </cell>
          <cell r="AA56">
            <v>604902.03</v>
          </cell>
          <cell r="AC56">
            <v>12170</v>
          </cell>
          <cell r="AD56">
            <v>0</v>
          </cell>
        </row>
        <row r="57">
          <cell r="S57">
            <v>0</v>
          </cell>
          <cell r="T57">
            <v>0</v>
          </cell>
          <cell r="U57">
            <v>0</v>
          </cell>
          <cell r="V57">
            <v>0</v>
          </cell>
          <cell r="W57">
            <v>0</v>
          </cell>
          <cell r="X57">
            <v>0</v>
          </cell>
          <cell r="Y57">
            <v>0</v>
          </cell>
          <cell r="Z57">
            <v>0</v>
          </cell>
          <cell r="AA57">
            <v>0</v>
          </cell>
          <cell r="AC57">
            <v>0</v>
          </cell>
          <cell r="AD57">
            <v>0</v>
          </cell>
        </row>
        <row r="58">
          <cell r="B58">
            <v>12175</v>
          </cell>
          <cell r="C58" t="str">
            <v>Excise duty on FG Stock (Purchase/Consumption)</v>
          </cell>
          <cell r="D58">
            <v>2166858</v>
          </cell>
          <cell r="E58">
            <v>-4550086</v>
          </cell>
          <cell r="F58">
            <v>2034874</v>
          </cell>
          <cell r="G58">
            <v>-2082529</v>
          </cell>
          <cell r="H58">
            <v>0</v>
          </cell>
          <cell r="I58">
            <v>0</v>
          </cell>
          <cell r="J58">
            <v>0</v>
          </cell>
          <cell r="K58">
            <v>0</v>
          </cell>
          <cell r="L58">
            <v>0</v>
          </cell>
          <cell r="M58">
            <v>0</v>
          </cell>
          <cell r="N58">
            <v>0</v>
          </cell>
          <cell r="O58">
            <v>0</v>
          </cell>
          <cell r="P58">
            <v>4201732</v>
          </cell>
          <cell r="Q58">
            <v>-6632615</v>
          </cell>
          <cell r="S58">
            <v>-2383228</v>
          </cell>
          <cell r="T58">
            <v>-47655</v>
          </cell>
          <cell r="U58">
            <v>-2383228</v>
          </cell>
          <cell r="V58">
            <v>-47655</v>
          </cell>
          <cell r="W58">
            <v>0</v>
          </cell>
          <cell r="X58">
            <v>0</v>
          </cell>
          <cell r="Y58">
            <v>0</v>
          </cell>
          <cell r="Z58">
            <v>0</v>
          </cell>
          <cell r="AA58">
            <v>0</v>
          </cell>
          <cell r="AC58">
            <v>12175</v>
          </cell>
          <cell r="AD58">
            <v>0</v>
          </cell>
        </row>
        <row r="59">
          <cell r="S59">
            <v>0</v>
          </cell>
          <cell r="T59">
            <v>0</v>
          </cell>
          <cell r="U59">
            <v>0</v>
          </cell>
          <cell r="V59">
            <v>0</v>
          </cell>
          <cell r="W59">
            <v>0</v>
          </cell>
          <cell r="X59">
            <v>0</v>
          </cell>
          <cell r="Y59">
            <v>0</v>
          </cell>
          <cell r="Z59">
            <v>0</v>
          </cell>
          <cell r="AA59">
            <v>0</v>
          </cell>
          <cell r="AC59">
            <v>0</v>
          </cell>
          <cell r="AD59">
            <v>0</v>
          </cell>
        </row>
        <row r="60">
          <cell r="B60">
            <v>12209</v>
          </cell>
          <cell r="C60" t="str">
            <v>CLOSING STOCK OF RAW MATL (P&amp;L)</v>
          </cell>
          <cell r="D60">
            <v>1056372</v>
          </cell>
          <cell r="E60">
            <v>-22887534</v>
          </cell>
          <cell r="F60">
            <v>0</v>
          </cell>
          <cell r="G60">
            <v>-81191528.340000004</v>
          </cell>
          <cell r="H60">
            <v>0</v>
          </cell>
          <cell r="I60">
            <v>0</v>
          </cell>
          <cell r="J60">
            <v>0</v>
          </cell>
          <cell r="K60">
            <v>0</v>
          </cell>
          <cell r="L60">
            <v>0</v>
          </cell>
          <cell r="M60">
            <v>0</v>
          </cell>
          <cell r="N60">
            <v>0</v>
          </cell>
          <cell r="O60">
            <v>0</v>
          </cell>
          <cell r="P60">
            <v>1056372</v>
          </cell>
          <cell r="Q60">
            <v>-104079062.34</v>
          </cell>
          <cell r="S60">
            <v>-21831162</v>
          </cell>
          <cell r="T60">
            <v>-81191528.340000004</v>
          </cell>
          <cell r="U60">
            <v>-21831162</v>
          </cell>
          <cell r="V60">
            <v>-43486568.340000004</v>
          </cell>
          <cell r="W60">
            <v>0</v>
          </cell>
          <cell r="X60">
            <v>-37704960</v>
          </cell>
          <cell r="Y60">
            <v>0</v>
          </cell>
          <cell r="Z60">
            <v>-37704960</v>
          </cell>
          <cell r="AA60">
            <v>-37704960</v>
          </cell>
          <cell r="AC60">
            <v>12209</v>
          </cell>
          <cell r="AD60">
            <v>0</v>
          </cell>
        </row>
        <row r="61">
          <cell r="S61">
            <v>0</v>
          </cell>
          <cell r="T61">
            <v>0</v>
          </cell>
          <cell r="U61">
            <v>0</v>
          </cell>
          <cell r="V61">
            <v>0</v>
          </cell>
          <cell r="W61">
            <v>0</v>
          </cell>
          <cell r="X61">
            <v>0</v>
          </cell>
          <cell r="Y61">
            <v>0</v>
          </cell>
          <cell r="Z61">
            <v>0</v>
          </cell>
          <cell r="AA61">
            <v>0</v>
          </cell>
          <cell r="AC61">
            <v>0</v>
          </cell>
          <cell r="AD61">
            <v>0</v>
          </cell>
        </row>
        <row r="62">
          <cell r="B62">
            <v>12221</v>
          </cell>
          <cell r="C62" t="str">
            <v>OPENING STOCK OF PACKING MATERIALS</v>
          </cell>
          <cell r="D62">
            <v>1103807</v>
          </cell>
          <cell r="E62">
            <v>0</v>
          </cell>
          <cell r="F62">
            <v>0</v>
          </cell>
          <cell r="G62">
            <v>0</v>
          </cell>
          <cell r="H62">
            <v>0</v>
          </cell>
          <cell r="I62">
            <v>0</v>
          </cell>
          <cell r="J62">
            <v>0</v>
          </cell>
          <cell r="K62">
            <v>0</v>
          </cell>
          <cell r="L62">
            <v>0</v>
          </cell>
          <cell r="M62">
            <v>0</v>
          </cell>
          <cell r="N62">
            <v>0</v>
          </cell>
          <cell r="O62">
            <v>0</v>
          </cell>
          <cell r="P62">
            <v>1103807</v>
          </cell>
          <cell r="Q62">
            <v>0</v>
          </cell>
          <cell r="S62">
            <v>1103807</v>
          </cell>
          <cell r="T62">
            <v>0</v>
          </cell>
          <cell r="U62">
            <v>1103807</v>
          </cell>
          <cell r="V62">
            <v>0</v>
          </cell>
          <cell r="W62">
            <v>0</v>
          </cell>
          <cell r="X62">
            <v>0</v>
          </cell>
          <cell r="Y62">
            <v>0</v>
          </cell>
          <cell r="Z62">
            <v>0</v>
          </cell>
          <cell r="AA62">
            <v>0</v>
          </cell>
          <cell r="AC62">
            <v>12221</v>
          </cell>
          <cell r="AD62">
            <v>0</v>
          </cell>
        </row>
        <row r="63">
          <cell r="S63">
            <v>0</v>
          </cell>
          <cell r="T63">
            <v>0</v>
          </cell>
          <cell r="U63">
            <v>0</v>
          </cell>
          <cell r="V63">
            <v>0</v>
          </cell>
          <cell r="W63">
            <v>0</v>
          </cell>
          <cell r="X63">
            <v>0</v>
          </cell>
          <cell r="Y63">
            <v>0</v>
          </cell>
          <cell r="Z63">
            <v>0</v>
          </cell>
          <cell r="AA63">
            <v>0</v>
          </cell>
          <cell r="AC63">
            <v>0</v>
          </cell>
          <cell r="AD63">
            <v>0</v>
          </cell>
        </row>
        <row r="64">
          <cell r="B64">
            <v>12225</v>
          </cell>
          <cell r="C64" t="str">
            <v>PACKING MATERIAL CONSUMED</v>
          </cell>
          <cell r="D64">
            <v>1758474.42</v>
          </cell>
          <cell r="E64">
            <v>-799206.74</v>
          </cell>
          <cell r="F64">
            <v>0</v>
          </cell>
          <cell r="G64">
            <v>0</v>
          </cell>
          <cell r="H64">
            <v>0</v>
          </cell>
          <cell r="I64">
            <v>0</v>
          </cell>
          <cell r="J64">
            <v>0</v>
          </cell>
          <cell r="K64">
            <v>0</v>
          </cell>
          <cell r="L64">
            <v>0</v>
          </cell>
          <cell r="M64">
            <v>0</v>
          </cell>
          <cell r="N64">
            <v>0</v>
          </cell>
          <cell r="O64">
            <v>0</v>
          </cell>
          <cell r="P64">
            <v>1758474.42</v>
          </cell>
          <cell r="Q64">
            <v>-799206.74</v>
          </cell>
          <cell r="S64">
            <v>959267.67999999993</v>
          </cell>
          <cell r="T64">
            <v>0</v>
          </cell>
          <cell r="U64">
            <v>0</v>
          </cell>
          <cell r="V64">
            <v>0</v>
          </cell>
          <cell r="W64">
            <v>959267.67999999993</v>
          </cell>
          <cell r="X64">
            <v>0</v>
          </cell>
          <cell r="Y64">
            <v>959267.67999999993</v>
          </cell>
          <cell r="Z64">
            <v>0</v>
          </cell>
          <cell r="AA64">
            <v>959267.67999999993</v>
          </cell>
          <cell r="AC64">
            <v>12225</v>
          </cell>
          <cell r="AD64">
            <v>0</v>
          </cell>
        </row>
        <row r="65">
          <cell r="S65">
            <v>0</v>
          </cell>
          <cell r="T65">
            <v>0</v>
          </cell>
          <cell r="U65">
            <v>0</v>
          </cell>
          <cell r="V65">
            <v>0</v>
          </cell>
          <cell r="W65">
            <v>0</v>
          </cell>
          <cell r="X65">
            <v>0</v>
          </cell>
          <cell r="Y65">
            <v>0</v>
          </cell>
          <cell r="Z65">
            <v>0</v>
          </cell>
          <cell r="AA65">
            <v>0</v>
          </cell>
          <cell r="AC65">
            <v>0</v>
          </cell>
          <cell r="AD65">
            <v>0</v>
          </cell>
        </row>
        <row r="66">
          <cell r="B66">
            <v>12264</v>
          </cell>
          <cell r="C66" t="str">
            <v>CLOSING STOCK OF PACKINGMATL (P&amp;L)</v>
          </cell>
          <cell r="D66">
            <v>0</v>
          </cell>
          <cell r="E66">
            <v>-768697</v>
          </cell>
          <cell r="F66">
            <v>0</v>
          </cell>
          <cell r="G66">
            <v>0</v>
          </cell>
          <cell r="H66">
            <v>0</v>
          </cell>
          <cell r="I66">
            <v>0</v>
          </cell>
          <cell r="J66">
            <v>0</v>
          </cell>
          <cell r="K66">
            <v>0</v>
          </cell>
          <cell r="L66">
            <v>0</v>
          </cell>
          <cell r="M66">
            <v>0</v>
          </cell>
          <cell r="N66">
            <v>0</v>
          </cell>
          <cell r="O66">
            <v>0</v>
          </cell>
          <cell r="P66">
            <v>0</v>
          </cell>
          <cell r="Q66">
            <v>-768697</v>
          </cell>
          <cell r="S66">
            <v>-768697</v>
          </cell>
          <cell r="T66">
            <v>0</v>
          </cell>
          <cell r="U66">
            <v>-768697</v>
          </cell>
          <cell r="V66">
            <v>0</v>
          </cell>
          <cell r="W66">
            <v>0</v>
          </cell>
          <cell r="X66">
            <v>0</v>
          </cell>
          <cell r="Y66">
            <v>0</v>
          </cell>
          <cell r="Z66">
            <v>0</v>
          </cell>
          <cell r="AA66">
            <v>0</v>
          </cell>
          <cell r="AC66">
            <v>12264</v>
          </cell>
          <cell r="AD66">
            <v>0</v>
          </cell>
        </row>
        <row r="67">
          <cell r="S67">
            <v>0</v>
          </cell>
          <cell r="T67">
            <v>0</v>
          </cell>
          <cell r="U67">
            <v>0</v>
          </cell>
          <cell r="V67">
            <v>0</v>
          </cell>
          <cell r="W67">
            <v>0</v>
          </cell>
          <cell r="X67">
            <v>0</v>
          </cell>
          <cell r="Y67">
            <v>0</v>
          </cell>
          <cell r="Z67">
            <v>0</v>
          </cell>
          <cell r="AA67">
            <v>0</v>
          </cell>
          <cell r="AC67">
            <v>0</v>
          </cell>
          <cell r="AD67">
            <v>0</v>
          </cell>
        </row>
        <row r="68">
          <cell r="B68">
            <v>13102</v>
          </cell>
          <cell r="C68" t="str">
            <v>STOCK VALUATION DIFF A/C (WIP)</v>
          </cell>
          <cell r="D68">
            <v>4632379197.3900003</v>
          </cell>
          <cell r="E68">
            <v>-4621020679.6599998</v>
          </cell>
          <cell r="F68">
            <v>10230530274.370001</v>
          </cell>
          <cell r="G68">
            <v>-10231532174.23</v>
          </cell>
          <cell r="H68">
            <v>0.31</v>
          </cell>
          <cell r="I68">
            <v>0</v>
          </cell>
          <cell r="J68">
            <v>1.31</v>
          </cell>
          <cell r="K68">
            <v>-0.92</v>
          </cell>
          <cell r="L68">
            <v>5056.25</v>
          </cell>
          <cell r="M68">
            <v>0</v>
          </cell>
          <cell r="N68">
            <v>196208599.80000001</v>
          </cell>
          <cell r="O68">
            <v>-132172619.14</v>
          </cell>
          <cell r="P68">
            <v>15059118073.18</v>
          </cell>
          <cell r="Q68">
            <v>-14984725473.950001</v>
          </cell>
          <cell r="S68">
            <v>75399554.640000507</v>
          </cell>
          <cell r="T68">
            <v>-1001899.1599987029</v>
          </cell>
          <cell r="U68">
            <v>0</v>
          </cell>
          <cell r="V68">
            <v>0</v>
          </cell>
          <cell r="W68">
            <v>75399554.640000507</v>
          </cell>
          <cell r="X68">
            <v>-1001899.1599987029</v>
          </cell>
          <cell r="Y68">
            <v>75399554.640000507</v>
          </cell>
          <cell r="Z68">
            <v>-1001899.1599987029</v>
          </cell>
          <cell r="AA68">
            <v>74397655.480001807</v>
          </cell>
          <cell r="AC68">
            <v>13102</v>
          </cell>
          <cell r="AD68">
            <v>0</v>
          </cell>
        </row>
        <row r="69">
          <cell r="S69">
            <v>0</v>
          </cell>
          <cell r="T69">
            <v>0</v>
          </cell>
          <cell r="U69">
            <v>0</v>
          </cell>
          <cell r="V69">
            <v>0</v>
          </cell>
          <cell r="W69">
            <v>0</v>
          </cell>
          <cell r="X69">
            <v>0</v>
          </cell>
          <cell r="Y69">
            <v>0</v>
          </cell>
          <cell r="Z69">
            <v>0</v>
          </cell>
          <cell r="AA69">
            <v>0</v>
          </cell>
          <cell r="AC69">
            <v>0</v>
          </cell>
          <cell r="AD69">
            <v>0</v>
          </cell>
        </row>
        <row r="70">
          <cell r="B70">
            <v>13110</v>
          </cell>
          <cell r="C70" t="str">
            <v>OPENING STOCK OF STORES SPARES</v>
          </cell>
          <cell r="D70">
            <v>22107498</v>
          </cell>
          <cell r="E70">
            <v>0</v>
          </cell>
          <cell r="F70">
            <v>9132317</v>
          </cell>
          <cell r="G70">
            <v>0</v>
          </cell>
          <cell r="H70">
            <v>0</v>
          </cell>
          <cell r="I70">
            <v>0</v>
          </cell>
          <cell r="J70">
            <v>0</v>
          </cell>
          <cell r="K70">
            <v>0</v>
          </cell>
          <cell r="L70">
            <v>0</v>
          </cell>
          <cell r="M70">
            <v>0</v>
          </cell>
          <cell r="N70">
            <v>0</v>
          </cell>
          <cell r="O70">
            <v>0</v>
          </cell>
          <cell r="P70">
            <v>31239815</v>
          </cell>
          <cell r="Q70">
            <v>0</v>
          </cell>
          <cell r="S70">
            <v>22107498</v>
          </cell>
          <cell r="T70">
            <v>9132317</v>
          </cell>
          <cell r="U70">
            <v>22107498</v>
          </cell>
          <cell r="V70">
            <v>9132317</v>
          </cell>
          <cell r="W70">
            <v>0</v>
          </cell>
          <cell r="X70">
            <v>0</v>
          </cell>
          <cell r="Y70">
            <v>0</v>
          </cell>
          <cell r="Z70">
            <v>0</v>
          </cell>
          <cell r="AA70">
            <v>0</v>
          </cell>
          <cell r="AC70">
            <v>13110</v>
          </cell>
          <cell r="AD70">
            <v>0</v>
          </cell>
        </row>
        <row r="71">
          <cell r="S71">
            <v>0</v>
          </cell>
          <cell r="T71">
            <v>0</v>
          </cell>
          <cell r="U71">
            <v>0</v>
          </cell>
          <cell r="V71">
            <v>0</v>
          </cell>
          <cell r="W71">
            <v>0</v>
          </cell>
          <cell r="X71">
            <v>0</v>
          </cell>
          <cell r="Y71">
            <v>0</v>
          </cell>
          <cell r="Z71">
            <v>0</v>
          </cell>
          <cell r="AA71">
            <v>0</v>
          </cell>
          <cell r="AC71">
            <v>0</v>
          </cell>
          <cell r="AD71">
            <v>0</v>
          </cell>
        </row>
        <row r="72">
          <cell r="B72">
            <v>13111</v>
          </cell>
          <cell r="C72" t="str">
            <v>STORES, SPARE PARTS, CONSUMABLES CONSUMED</v>
          </cell>
          <cell r="D72">
            <v>71628122.319999993</v>
          </cell>
          <cell r="E72">
            <v>-42019293.799999997</v>
          </cell>
          <cell r="F72">
            <v>18912242.489999998</v>
          </cell>
          <cell r="G72">
            <v>-9717913.9800000004</v>
          </cell>
          <cell r="H72">
            <v>117522.3</v>
          </cell>
          <cell r="I72">
            <v>-217698.38</v>
          </cell>
          <cell r="J72">
            <v>0</v>
          </cell>
          <cell r="K72">
            <v>0</v>
          </cell>
          <cell r="L72">
            <v>0</v>
          </cell>
          <cell r="M72">
            <v>0</v>
          </cell>
          <cell r="N72">
            <v>37225.22</v>
          </cell>
          <cell r="O72">
            <v>-1811.04</v>
          </cell>
          <cell r="P72">
            <v>90695112.329999998</v>
          </cell>
          <cell r="Q72">
            <v>-51956717.200000003</v>
          </cell>
          <cell r="S72">
            <v>29644242.699999996</v>
          </cell>
          <cell r="T72">
            <v>9094152.4299999978</v>
          </cell>
          <cell r="U72">
            <v>0</v>
          </cell>
          <cell r="V72">
            <v>0</v>
          </cell>
          <cell r="W72">
            <v>29644242.699999996</v>
          </cell>
          <cell r="X72">
            <v>9094152.4299999978</v>
          </cell>
          <cell r="Y72">
            <v>29644242.699999996</v>
          </cell>
          <cell r="Z72">
            <v>9094152.4299999978</v>
          </cell>
          <cell r="AA72">
            <v>38738395.129999995</v>
          </cell>
          <cell r="AC72">
            <v>13111</v>
          </cell>
          <cell r="AD72">
            <v>0</v>
          </cell>
        </row>
        <row r="73">
          <cell r="S73">
            <v>0</v>
          </cell>
          <cell r="T73">
            <v>0</v>
          </cell>
          <cell r="U73">
            <v>0</v>
          </cell>
          <cell r="V73">
            <v>0</v>
          </cell>
          <cell r="W73">
            <v>0</v>
          </cell>
          <cell r="X73">
            <v>0</v>
          </cell>
          <cell r="Y73">
            <v>0</v>
          </cell>
          <cell r="Z73">
            <v>0</v>
          </cell>
          <cell r="AA73">
            <v>0</v>
          </cell>
          <cell r="AC73">
            <v>0</v>
          </cell>
          <cell r="AD73">
            <v>0</v>
          </cell>
        </row>
        <row r="74">
          <cell r="B74">
            <v>13115</v>
          </cell>
          <cell r="C74" t="str">
            <v>OTHER MANUFACTURING EXP/ SERVICES (6250)</v>
          </cell>
          <cell r="D74">
            <v>2893971.95</v>
          </cell>
          <cell r="E74">
            <v>-15257</v>
          </cell>
          <cell r="F74">
            <v>12966946.68</v>
          </cell>
          <cell r="G74">
            <v>-7248430.21</v>
          </cell>
          <cell r="H74">
            <v>0</v>
          </cell>
          <cell r="I74">
            <v>-61500</v>
          </cell>
          <cell r="J74">
            <v>0</v>
          </cell>
          <cell r="K74">
            <v>0</v>
          </cell>
          <cell r="L74">
            <v>10530</v>
          </cell>
          <cell r="M74">
            <v>0</v>
          </cell>
          <cell r="N74">
            <v>0</v>
          </cell>
          <cell r="O74">
            <v>0</v>
          </cell>
          <cell r="P74">
            <v>15860918.630000001</v>
          </cell>
          <cell r="Q74">
            <v>-7325187.21</v>
          </cell>
          <cell r="S74">
            <v>2889244.95</v>
          </cell>
          <cell r="T74">
            <v>5657016.4699999997</v>
          </cell>
          <cell r="U74">
            <v>1912581.7</v>
          </cell>
          <cell r="V74">
            <v>2153750</v>
          </cell>
          <cell r="W74">
            <v>976663.25000000023</v>
          </cell>
          <cell r="X74">
            <v>3503266.4699999997</v>
          </cell>
          <cell r="Y74">
            <v>976663.25000000023</v>
          </cell>
          <cell r="Z74">
            <v>3503266.4699999997</v>
          </cell>
          <cell r="AA74">
            <v>4479929.72</v>
          </cell>
          <cell r="AC74">
            <v>13115</v>
          </cell>
          <cell r="AD74">
            <v>0</v>
          </cell>
        </row>
        <row r="75">
          <cell r="S75">
            <v>0</v>
          </cell>
          <cell r="T75">
            <v>0</v>
          </cell>
          <cell r="U75">
            <v>0</v>
          </cell>
          <cell r="V75">
            <v>0</v>
          </cell>
          <cell r="W75">
            <v>0</v>
          </cell>
          <cell r="X75">
            <v>0</v>
          </cell>
          <cell r="Y75">
            <v>0</v>
          </cell>
          <cell r="Z75">
            <v>0</v>
          </cell>
          <cell r="AA75">
            <v>0</v>
          </cell>
          <cell r="AC75">
            <v>0</v>
          </cell>
          <cell r="AD75">
            <v>0</v>
          </cell>
        </row>
        <row r="76">
          <cell r="E76" t="str">
            <v>SDCT</v>
          </cell>
          <cell r="F76" t="str">
            <v>PCDT</v>
          </cell>
          <cell r="G76" t="str">
            <v>PCDC</v>
          </cell>
          <cell r="I76" t="str">
            <v>PCDN</v>
          </cell>
          <cell r="K76" t="str">
            <v>CORP</v>
          </cell>
          <cell r="M76" t="str">
            <v>OTHER</v>
          </cell>
          <cell r="O76" t="str">
            <v>TOTAL</v>
          </cell>
          <cell r="U76">
            <v>0</v>
          </cell>
          <cell r="V76">
            <v>0</v>
          </cell>
          <cell r="W76">
            <v>0</v>
          </cell>
          <cell r="X76">
            <v>0</v>
          </cell>
          <cell r="Y76">
            <v>0</v>
          </cell>
          <cell r="Z76">
            <v>0</v>
          </cell>
          <cell r="AA76">
            <v>0</v>
          </cell>
          <cell r="AC76">
            <v>0</v>
          </cell>
          <cell r="AD76">
            <v>0</v>
          </cell>
        </row>
        <row r="77">
          <cell r="B77" t="str">
            <v>GL CODE</v>
          </cell>
          <cell r="C77" t="str">
            <v>ACCOUNT HEAD</v>
          </cell>
          <cell r="S77">
            <v>0</v>
          </cell>
          <cell r="T77">
            <v>0</v>
          </cell>
          <cell r="U77" t="str">
            <v>SDCT</v>
          </cell>
          <cell r="V77" t="str">
            <v>PCDT</v>
          </cell>
          <cell r="Y77">
            <v>0</v>
          </cell>
          <cell r="Z77">
            <v>0</v>
          </cell>
          <cell r="AA77">
            <v>0</v>
          </cell>
          <cell r="AC77">
            <v>0</v>
          </cell>
          <cell r="AD77" t="e">
            <v>#VALUE!</v>
          </cell>
        </row>
        <row r="78">
          <cell r="S78">
            <v>0</v>
          </cell>
          <cell r="T78">
            <v>0</v>
          </cell>
          <cell r="U78">
            <v>0</v>
          </cell>
          <cell r="V78">
            <v>0</v>
          </cell>
          <cell r="W78">
            <v>0</v>
          </cell>
          <cell r="X78">
            <v>0</v>
          </cell>
          <cell r="Y78">
            <v>0</v>
          </cell>
          <cell r="Z78">
            <v>0</v>
          </cell>
          <cell r="AA78">
            <v>0</v>
          </cell>
          <cell r="AC78">
            <v>0</v>
          </cell>
          <cell r="AD78">
            <v>0</v>
          </cell>
        </row>
        <row r="79">
          <cell r="D79" t="str">
            <v>DR.</v>
          </cell>
          <cell r="E79" t="str">
            <v>CR.</v>
          </cell>
          <cell r="F79" t="str">
            <v>DR.</v>
          </cell>
          <cell r="G79" t="str">
            <v>CR.</v>
          </cell>
          <cell r="H79" t="str">
            <v>DR.</v>
          </cell>
          <cell r="I79" t="str">
            <v>CR.</v>
          </cell>
          <cell r="J79" t="str">
            <v>DR.</v>
          </cell>
          <cell r="K79" t="str">
            <v>CR.</v>
          </cell>
          <cell r="L79" t="str">
            <v>DR.</v>
          </cell>
          <cell r="M79" t="str">
            <v>CR.</v>
          </cell>
          <cell r="N79" t="str">
            <v>DR.</v>
          </cell>
          <cell r="O79" t="str">
            <v>CR.</v>
          </cell>
          <cell r="P79" t="str">
            <v>DR.</v>
          </cell>
          <cell r="Q79" t="str">
            <v>CR.</v>
          </cell>
          <cell r="U79">
            <v>0</v>
          </cell>
          <cell r="V79">
            <v>0</v>
          </cell>
          <cell r="W79">
            <v>0</v>
          </cell>
          <cell r="X79">
            <v>0</v>
          </cell>
          <cell r="Y79">
            <v>0</v>
          </cell>
          <cell r="Z79">
            <v>0</v>
          </cell>
          <cell r="AA79">
            <v>0</v>
          </cell>
          <cell r="AC79">
            <v>0</v>
          </cell>
          <cell r="AD79">
            <v>0</v>
          </cell>
        </row>
        <row r="80">
          <cell r="S80">
            <v>0</v>
          </cell>
          <cell r="T80">
            <v>0</v>
          </cell>
          <cell r="U80">
            <v>0</v>
          </cell>
          <cell r="V80">
            <v>0</v>
          </cell>
          <cell r="W80">
            <v>0</v>
          </cell>
          <cell r="X80">
            <v>0</v>
          </cell>
          <cell r="Y80">
            <v>0</v>
          </cell>
          <cell r="Z80">
            <v>0</v>
          </cell>
          <cell r="AA80">
            <v>0</v>
          </cell>
          <cell r="AC80">
            <v>0</v>
          </cell>
          <cell r="AD80">
            <v>0</v>
          </cell>
        </row>
        <row r="81">
          <cell r="S81">
            <v>0</v>
          </cell>
          <cell r="T81">
            <v>0</v>
          </cell>
          <cell r="U81">
            <v>0</v>
          </cell>
          <cell r="V81">
            <v>0</v>
          </cell>
          <cell r="W81">
            <v>0</v>
          </cell>
          <cell r="X81">
            <v>0</v>
          </cell>
          <cell r="Y81">
            <v>0</v>
          </cell>
          <cell r="Z81">
            <v>0</v>
          </cell>
          <cell r="AA81">
            <v>0</v>
          </cell>
          <cell r="AC81">
            <v>0</v>
          </cell>
          <cell r="AD81">
            <v>0</v>
          </cell>
        </row>
        <row r="82">
          <cell r="B82">
            <v>13117</v>
          </cell>
          <cell r="C82" t="str">
            <v>CLOSING STOCK OF STORES SPARES (P&amp;L)</v>
          </cell>
          <cell r="D82">
            <v>14500226</v>
          </cell>
          <cell r="E82">
            <v>-40161102</v>
          </cell>
          <cell r="F82">
            <v>1309337.08</v>
          </cell>
          <cell r="G82">
            <v>-12248982.93</v>
          </cell>
          <cell r="H82">
            <v>0</v>
          </cell>
          <cell r="I82">
            <v>0</v>
          </cell>
          <cell r="J82">
            <v>0</v>
          </cell>
          <cell r="K82">
            <v>0</v>
          </cell>
          <cell r="L82">
            <v>0</v>
          </cell>
          <cell r="M82">
            <v>0</v>
          </cell>
          <cell r="N82">
            <v>0</v>
          </cell>
          <cell r="O82">
            <v>0</v>
          </cell>
          <cell r="P82">
            <v>15809563.08</v>
          </cell>
          <cell r="Q82">
            <v>-52410084.93</v>
          </cell>
          <cell r="S82">
            <v>-25660876</v>
          </cell>
          <cell r="T82">
            <v>-10939645.85</v>
          </cell>
          <cell r="U82">
            <v>-25660876</v>
          </cell>
          <cell r="V82">
            <v>-10939645.85</v>
          </cell>
          <cell r="W82">
            <v>0</v>
          </cell>
          <cell r="X82">
            <v>0</v>
          </cell>
          <cell r="Y82">
            <v>0</v>
          </cell>
          <cell r="Z82">
            <v>0</v>
          </cell>
          <cell r="AA82">
            <v>0</v>
          </cell>
          <cell r="AC82">
            <v>13117</v>
          </cell>
          <cell r="AD82">
            <v>0</v>
          </cell>
        </row>
        <row r="83">
          <cell r="S83">
            <v>0</v>
          </cell>
          <cell r="T83">
            <v>0</v>
          </cell>
          <cell r="U83">
            <v>0</v>
          </cell>
          <cell r="V83">
            <v>0</v>
          </cell>
          <cell r="W83">
            <v>0</v>
          </cell>
          <cell r="X83">
            <v>0</v>
          </cell>
          <cell r="Y83">
            <v>0</v>
          </cell>
          <cell r="Z83">
            <v>0</v>
          </cell>
          <cell r="AA83">
            <v>0</v>
          </cell>
          <cell r="AC83">
            <v>0</v>
          </cell>
          <cell r="AD83">
            <v>0</v>
          </cell>
        </row>
        <row r="84">
          <cell r="B84">
            <v>13121</v>
          </cell>
          <cell r="C84" t="str">
            <v>POWER (FACTORY) (6210)</v>
          </cell>
          <cell r="D84">
            <v>78696025.890000001</v>
          </cell>
          <cell r="E84">
            <v>-12246964.789999999</v>
          </cell>
          <cell r="F84">
            <v>169217653</v>
          </cell>
          <cell r="G84">
            <v>-19197044</v>
          </cell>
          <cell r="H84">
            <v>0</v>
          </cell>
          <cell r="I84">
            <v>0</v>
          </cell>
          <cell r="J84">
            <v>0</v>
          </cell>
          <cell r="K84">
            <v>0</v>
          </cell>
          <cell r="L84">
            <v>34299</v>
          </cell>
          <cell r="M84">
            <v>0</v>
          </cell>
          <cell r="N84">
            <v>0</v>
          </cell>
          <cell r="O84">
            <v>0</v>
          </cell>
          <cell r="P84">
            <v>247913678.88999999</v>
          </cell>
          <cell r="Q84">
            <v>-31444008.789999999</v>
          </cell>
          <cell r="S84">
            <v>66483360.100000001</v>
          </cell>
          <cell r="T84">
            <v>150020609</v>
          </cell>
          <cell r="U84">
            <v>39469372.100000001</v>
          </cell>
          <cell r="V84">
            <v>89105733</v>
          </cell>
          <cell r="W84">
            <v>27013988</v>
          </cell>
          <cell r="X84">
            <v>60914876</v>
          </cell>
          <cell r="Y84">
            <v>27013988</v>
          </cell>
          <cell r="Z84">
            <v>60914876</v>
          </cell>
          <cell r="AA84">
            <v>87928864</v>
          </cell>
          <cell r="AC84">
            <v>13121</v>
          </cell>
          <cell r="AD84">
            <v>0</v>
          </cell>
        </row>
        <row r="85">
          <cell r="S85">
            <v>0</v>
          </cell>
          <cell r="T85">
            <v>0</v>
          </cell>
          <cell r="U85">
            <v>0</v>
          </cell>
          <cell r="V85">
            <v>0</v>
          </cell>
          <cell r="W85">
            <v>0</v>
          </cell>
          <cell r="X85">
            <v>0</v>
          </cell>
          <cell r="Y85">
            <v>0</v>
          </cell>
          <cell r="Z85">
            <v>0</v>
          </cell>
          <cell r="AA85">
            <v>0</v>
          </cell>
          <cell r="AC85">
            <v>0</v>
          </cell>
          <cell r="AD85">
            <v>0</v>
          </cell>
        </row>
        <row r="86">
          <cell r="B86">
            <v>13124</v>
          </cell>
          <cell r="C86" t="str">
            <v>POWER (OFFICE)</v>
          </cell>
          <cell r="D86">
            <v>0</v>
          </cell>
          <cell r="E86">
            <v>0</v>
          </cell>
          <cell r="F86">
            <v>2900</v>
          </cell>
          <cell r="G86">
            <v>0</v>
          </cell>
          <cell r="H86">
            <v>0</v>
          </cell>
          <cell r="I86">
            <v>0</v>
          </cell>
          <cell r="J86">
            <v>0</v>
          </cell>
          <cell r="K86">
            <v>0</v>
          </cell>
          <cell r="L86">
            <v>527601</v>
          </cell>
          <cell r="M86">
            <v>-45660</v>
          </cell>
          <cell r="N86">
            <v>0</v>
          </cell>
          <cell r="O86">
            <v>0</v>
          </cell>
          <cell r="P86">
            <v>2900</v>
          </cell>
          <cell r="Q86">
            <v>0</v>
          </cell>
          <cell r="S86">
            <v>481941</v>
          </cell>
          <cell r="T86">
            <v>2900</v>
          </cell>
          <cell r="U86">
            <v>192558</v>
          </cell>
          <cell r="V86">
            <v>0</v>
          </cell>
          <cell r="W86">
            <v>289383</v>
          </cell>
          <cell r="X86">
            <v>2900</v>
          </cell>
          <cell r="Y86">
            <v>289383</v>
          </cell>
          <cell r="Z86">
            <v>2900</v>
          </cell>
          <cell r="AA86">
            <v>292283</v>
          </cell>
          <cell r="AC86">
            <v>13124</v>
          </cell>
          <cell r="AD86">
            <v>0</v>
          </cell>
        </row>
        <row r="87">
          <cell r="S87">
            <v>0</v>
          </cell>
          <cell r="T87">
            <v>0</v>
          </cell>
          <cell r="U87">
            <v>0</v>
          </cell>
          <cell r="V87">
            <v>0</v>
          </cell>
          <cell r="W87">
            <v>0</v>
          </cell>
          <cell r="X87">
            <v>0</v>
          </cell>
          <cell r="Y87">
            <v>0</v>
          </cell>
          <cell r="Z87">
            <v>0</v>
          </cell>
          <cell r="AA87">
            <v>0</v>
          </cell>
          <cell r="AC87">
            <v>0</v>
          </cell>
          <cell r="AD87">
            <v>0</v>
          </cell>
        </row>
        <row r="88">
          <cell r="B88">
            <v>13132</v>
          </cell>
          <cell r="C88" t="str">
            <v>REPAIRS &amp; MAINT - PLANT &amp; MACHINERY (6310)</v>
          </cell>
          <cell r="D88">
            <v>12182573.949999999</v>
          </cell>
          <cell r="E88">
            <v>-112502.94</v>
          </cell>
          <cell r="F88">
            <v>10699031</v>
          </cell>
          <cell r="G88">
            <v>-835624.87</v>
          </cell>
          <cell r="H88">
            <v>0</v>
          </cell>
          <cell r="I88">
            <v>0</v>
          </cell>
          <cell r="J88">
            <v>0</v>
          </cell>
          <cell r="K88">
            <v>0</v>
          </cell>
          <cell r="L88">
            <v>203954</v>
          </cell>
          <cell r="M88">
            <v>-108000</v>
          </cell>
          <cell r="N88">
            <v>0</v>
          </cell>
          <cell r="O88">
            <v>0</v>
          </cell>
          <cell r="P88">
            <v>22881604.949999999</v>
          </cell>
          <cell r="Q88">
            <v>-948127.81</v>
          </cell>
          <cell r="S88">
            <v>12166025.01</v>
          </cell>
          <cell r="T88">
            <v>9863406.1300000008</v>
          </cell>
          <cell r="U88">
            <v>5773422.1600000001</v>
          </cell>
          <cell r="V88">
            <v>5063249.13</v>
          </cell>
          <cell r="W88">
            <v>6392602.8499999996</v>
          </cell>
          <cell r="X88">
            <v>4800157.0000000009</v>
          </cell>
          <cell r="Y88">
            <v>6392602.8499999996</v>
          </cell>
          <cell r="Z88">
            <v>4800157.0000000009</v>
          </cell>
          <cell r="AA88">
            <v>11192759.850000001</v>
          </cell>
          <cell r="AC88">
            <v>13132</v>
          </cell>
          <cell r="AD88">
            <v>0</v>
          </cell>
        </row>
        <row r="89">
          <cell r="S89">
            <v>0</v>
          </cell>
          <cell r="T89">
            <v>0</v>
          </cell>
          <cell r="U89">
            <v>0</v>
          </cell>
          <cell r="V89">
            <v>0</v>
          </cell>
          <cell r="W89">
            <v>0</v>
          </cell>
          <cell r="X89">
            <v>0</v>
          </cell>
          <cell r="Y89">
            <v>0</v>
          </cell>
          <cell r="Z89">
            <v>0</v>
          </cell>
          <cell r="AA89">
            <v>0</v>
          </cell>
          <cell r="AC89">
            <v>0</v>
          </cell>
          <cell r="AD89">
            <v>0</v>
          </cell>
        </row>
        <row r="90">
          <cell r="B90">
            <v>13137</v>
          </cell>
          <cell r="C90" t="str">
            <v>REPAIRS &amp; MAINT - BUILDING (6320)</v>
          </cell>
          <cell r="D90">
            <v>1881936.1</v>
          </cell>
          <cell r="E90">
            <v>-39710</v>
          </cell>
          <cell r="F90">
            <v>3004161.38</v>
          </cell>
          <cell r="G90">
            <v>-114300.19</v>
          </cell>
          <cell r="H90">
            <v>0</v>
          </cell>
          <cell r="I90">
            <v>0</v>
          </cell>
          <cell r="J90">
            <v>0</v>
          </cell>
          <cell r="K90">
            <v>0</v>
          </cell>
          <cell r="L90">
            <v>118822</v>
          </cell>
          <cell r="M90">
            <v>-1500</v>
          </cell>
          <cell r="N90">
            <v>0</v>
          </cell>
          <cell r="O90">
            <v>0</v>
          </cell>
          <cell r="P90">
            <v>4886097.4800000004</v>
          </cell>
          <cell r="Q90">
            <v>-154010.19</v>
          </cell>
          <cell r="S90">
            <v>1959548.1</v>
          </cell>
          <cell r="T90">
            <v>2889861.19</v>
          </cell>
          <cell r="U90">
            <v>786056.8</v>
          </cell>
          <cell r="V90">
            <v>1515632.19</v>
          </cell>
          <cell r="W90">
            <v>1173491.3</v>
          </cell>
          <cell r="X90">
            <v>1374229</v>
          </cell>
          <cell r="Y90">
            <v>1173491.3</v>
          </cell>
          <cell r="Z90">
            <v>1374229</v>
          </cell>
          <cell r="AA90">
            <v>2547720.2999999998</v>
          </cell>
          <cell r="AC90">
            <v>13137</v>
          </cell>
          <cell r="AD90">
            <v>0</v>
          </cell>
        </row>
        <row r="91">
          <cell r="S91">
            <v>0</v>
          </cell>
          <cell r="T91">
            <v>0</v>
          </cell>
          <cell r="U91">
            <v>0</v>
          </cell>
          <cell r="V91">
            <v>0</v>
          </cell>
          <cell r="W91">
            <v>0</v>
          </cell>
          <cell r="X91">
            <v>0</v>
          </cell>
          <cell r="Y91">
            <v>0</v>
          </cell>
          <cell r="Z91">
            <v>0</v>
          </cell>
          <cell r="AA91">
            <v>0</v>
          </cell>
          <cell r="AC91">
            <v>0</v>
          </cell>
          <cell r="AD91">
            <v>0</v>
          </cell>
        </row>
        <row r="92">
          <cell r="B92">
            <v>13139</v>
          </cell>
          <cell r="C92" t="str">
            <v>GARDEN MAINT.(7473)</v>
          </cell>
          <cell r="D92">
            <v>4350</v>
          </cell>
          <cell r="E92">
            <v>0</v>
          </cell>
          <cell r="F92">
            <v>0</v>
          </cell>
          <cell r="G92">
            <v>0</v>
          </cell>
          <cell r="H92">
            <v>0</v>
          </cell>
          <cell r="I92">
            <v>0</v>
          </cell>
          <cell r="J92">
            <v>0</v>
          </cell>
          <cell r="K92">
            <v>0</v>
          </cell>
          <cell r="L92">
            <v>130663</v>
          </cell>
          <cell r="M92">
            <v>0</v>
          </cell>
          <cell r="N92">
            <v>0</v>
          </cell>
          <cell r="O92">
            <v>0</v>
          </cell>
          <cell r="P92">
            <v>4350</v>
          </cell>
          <cell r="Q92">
            <v>0</v>
          </cell>
          <cell r="S92">
            <v>135013</v>
          </cell>
          <cell r="T92">
            <v>0</v>
          </cell>
          <cell r="U92">
            <v>85088</v>
          </cell>
          <cell r="V92">
            <v>0</v>
          </cell>
          <cell r="W92">
            <v>49925</v>
          </cell>
          <cell r="X92">
            <v>0</v>
          </cell>
          <cell r="Y92">
            <v>49925</v>
          </cell>
          <cell r="Z92">
            <v>0</v>
          </cell>
          <cell r="AA92">
            <v>49925</v>
          </cell>
          <cell r="AC92">
            <v>13139</v>
          </cell>
          <cell r="AD92">
            <v>0</v>
          </cell>
        </row>
        <row r="93">
          <cell r="S93">
            <v>0</v>
          </cell>
          <cell r="T93">
            <v>0</v>
          </cell>
          <cell r="U93">
            <v>0</v>
          </cell>
          <cell r="V93">
            <v>0</v>
          </cell>
          <cell r="W93">
            <v>0</v>
          </cell>
          <cell r="X93">
            <v>0</v>
          </cell>
          <cell r="Y93">
            <v>0</v>
          </cell>
          <cell r="Z93">
            <v>0</v>
          </cell>
          <cell r="AA93">
            <v>0</v>
          </cell>
          <cell r="AC93">
            <v>0</v>
          </cell>
          <cell r="AD93">
            <v>0</v>
          </cell>
        </row>
        <row r="94">
          <cell r="B94">
            <v>13141</v>
          </cell>
          <cell r="C94" t="str">
            <v>REPAIRS TO FURNITURE /EQUIPMENT(6315)</v>
          </cell>
          <cell r="D94">
            <v>11952</v>
          </cell>
          <cell r="E94">
            <v>-10509</v>
          </cell>
          <cell r="F94">
            <v>40676.5</v>
          </cell>
          <cell r="G94">
            <v>-21620</v>
          </cell>
          <cell r="H94">
            <v>0</v>
          </cell>
          <cell r="I94">
            <v>0</v>
          </cell>
          <cell r="J94">
            <v>0</v>
          </cell>
          <cell r="K94">
            <v>0</v>
          </cell>
          <cell r="L94">
            <v>21114</v>
          </cell>
          <cell r="M94">
            <v>-11976</v>
          </cell>
          <cell r="N94">
            <v>0</v>
          </cell>
          <cell r="O94">
            <v>0</v>
          </cell>
          <cell r="P94">
            <v>52628.5</v>
          </cell>
          <cell r="Q94">
            <v>-32129</v>
          </cell>
          <cell r="S94">
            <v>10581</v>
          </cell>
          <cell r="T94">
            <v>19056.5</v>
          </cell>
          <cell r="U94">
            <v>1762</v>
          </cell>
          <cell r="V94">
            <v>14054.5</v>
          </cell>
          <cell r="W94">
            <v>8819</v>
          </cell>
          <cell r="X94">
            <v>5002</v>
          </cell>
          <cell r="Y94">
            <v>8819</v>
          </cell>
          <cell r="Z94">
            <v>5002</v>
          </cell>
          <cell r="AA94">
            <v>13821</v>
          </cell>
          <cell r="AC94">
            <v>13141</v>
          </cell>
          <cell r="AD94">
            <v>0</v>
          </cell>
        </row>
        <row r="95">
          <cell r="S95">
            <v>0</v>
          </cell>
          <cell r="T95">
            <v>0</v>
          </cell>
          <cell r="U95">
            <v>0</v>
          </cell>
          <cell r="V95">
            <v>0</v>
          </cell>
          <cell r="W95">
            <v>0</v>
          </cell>
          <cell r="X95">
            <v>0</v>
          </cell>
          <cell r="Y95">
            <v>0</v>
          </cell>
          <cell r="Z95">
            <v>0</v>
          </cell>
          <cell r="AA95">
            <v>0</v>
          </cell>
          <cell r="AC95">
            <v>0</v>
          </cell>
          <cell r="AD95">
            <v>0</v>
          </cell>
        </row>
        <row r="96">
          <cell r="B96">
            <v>13146</v>
          </cell>
          <cell r="C96" t="str">
            <v>REPAIRS &amp; MAINT - ELECTRICALS (6330)</v>
          </cell>
          <cell r="D96">
            <v>43845</v>
          </cell>
          <cell r="E96">
            <v>-278.10000000000002</v>
          </cell>
          <cell r="F96">
            <v>115638</v>
          </cell>
          <cell r="G96">
            <v>0</v>
          </cell>
          <cell r="H96">
            <v>0</v>
          </cell>
          <cell r="I96">
            <v>0</v>
          </cell>
          <cell r="J96">
            <v>0</v>
          </cell>
          <cell r="K96">
            <v>0</v>
          </cell>
          <cell r="L96">
            <v>12690</v>
          </cell>
          <cell r="M96">
            <v>0</v>
          </cell>
          <cell r="N96">
            <v>0</v>
          </cell>
          <cell r="O96">
            <v>0</v>
          </cell>
          <cell r="P96">
            <v>159483</v>
          </cell>
          <cell r="Q96">
            <v>-278.10000000000002</v>
          </cell>
          <cell r="S96">
            <v>56256.9</v>
          </cell>
          <cell r="T96">
            <v>115638</v>
          </cell>
          <cell r="U96">
            <v>53546.9</v>
          </cell>
          <cell r="V96">
            <v>104853</v>
          </cell>
          <cell r="W96">
            <v>2710</v>
          </cell>
          <cell r="X96">
            <v>10785</v>
          </cell>
          <cell r="Y96">
            <v>2710</v>
          </cell>
          <cell r="Z96">
            <v>10785</v>
          </cell>
          <cell r="AA96">
            <v>13495</v>
          </cell>
          <cell r="AC96">
            <v>13146</v>
          </cell>
          <cell r="AD96">
            <v>0</v>
          </cell>
        </row>
        <row r="97">
          <cell r="S97">
            <v>0</v>
          </cell>
          <cell r="T97">
            <v>0</v>
          </cell>
          <cell r="U97">
            <v>0</v>
          </cell>
          <cell r="V97">
            <v>0</v>
          </cell>
          <cell r="W97">
            <v>0</v>
          </cell>
          <cell r="X97">
            <v>0</v>
          </cell>
          <cell r="Y97">
            <v>0</v>
          </cell>
          <cell r="Z97">
            <v>0</v>
          </cell>
          <cell r="AA97">
            <v>0</v>
          </cell>
          <cell r="AC97">
            <v>0</v>
          </cell>
          <cell r="AD97">
            <v>0</v>
          </cell>
        </row>
        <row r="98">
          <cell r="B98">
            <v>13148</v>
          </cell>
          <cell r="C98" t="str">
            <v>REPAIRS &amp; MAINT - OTHERS (6340)</v>
          </cell>
          <cell r="D98">
            <v>511989</v>
          </cell>
          <cell r="E98">
            <v>-13549</v>
          </cell>
          <cell r="F98">
            <v>90343</v>
          </cell>
          <cell r="G98">
            <v>-1096</v>
          </cell>
          <cell r="H98">
            <v>0</v>
          </cell>
          <cell r="I98">
            <v>0</v>
          </cell>
          <cell r="J98">
            <v>0</v>
          </cell>
          <cell r="K98">
            <v>0</v>
          </cell>
          <cell r="L98">
            <v>2108818</v>
          </cell>
          <cell r="M98">
            <v>-1899906</v>
          </cell>
          <cell r="N98">
            <v>0</v>
          </cell>
          <cell r="O98">
            <v>0</v>
          </cell>
          <cell r="P98">
            <v>602332</v>
          </cell>
          <cell r="Q98">
            <v>-14645</v>
          </cell>
          <cell r="S98">
            <v>707352</v>
          </cell>
          <cell r="T98">
            <v>89247</v>
          </cell>
          <cell r="U98">
            <v>671702</v>
          </cell>
          <cell r="V98">
            <v>75597</v>
          </cell>
          <cell r="W98">
            <v>35650</v>
          </cell>
          <cell r="X98">
            <v>13650</v>
          </cell>
          <cell r="Y98">
            <v>35650</v>
          </cell>
          <cell r="Z98">
            <v>13650</v>
          </cell>
          <cell r="AA98">
            <v>49300</v>
          </cell>
          <cell r="AC98">
            <v>13148</v>
          </cell>
          <cell r="AD98">
            <v>0</v>
          </cell>
        </row>
        <row r="99">
          <cell r="S99">
            <v>0</v>
          </cell>
          <cell r="T99">
            <v>0</v>
          </cell>
          <cell r="U99">
            <v>0</v>
          </cell>
          <cell r="V99">
            <v>0</v>
          </cell>
          <cell r="W99">
            <v>0</v>
          </cell>
          <cell r="X99">
            <v>0</v>
          </cell>
          <cell r="Y99">
            <v>0</v>
          </cell>
          <cell r="Z99">
            <v>0</v>
          </cell>
          <cell r="AA99">
            <v>0</v>
          </cell>
          <cell r="AC99">
            <v>0</v>
          </cell>
          <cell r="AD99">
            <v>0</v>
          </cell>
        </row>
        <row r="100">
          <cell r="B100">
            <v>13204</v>
          </cell>
          <cell r="C100" t="str">
            <v>SALARIES, WAGES, BONUS ETC.(OFFICERS) (6410,12,15,20-2,</v>
          </cell>
          <cell r="D100">
            <v>10957595.539999999</v>
          </cell>
          <cell r="E100">
            <v>-91044</v>
          </cell>
          <cell r="F100">
            <v>18181049.789999999</v>
          </cell>
          <cell r="G100">
            <v>-1873315</v>
          </cell>
          <cell r="H100">
            <v>0</v>
          </cell>
          <cell r="I100">
            <v>0</v>
          </cell>
          <cell r="J100">
            <v>0</v>
          </cell>
          <cell r="K100">
            <v>0</v>
          </cell>
          <cell r="L100">
            <v>15425935.289999999</v>
          </cell>
          <cell r="M100">
            <v>-131510</v>
          </cell>
          <cell r="N100">
            <v>0</v>
          </cell>
          <cell r="O100">
            <v>0</v>
          </cell>
          <cell r="P100">
            <v>29138645.329999998</v>
          </cell>
          <cell r="Q100">
            <v>-1964359</v>
          </cell>
          <cell r="S100">
            <v>26160976.829999998</v>
          </cell>
          <cell r="T100">
            <v>16307734.789999999</v>
          </cell>
          <cell r="U100">
            <v>26004956.66</v>
          </cell>
          <cell r="V100">
            <v>16212189.789999999</v>
          </cell>
          <cell r="W100">
            <v>156020.16999999806</v>
          </cell>
          <cell r="X100">
            <v>95545</v>
          </cell>
          <cell r="Y100">
            <v>156020.16999999806</v>
          </cell>
          <cell r="Z100">
            <v>95545</v>
          </cell>
          <cell r="AA100">
            <v>251565.16999999806</v>
          </cell>
          <cell r="AC100">
            <v>13204</v>
          </cell>
          <cell r="AD100">
            <v>0</v>
          </cell>
        </row>
        <row r="101">
          <cell r="S101">
            <v>0</v>
          </cell>
          <cell r="T101">
            <v>0</v>
          </cell>
          <cell r="U101">
            <v>0</v>
          </cell>
          <cell r="V101">
            <v>0</v>
          </cell>
          <cell r="W101">
            <v>0</v>
          </cell>
          <cell r="X101">
            <v>0</v>
          </cell>
          <cell r="Y101">
            <v>0</v>
          </cell>
          <cell r="Z101">
            <v>0</v>
          </cell>
          <cell r="AA101">
            <v>0</v>
          </cell>
          <cell r="AC101">
            <v>0</v>
          </cell>
          <cell r="AD101">
            <v>0</v>
          </cell>
        </row>
        <row r="102">
          <cell r="B102">
            <v>13207</v>
          </cell>
          <cell r="C102" t="str">
            <v>LEAVE TRAVEL ASSISTANCE (OFFICERS) (6435)</v>
          </cell>
          <cell r="D102">
            <v>629753</v>
          </cell>
          <cell r="E102">
            <v>-27000</v>
          </cell>
          <cell r="F102">
            <v>997347</v>
          </cell>
          <cell r="G102">
            <v>-49050</v>
          </cell>
          <cell r="H102">
            <v>0</v>
          </cell>
          <cell r="I102">
            <v>0</v>
          </cell>
          <cell r="J102">
            <v>0</v>
          </cell>
          <cell r="K102">
            <v>0</v>
          </cell>
          <cell r="L102">
            <v>1001280</v>
          </cell>
          <cell r="M102">
            <v>-53200</v>
          </cell>
          <cell r="N102">
            <v>0</v>
          </cell>
          <cell r="O102">
            <v>0</v>
          </cell>
          <cell r="P102">
            <v>1627100</v>
          </cell>
          <cell r="Q102">
            <v>-76050</v>
          </cell>
          <cell r="S102">
            <v>1550833</v>
          </cell>
          <cell r="T102">
            <v>948297</v>
          </cell>
          <cell r="U102">
            <v>946863</v>
          </cell>
          <cell r="V102">
            <v>567713</v>
          </cell>
          <cell r="W102">
            <v>603970</v>
          </cell>
          <cell r="X102">
            <v>380584</v>
          </cell>
          <cell r="Y102">
            <v>603970</v>
          </cell>
          <cell r="Z102">
            <v>380584</v>
          </cell>
          <cell r="AA102">
            <v>984554</v>
          </cell>
          <cell r="AC102">
            <v>13207</v>
          </cell>
          <cell r="AD102">
            <v>0</v>
          </cell>
        </row>
        <row r="103">
          <cell r="S103">
            <v>0</v>
          </cell>
          <cell r="T103">
            <v>0</v>
          </cell>
          <cell r="U103">
            <v>0</v>
          </cell>
          <cell r="V103">
            <v>0</v>
          </cell>
          <cell r="W103">
            <v>0</v>
          </cell>
          <cell r="X103">
            <v>0</v>
          </cell>
          <cell r="Y103">
            <v>0</v>
          </cell>
          <cell r="Z103">
            <v>0</v>
          </cell>
          <cell r="AA103">
            <v>0</v>
          </cell>
          <cell r="AC103">
            <v>0</v>
          </cell>
          <cell r="AD103">
            <v>0</v>
          </cell>
        </row>
        <row r="104">
          <cell r="B104">
            <v>13208</v>
          </cell>
          <cell r="C104" t="str">
            <v>PERFORMANCE REWARD (OFFICERS)</v>
          </cell>
          <cell r="D104">
            <v>3822800</v>
          </cell>
          <cell r="E104">
            <v>0</v>
          </cell>
          <cell r="F104">
            <v>1000000</v>
          </cell>
          <cell r="G104">
            <v>-197207</v>
          </cell>
          <cell r="H104">
            <v>0</v>
          </cell>
          <cell r="I104">
            <v>0</v>
          </cell>
          <cell r="J104">
            <v>0</v>
          </cell>
          <cell r="K104">
            <v>0</v>
          </cell>
          <cell r="L104">
            <v>550000</v>
          </cell>
          <cell r="M104">
            <v>-281250</v>
          </cell>
          <cell r="N104">
            <v>0</v>
          </cell>
          <cell r="O104">
            <v>0</v>
          </cell>
          <cell r="P104">
            <v>4822800</v>
          </cell>
          <cell r="Q104">
            <v>-197207</v>
          </cell>
          <cell r="S104">
            <v>4091550</v>
          </cell>
          <cell r="T104">
            <v>802793</v>
          </cell>
          <cell r="U104">
            <v>4091550</v>
          </cell>
          <cell r="V104">
            <v>802793</v>
          </cell>
          <cell r="W104">
            <v>0</v>
          </cell>
          <cell r="X104">
            <v>0</v>
          </cell>
          <cell r="Y104">
            <v>0</v>
          </cell>
          <cell r="Z104">
            <v>0</v>
          </cell>
          <cell r="AA104">
            <v>0</v>
          </cell>
          <cell r="AC104">
            <v>13208</v>
          </cell>
          <cell r="AD104">
            <v>0</v>
          </cell>
        </row>
        <row r="105">
          <cell r="S105">
            <v>0</v>
          </cell>
          <cell r="T105">
            <v>0</v>
          </cell>
          <cell r="U105">
            <v>0</v>
          </cell>
          <cell r="V105">
            <v>0</v>
          </cell>
          <cell r="W105">
            <v>0</v>
          </cell>
          <cell r="X105">
            <v>0</v>
          </cell>
          <cell r="Y105">
            <v>0</v>
          </cell>
          <cell r="Z105">
            <v>0</v>
          </cell>
          <cell r="AA105">
            <v>0</v>
          </cell>
          <cell r="AC105">
            <v>0</v>
          </cell>
          <cell r="AD105">
            <v>0</v>
          </cell>
        </row>
        <row r="106">
          <cell r="B106">
            <v>13210</v>
          </cell>
          <cell r="C106" t="str">
            <v>STIPEND A/C (6504)</v>
          </cell>
          <cell r="D106">
            <v>388301</v>
          </cell>
          <cell r="E106">
            <v>-11613</v>
          </cell>
          <cell r="F106">
            <v>737742</v>
          </cell>
          <cell r="G106">
            <v>-19742</v>
          </cell>
          <cell r="H106">
            <v>0</v>
          </cell>
          <cell r="I106">
            <v>0</v>
          </cell>
          <cell r="J106">
            <v>0</v>
          </cell>
          <cell r="K106">
            <v>0</v>
          </cell>
          <cell r="L106">
            <v>119762</v>
          </cell>
          <cell r="M106">
            <v>-31000</v>
          </cell>
          <cell r="N106">
            <v>0</v>
          </cell>
          <cell r="O106">
            <v>0</v>
          </cell>
          <cell r="P106">
            <v>1126043</v>
          </cell>
          <cell r="Q106">
            <v>-31355</v>
          </cell>
          <cell r="S106">
            <v>465450</v>
          </cell>
          <cell r="T106">
            <v>718000</v>
          </cell>
          <cell r="U106">
            <v>387476</v>
          </cell>
          <cell r="V106">
            <v>161903</v>
          </cell>
          <cell r="W106">
            <v>77974</v>
          </cell>
          <cell r="X106">
            <v>556097</v>
          </cell>
          <cell r="Y106">
            <v>77974</v>
          </cell>
          <cell r="Z106">
            <v>556097</v>
          </cell>
          <cell r="AA106">
            <v>634071</v>
          </cell>
          <cell r="AC106">
            <v>13210</v>
          </cell>
          <cell r="AD106">
            <v>0</v>
          </cell>
        </row>
        <row r="107">
          <cell r="S107">
            <v>0</v>
          </cell>
          <cell r="T107">
            <v>0</v>
          </cell>
          <cell r="U107">
            <v>0</v>
          </cell>
          <cell r="V107">
            <v>0</v>
          </cell>
          <cell r="W107">
            <v>0</v>
          </cell>
          <cell r="X107">
            <v>0</v>
          </cell>
          <cell r="Y107">
            <v>0</v>
          </cell>
          <cell r="Z107">
            <v>0</v>
          </cell>
          <cell r="AA107">
            <v>0</v>
          </cell>
          <cell r="AC107">
            <v>0</v>
          </cell>
          <cell r="AD107">
            <v>0</v>
          </cell>
        </row>
        <row r="108">
          <cell r="B108">
            <v>13223</v>
          </cell>
          <cell r="C108" t="str">
            <v>SALARIES , WAGES, BONUS ETC. (STAFF)</v>
          </cell>
          <cell r="D108">
            <v>541351</v>
          </cell>
          <cell r="E108">
            <v>0</v>
          </cell>
          <cell r="F108">
            <v>138194.81</v>
          </cell>
          <cell r="G108">
            <v>0</v>
          </cell>
          <cell r="H108">
            <v>0</v>
          </cell>
          <cell r="I108">
            <v>0</v>
          </cell>
          <cell r="J108">
            <v>0</v>
          </cell>
          <cell r="K108">
            <v>0</v>
          </cell>
          <cell r="L108">
            <v>819593</v>
          </cell>
          <cell r="M108">
            <v>-11400</v>
          </cell>
          <cell r="N108">
            <v>0</v>
          </cell>
          <cell r="O108">
            <v>0</v>
          </cell>
          <cell r="P108">
            <v>679545.81</v>
          </cell>
          <cell r="Q108">
            <v>0</v>
          </cell>
          <cell r="S108">
            <v>1349544</v>
          </cell>
          <cell r="T108">
            <v>138194.81</v>
          </cell>
          <cell r="U108">
            <v>1349544</v>
          </cell>
          <cell r="V108">
            <v>138194.81</v>
          </cell>
          <cell r="W108">
            <v>0</v>
          </cell>
          <cell r="X108">
            <v>0</v>
          </cell>
          <cell r="Y108">
            <v>0</v>
          </cell>
          <cell r="Z108">
            <v>0</v>
          </cell>
          <cell r="AA108">
            <v>0</v>
          </cell>
          <cell r="AC108">
            <v>13223</v>
          </cell>
          <cell r="AD108">
            <v>0</v>
          </cell>
        </row>
        <row r="109">
          <cell r="S109">
            <v>0</v>
          </cell>
          <cell r="T109">
            <v>0</v>
          </cell>
          <cell r="U109">
            <v>0</v>
          </cell>
          <cell r="V109">
            <v>0</v>
          </cell>
          <cell r="W109">
            <v>0</v>
          </cell>
          <cell r="X109">
            <v>0</v>
          </cell>
          <cell r="Y109">
            <v>0</v>
          </cell>
          <cell r="Z109">
            <v>0</v>
          </cell>
          <cell r="AA109">
            <v>0</v>
          </cell>
          <cell r="AC109">
            <v>0</v>
          </cell>
          <cell r="AD109">
            <v>0</v>
          </cell>
        </row>
        <row r="110">
          <cell r="B110">
            <v>13225</v>
          </cell>
          <cell r="C110" t="str">
            <v>LEAVE TRAVEL ASSISTANCE (STAFF) (6550)</v>
          </cell>
          <cell r="D110">
            <v>47250</v>
          </cell>
          <cell r="E110">
            <v>-15500</v>
          </cell>
          <cell r="F110">
            <v>4500</v>
          </cell>
          <cell r="G110">
            <v>0</v>
          </cell>
          <cell r="H110">
            <v>0</v>
          </cell>
          <cell r="I110">
            <v>0</v>
          </cell>
          <cell r="J110">
            <v>0</v>
          </cell>
          <cell r="K110">
            <v>0</v>
          </cell>
          <cell r="L110">
            <v>68750</v>
          </cell>
          <cell r="M110">
            <v>-11550</v>
          </cell>
          <cell r="N110">
            <v>0</v>
          </cell>
          <cell r="O110">
            <v>0</v>
          </cell>
          <cell r="P110">
            <v>51750</v>
          </cell>
          <cell r="Q110">
            <v>-15500</v>
          </cell>
          <cell r="S110">
            <v>88950</v>
          </cell>
          <cell r="T110">
            <v>4500</v>
          </cell>
          <cell r="U110">
            <v>45300</v>
          </cell>
          <cell r="V110">
            <v>4500</v>
          </cell>
          <cell r="W110">
            <v>43650</v>
          </cell>
          <cell r="X110">
            <v>0</v>
          </cell>
          <cell r="Y110">
            <v>43650</v>
          </cell>
          <cell r="Z110">
            <v>0</v>
          </cell>
          <cell r="AA110">
            <v>43650</v>
          </cell>
          <cell r="AC110">
            <v>13225</v>
          </cell>
          <cell r="AD110">
            <v>0</v>
          </cell>
        </row>
        <row r="111">
          <cell r="S111">
            <v>0</v>
          </cell>
          <cell r="T111">
            <v>0</v>
          </cell>
          <cell r="U111">
            <v>0</v>
          </cell>
          <cell r="V111">
            <v>0</v>
          </cell>
          <cell r="W111">
            <v>0</v>
          </cell>
          <cell r="X111">
            <v>0</v>
          </cell>
          <cell r="Y111">
            <v>0</v>
          </cell>
          <cell r="Z111">
            <v>0</v>
          </cell>
          <cell r="AA111">
            <v>0</v>
          </cell>
          <cell r="AC111">
            <v>0</v>
          </cell>
          <cell r="AD111">
            <v>0</v>
          </cell>
        </row>
        <row r="112">
          <cell r="B112">
            <v>13226</v>
          </cell>
          <cell r="C112" t="str">
            <v>PERFROMANCE REWARD (STAFF)</v>
          </cell>
          <cell r="D112">
            <v>5600</v>
          </cell>
          <cell r="E112">
            <v>0</v>
          </cell>
          <cell r="F112">
            <v>18150</v>
          </cell>
          <cell r="G112">
            <v>0</v>
          </cell>
          <cell r="H112">
            <v>0</v>
          </cell>
          <cell r="I112">
            <v>0</v>
          </cell>
          <cell r="J112">
            <v>0</v>
          </cell>
          <cell r="K112">
            <v>0</v>
          </cell>
          <cell r="L112">
            <v>0</v>
          </cell>
          <cell r="M112">
            <v>0</v>
          </cell>
          <cell r="N112">
            <v>0</v>
          </cell>
          <cell r="O112">
            <v>0</v>
          </cell>
          <cell r="P112">
            <v>23750</v>
          </cell>
          <cell r="Q112">
            <v>0</v>
          </cell>
          <cell r="S112">
            <v>5600</v>
          </cell>
          <cell r="T112">
            <v>18150</v>
          </cell>
          <cell r="U112">
            <v>5600</v>
          </cell>
          <cell r="V112">
            <v>18150</v>
          </cell>
          <cell r="W112">
            <v>0</v>
          </cell>
          <cell r="X112">
            <v>0</v>
          </cell>
          <cell r="Y112">
            <v>0</v>
          </cell>
          <cell r="Z112">
            <v>0</v>
          </cell>
          <cell r="AA112">
            <v>0</v>
          </cell>
          <cell r="AC112">
            <v>13226</v>
          </cell>
          <cell r="AD112">
            <v>0</v>
          </cell>
        </row>
        <row r="113">
          <cell r="S113">
            <v>0</v>
          </cell>
          <cell r="T113">
            <v>0</v>
          </cell>
          <cell r="U113">
            <v>0</v>
          </cell>
          <cell r="V113">
            <v>0</v>
          </cell>
          <cell r="W113">
            <v>0</v>
          </cell>
          <cell r="X113">
            <v>0</v>
          </cell>
          <cell r="Y113">
            <v>0</v>
          </cell>
          <cell r="Z113">
            <v>0</v>
          </cell>
          <cell r="AA113">
            <v>0</v>
          </cell>
          <cell r="AC113">
            <v>0</v>
          </cell>
          <cell r="AD113">
            <v>0</v>
          </cell>
        </row>
        <row r="114">
          <cell r="B114">
            <v>13231</v>
          </cell>
          <cell r="C114" t="str">
            <v>SALARIES , WAGES, BONUS ETC. (WORKERS)</v>
          </cell>
          <cell r="D114">
            <v>36229841.969999999</v>
          </cell>
          <cell r="E114">
            <v>-447658.25</v>
          </cell>
          <cell r="F114">
            <v>20700381.420000002</v>
          </cell>
          <cell r="G114">
            <v>-1499914.85</v>
          </cell>
          <cell r="H114">
            <v>0</v>
          </cell>
          <cell r="I114">
            <v>0</v>
          </cell>
          <cell r="J114">
            <v>0</v>
          </cell>
          <cell r="K114">
            <v>0</v>
          </cell>
          <cell r="L114">
            <v>0</v>
          </cell>
          <cell r="M114">
            <v>0</v>
          </cell>
          <cell r="N114">
            <v>0</v>
          </cell>
          <cell r="O114">
            <v>0</v>
          </cell>
          <cell r="P114">
            <v>56930223.390000001</v>
          </cell>
          <cell r="Q114">
            <v>-1947573.1</v>
          </cell>
          <cell r="S114">
            <v>35782183.719999999</v>
          </cell>
          <cell r="T114">
            <v>19200466.57</v>
          </cell>
          <cell r="U114">
            <v>35774025.57</v>
          </cell>
          <cell r="V114">
            <v>19200466.57</v>
          </cell>
          <cell r="W114">
            <v>8158.1499999985099</v>
          </cell>
          <cell r="X114">
            <v>0</v>
          </cell>
          <cell r="Y114">
            <v>8158.1499999985099</v>
          </cell>
          <cell r="Z114">
            <v>0</v>
          </cell>
          <cell r="AA114">
            <v>8158.1499999985099</v>
          </cell>
          <cell r="AC114">
            <v>13231</v>
          </cell>
          <cell r="AD114">
            <v>0</v>
          </cell>
        </row>
        <row r="115">
          <cell r="S115">
            <v>0</v>
          </cell>
          <cell r="T115">
            <v>0</v>
          </cell>
          <cell r="U115">
            <v>0</v>
          </cell>
          <cell r="V115">
            <v>0</v>
          </cell>
          <cell r="W115">
            <v>0</v>
          </cell>
          <cell r="X115">
            <v>0</v>
          </cell>
          <cell r="Y115">
            <v>0</v>
          </cell>
          <cell r="Z115">
            <v>0</v>
          </cell>
          <cell r="AA115">
            <v>0</v>
          </cell>
          <cell r="AC115">
            <v>0</v>
          </cell>
          <cell r="AD115">
            <v>0</v>
          </cell>
        </row>
        <row r="116">
          <cell r="B116">
            <v>13233</v>
          </cell>
          <cell r="C116" t="str">
            <v>LEAVE TRAVEL ASSISTANCE (WORKERS) (6650)</v>
          </cell>
          <cell r="D116">
            <v>2425100</v>
          </cell>
          <cell r="E116">
            <v>-126300</v>
          </cell>
          <cell r="F116">
            <v>1039876</v>
          </cell>
          <cell r="G116">
            <v>-36100</v>
          </cell>
          <cell r="H116">
            <v>0</v>
          </cell>
          <cell r="I116">
            <v>0</v>
          </cell>
          <cell r="J116">
            <v>0</v>
          </cell>
          <cell r="K116">
            <v>0</v>
          </cell>
          <cell r="L116">
            <v>9600</v>
          </cell>
          <cell r="M116">
            <v>-9600</v>
          </cell>
          <cell r="N116">
            <v>0</v>
          </cell>
          <cell r="O116">
            <v>0</v>
          </cell>
          <cell r="P116">
            <v>3464976</v>
          </cell>
          <cell r="Q116">
            <v>-162400</v>
          </cell>
          <cell r="S116">
            <v>2298800</v>
          </cell>
          <cell r="T116">
            <v>1003776</v>
          </cell>
          <cell r="U116">
            <v>1326800</v>
          </cell>
          <cell r="V116">
            <v>535152</v>
          </cell>
          <cell r="W116">
            <v>972000</v>
          </cell>
          <cell r="X116">
            <v>468624</v>
          </cell>
          <cell r="Y116">
            <v>972000</v>
          </cell>
          <cell r="Z116">
            <v>468624</v>
          </cell>
          <cell r="AA116">
            <v>1440624</v>
          </cell>
          <cell r="AC116">
            <v>13233</v>
          </cell>
          <cell r="AD116">
            <v>0</v>
          </cell>
        </row>
        <row r="117">
          <cell r="S117">
            <v>0</v>
          </cell>
          <cell r="T117">
            <v>0</v>
          </cell>
          <cell r="U117">
            <v>0</v>
          </cell>
          <cell r="V117">
            <v>0</v>
          </cell>
          <cell r="W117">
            <v>0</v>
          </cell>
          <cell r="X117">
            <v>0</v>
          </cell>
          <cell r="Y117">
            <v>0</v>
          </cell>
          <cell r="Z117">
            <v>0</v>
          </cell>
          <cell r="AA117">
            <v>0</v>
          </cell>
          <cell r="AC117">
            <v>0</v>
          </cell>
          <cell r="AD117">
            <v>0</v>
          </cell>
        </row>
        <row r="118">
          <cell r="B118">
            <v>13235</v>
          </cell>
          <cell r="C118" t="str">
            <v>EXGRATIA (WORKERS) (6660)</v>
          </cell>
          <cell r="D118">
            <v>293080</v>
          </cell>
          <cell r="E118">
            <v>0</v>
          </cell>
          <cell r="F118">
            <v>1086500</v>
          </cell>
          <cell r="G118">
            <v>0</v>
          </cell>
          <cell r="H118">
            <v>0</v>
          </cell>
          <cell r="I118">
            <v>0</v>
          </cell>
          <cell r="J118">
            <v>0</v>
          </cell>
          <cell r="K118">
            <v>0</v>
          </cell>
          <cell r="L118">
            <v>0</v>
          </cell>
          <cell r="M118">
            <v>0</v>
          </cell>
          <cell r="N118">
            <v>0</v>
          </cell>
          <cell r="O118">
            <v>0</v>
          </cell>
          <cell r="P118">
            <v>1379580</v>
          </cell>
          <cell r="Q118">
            <v>0</v>
          </cell>
          <cell r="S118">
            <v>293080</v>
          </cell>
          <cell r="T118">
            <v>1086500</v>
          </cell>
          <cell r="U118">
            <v>293080</v>
          </cell>
          <cell r="V118">
            <v>1086500</v>
          </cell>
          <cell r="W118">
            <v>0</v>
          </cell>
          <cell r="X118">
            <v>0</v>
          </cell>
          <cell r="Y118">
            <v>0</v>
          </cell>
          <cell r="Z118">
            <v>0</v>
          </cell>
          <cell r="AA118">
            <v>0</v>
          </cell>
          <cell r="AC118">
            <v>13235</v>
          </cell>
          <cell r="AD118">
            <v>0</v>
          </cell>
        </row>
        <row r="119">
          <cell r="S119">
            <v>0</v>
          </cell>
          <cell r="T119">
            <v>0</v>
          </cell>
          <cell r="U119">
            <v>0</v>
          </cell>
          <cell r="V119">
            <v>0</v>
          </cell>
          <cell r="W119">
            <v>0</v>
          </cell>
          <cell r="X119">
            <v>0</v>
          </cell>
          <cell r="Y119">
            <v>0</v>
          </cell>
          <cell r="Z119">
            <v>0</v>
          </cell>
          <cell r="AA119">
            <v>0</v>
          </cell>
          <cell r="AC119">
            <v>0</v>
          </cell>
          <cell r="AD119">
            <v>0</v>
          </cell>
        </row>
        <row r="120">
          <cell r="B120">
            <v>13243</v>
          </cell>
          <cell r="C120" t="str">
            <v>GRATUITY (OFFICERS) (6450)</v>
          </cell>
          <cell r="D120">
            <v>0</v>
          </cell>
          <cell r="E120">
            <v>-586275</v>
          </cell>
          <cell r="F120">
            <v>182500</v>
          </cell>
          <cell r="G120">
            <v>0</v>
          </cell>
          <cell r="H120">
            <v>0</v>
          </cell>
          <cell r="I120">
            <v>0</v>
          </cell>
          <cell r="J120">
            <v>0</v>
          </cell>
          <cell r="K120">
            <v>0</v>
          </cell>
          <cell r="L120">
            <v>279257</v>
          </cell>
          <cell r="M120">
            <v>0</v>
          </cell>
          <cell r="N120">
            <v>0</v>
          </cell>
          <cell r="O120">
            <v>0</v>
          </cell>
          <cell r="P120">
            <v>182500</v>
          </cell>
          <cell r="Q120">
            <v>-586275</v>
          </cell>
          <cell r="S120">
            <v>-307018</v>
          </cell>
          <cell r="T120">
            <v>182500</v>
          </cell>
          <cell r="U120">
            <v>-307018</v>
          </cell>
          <cell r="V120">
            <v>182500</v>
          </cell>
          <cell r="W120">
            <v>0</v>
          </cell>
          <cell r="X120">
            <v>0</v>
          </cell>
          <cell r="Y120">
            <v>0</v>
          </cell>
          <cell r="Z120">
            <v>0</v>
          </cell>
          <cell r="AA120">
            <v>0</v>
          </cell>
          <cell r="AC120">
            <v>13243</v>
          </cell>
          <cell r="AD120">
            <v>0</v>
          </cell>
        </row>
        <row r="121">
          <cell r="S121">
            <v>0</v>
          </cell>
          <cell r="T121">
            <v>0</v>
          </cell>
          <cell r="U121">
            <v>0</v>
          </cell>
          <cell r="V121">
            <v>0</v>
          </cell>
          <cell r="W121">
            <v>0</v>
          </cell>
          <cell r="X121">
            <v>0</v>
          </cell>
          <cell r="Y121">
            <v>0</v>
          </cell>
          <cell r="Z121">
            <v>0</v>
          </cell>
          <cell r="AA121">
            <v>0</v>
          </cell>
          <cell r="AC121">
            <v>0</v>
          </cell>
          <cell r="AD121">
            <v>0</v>
          </cell>
        </row>
        <row r="122">
          <cell r="B122">
            <v>13245</v>
          </cell>
          <cell r="C122" t="str">
            <v>PROVIDEND FUND (OFFICERS) (6455)</v>
          </cell>
          <cell r="D122">
            <v>1056059</v>
          </cell>
          <cell r="E122">
            <v>0</v>
          </cell>
          <cell r="F122">
            <v>1746057</v>
          </cell>
          <cell r="G122">
            <v>0</v>
          </cell>
          <cell r="H122">
            <v>0</v>
          </cell>
          <cell r="I122">
            <v>0</v>
          </cell>
          <cell r="J122">
            <v>0</v>
          </cell>
          <cell r="K122">
            <v>0</v>
          </cell>
          <cell r="L122">
            <v>1538947</v>
          </cell>
          <cell r="M122">
            <v>0</v>
          </cell>
          <cell r="N122">
            <v>0</v>
          </cell>
          <cell r="O122">
            <v>0</v>
          </cell>
          <cell r="P122">
            <v>2802116</v>
          </cell>
          <cell r="Q122">
            <v>0</v>
          </cell>
          <cell r="S122">
            <v>2595006</v>
          </cell>
          <cell r="T122">
            <v>1746057</v>
          </cell>
          <cell r="U122">
            <v>1543145</v>
          </cell>
          <cell r="V122">
            <v>1020430</v>
          </cell>
          <cell r="W122">
            <v>1051861</v>
          </cell>
          <cell r="X122">
            <v>725627</v>
          </cell>
          <cell r="Y122">
            <v>1051861</v>
          </cell>
          <cell r="Z122">
            <v>725627</v>
          </cell>
          <cell r="AA122">
            <v>1777488</v>
          </cell>
          <cell r="AC122">
            <v>13245</v>
          </cell>
          <cell r="AD122">
            <v>0</v>
          </cell>
        </row>
        <row r="123">
          <cell r="S123">
            <v>0</v>
          </cell>
          <cell r="T123">
            <v>0</v>
          </cell>
          <cell r="U123">
            <v>0</v>
          </cell>
          <cell r="V123">
            <v>0</v>
          </cell>
          <cell r="W123">
            <v>0</v>
          </cell>
          <cell r="X123">
            <v>0</v>
          </cell>
          <cell r="Y123">
            <v>0</v>
          </cell>
          <cell r="Z123">
            <v>0</v>
          </cell>
          <cell r="AA123">
            <v>0</v>
          </cell>
          <cell r="AC123">
            <v>0</v>
          </cell>
          <cell r="AD123">
            <v>0</v>
          </cell>
        </row>
        <row r="124">
          <cell r="B124">
            <v>13247</v>
          </cell>
          <cell r="C124" t="str">
            <v>DEPOSIT LINK INSURANCE FUND (OFFICERS) (7425/7426)</v>
          </cell>
          <cell r="D124">
            <v>93193.43</v>
          </cell>
          <cell r="E124">
            <v>0</v>
          </cell>
          <cell r="F124">
            <v>49914</v>
          </cell>
          <cell r="G124">
            <v>0</v>
          </cell>
          <cell r="H124">
            <v>0</v>
          </cell>
          <cell r="I124">
            <v>0</v>
          </cell>
          <cell r="J124">
            <v>0</v>
          </cell>
          <cell r="K124">
            <v>0</v>
          </cell>
          <cell r="L124">
            <v>26988.57</v>
          </cell>
          <cell r="M124">
            <v>0</v>
          </cell>
          <cell r="N124">
            <v>0</v>
          </cell>
          <cell r="O124">
            <v>0</v>
          </cell>
          <cell r="P124">
            <v>143107.43</v>
          </cell>
          <cell r="Q124">
            <v>0</v>
          </cell>
          <cell r="S124">
            <v>120182</v>
          </cell>
          <cell r="T124">
            <v>49914</v>
          </cell>
          <cell r="U124">
            <v>73144</v>
          </cell>
          <cell r="V124">
            <v>32885</v>
          </cell>
          <cell r="W124">
            <v>47038</v>
          </cell>
          <cell r="X124">
            <v>17029</v>
          </cell>
          <cell r="Y124">
            <v>47038</v>
          </cell>
          <cell r="Z124">
            <v>17029</v>
          </cell>
          <cell r="AA124">
            <v>64067</v>
          </cell>
          <cell r="AC124">
            <v>13247</v>
          </cell>
          <cell r="AD124">
            <v>0</v>
          </cell>
        </row>
        <row r="125">
          <cell r="S125">
            <v>0</v>
          </cell>
          <cell r="T125">
            <v>0</v>
          </cell>
          <cell r="U125">
            <v>0</v>
          </cell>
          <cell r="V125">
            <v>0</v>
          </cell>
          <cell r="W125">
            <v>0</v>
          </cell>
          <cell r="X125">
            <v>0</v>
          </cell>
          <cell r="Y125">
            <v>0</v>
          </cell>
          <cell r="Z125">
            <v>0</v>
          </cell>
          <cell r="AA125">
            <v>0</v>
          </cell>
          <cell r="AC125">
            <v>0</v>
          </cell>
          <cell r="AD125">
            <v>0</v>
          </cell>
        </row>
        <row r="126">
          <cell r="B126">
            <v>13249</v>
          </cell>
          <cell r="C126" t="str">
            <v>SUPERANNUATION (OFFICERS) (6480)</v>
          </cell>
          <cell r="D126">
            <v>1251841</v>
          </cell>
          <cell r="E126">
            <v>-235149</v>
          </cell>
          <cell r="F126">
            <v>1657819</v>
          </cell>
          <cell r="G126">
            <v>-79337</v>
          </cell>
          <cell r="H126">
            <v>0</v>
          </cell>
          <cell r="I126">
            <v>0</v>
          </cell>
          <cell r="J126">
            <v>0</v>
          </cell>
          <cell r="K126">
            <v>0</v>
          </cell>
          <cell r="L126">
            <v>1698547</v>
          </cell>
          <cell r="M126">
            <v>-61316</v>
          </cell>
          <cell r="N126">
            <v>0</v>
          </cell>
          <cell r="O126">
            <v>0</v>
          </cell>
          <cell r="P126">
            <v>2909660</v>
          </cell>
          <cell r="Q126">
            <v>-314486</v>
          </cell>
          <cell r="S126">
            <v>2653923</v>
          </cell>
          <cell r="T126">
            <v>1578482</v>
          </cell>
          <cell r="U126">
            <v>1516402</v>
          </cell>
          <cell r="V126">
            <v>899366</v>
          </cell>
          <cell r="W126">
            <v>1137521</v>
          </cell>
          <cell r="X126">
            <v>679116</v>
          </cell>
          <cell r="Y126">
            <v>1137521</v>
          </cell>
          <cell r="Z126">
            <v>679116</v>
          </cell>
          <cell r="AA126">
            <v>1816637</v>
          </cell>
          <cell r="AC126">
            <v>13249</v>
          </cell>
          <cell r="AD126">
            <v>0</v>
          </cell>
        </row>
        <row r="127">
          <cell r="S127">
            <v>0</v>
          </cell>
          <cell r="T127">
            <v>0</v>
          </cell>
          <cell r="U127">
            <v>0</v>
          </cell>
          <cell r="V127">
            <v>0</v>
          </cell>
          <cell r="W127">
            <v>0</v>
          </cell>
          <cell r="X127">
            <v>0</v>
          </cell>
          <cell r="Y127">
            <v>0</v>
          </cell>
          <cell r="Z127">
            <v>0</v>
          </cell>
          <cell r="AA127">
            <v>0</v>
          </cell>
          <cell r="AC127">
            <v>0</v>
          </cell>
          <cell r="AD127">
            <v>0</v>
          </cell>
        </row>
        <row r="128">
          <cell r="B128">
            <v>13250</v>
          </cell>
          <cell r="C128" t="str">
            <v>ESIC OFFICERS</v>
          </cell>
          <cell r="D128">
            <v>0</v>
          </cell>
          <cell r="E128">
            <v>0</v>
          </cell>
          <cell r="F128">
            <v>0</v>
          </cell>
          <cell r="G128">
            <v>0</v>
          </cell>
          <cell r="H128">
            <v>0</v>
          </cell>
          <cell r="I128">
            <v>0</v>
          </cell>
          <cell r="J128">
            <v>0</v>
          </cell>
          <cell r="K128">
            <v>0</v>
          </cell>
          <cell r="L128">
            <v>2680</v>
          </cell>
          <cell r="M128">
            <v>0</v>
          </cell>
          <cell r="N128">
            <v>0</v>
          </cell>
          <cell r="O128">
            <v>0</v>
          </cell>
          <cell r="P128">
            <v>0</v>
          </cell>
          <cell r="Q128">
            <v>0</v>
          </cell>
          <cell r="S128">
            <v>2680</v>
          </cell>
          <cell r="T128">
            <v>0</v>
          </cell>
          <cell r="U128">
            <v>2680</v>
          </cell>
          <cell r="V128">
            <v>0</v>
          </cell>
          <cell r="W128">
            <v>0</v>
          </cell>
          <cell r="X128">
            <v>0</v>
          </cell>
          <cell r="Y128">
            <v>0</v>
          </cell>
          <cell r="Z128">
            <v>0</v>
          </cell>
          <cell r="AA128">
            <v>0</v>
          </cell>
          <cell r="AC128">
            <v>13250</v>
          </cell>
          <cell r="AD128">
            <v>0</v>
          </cell>
        </row>
        <row r="129">
          <cell r="S129">
            <v>0</v>
          </cell>
          <cell r="T129">
            <v>0</v>
          </cell>
          <cell r="U129">
            <v>0</v>
          </cell>
          <cell r="V129">
            <v>0</v>
          </cell>
          <cell r="W129">
            <v>0</v>
          </cell>
          <cell r="X129">
            <v>0</v>
          </cell>
          <cell r="Y129">
            <v>0</v>
          </cell>
          <cell r="Z129">
            <v>0</v>
          </cell>
          <cell r="AA129">
            <v>0</v>
          </cell>
          <cell r="AC129">
            <v>0</v>
          </cell>
          <cell r="AD129">
            <v>0</v>
          </cell>
        </row>
        <row r="130">
          <cell r="B130">
            <v>13255</v>
          </cell>
          <cell r="C130" t="str">
            <v>GRATUITY (STAFF) (6565)</v>
          </cell>
          <cell r="D130">
            <v>20477</v>
          </cell>
          <cell r="E130">
            <v>0</v>
          </cell>
          <cell r="F130">
            <v>2387</v>
          </cell>
          <cell r="G130">
            <v>0</v>
          </cell>
          <cell r="H130">
            <v>0</v>
          </cell>
          <cell r="I130">
            <v>0</v>
          </cell>
          <cell r="J130">
            <v>0</v>
          </cell>
          <cell r="K130">
            <v>0</v>
          </cell>
          <cell r="L130">
            <v>399028</v>
          </cell>
          <cell r="M130">
            <v>0</v>
          </cell>
          <cell r="N130">
            <v>0</v>
          </cell>
          <cell r="O130">
            <v>0</v>
          </cell>
          <cell r="P130">
            <v>22864</v>
          </cell>
          <cell r="Q130">
            <v>0</v>
          </cell>
          <cell r="S130">
            <v>419505</v>
          </cell>
          <cell r="T130">
            <v>2387</v>
          </cell>
          <cell r="U130">
            <v>419505</v>
          </cell>
          <cell r="V130">
            <v>2387</v>
          </cell>
          <cell r="W130">
            <v>0</v>
          </cell>
          <cell r="X130">
            <v>0</v>
          </cell>
          <cell r="Y130">
            <v>0</v>
          </cell>
          <cell r="Z130">
            <v>0</v>
          </cell>
          <cell r="AA130">
            <v>0</v>
          </cell>
          <cell r="AC130">
            <v>13255</v>
          </cell>
          <cell r="AD130">
            <v>0</v>
          </cell>
        </row>
        <row r="131">
          <cell r="S131">
            <v>0</v>
          </cell>
          <cell r="T131">
            <v>0</v>
          </cell>
          <cell r="U131">
            <v>0</v>
          </cell>
          <cell r="V131">
            <v>0</v>
          </cell>
          <cell r="W131">
            <v>0</v>
          </cell>
          <cell r="X131">
            <v>0</v>
          </cell>
          <cell r="Y131">
            <v>0</v>
          </cell>
          <cell r="Z131">
            <v>0</v>
          </cell>
          <cell r="AA131">
            <v>0</v>
          </cell>
          <cell r="AC131">
            <v>0</v>
          </cell>
          <cell r="AD131">
            <v>0</v>
          </cell>
        </row>
        <row r="132">
          <cell r="B132">
            <v>13257</v>
          </cell>
          <cell r="C132" t="str">
            <v>PROVIDEND FUND (STAFF) (6570)</v>
          </cell>
          <cell r="D132">
            <v>57624</v>
          </cell>
          <cell r="E132">
            <v>0</v>
          </cell>
          <cell r="F132">
            <v>13068</v>
          </cell>
          <cell r="G132">
            <v>0</v>
          </cell>
          <cell r="H132">
            <v>0</v>
          </cell>
          <cell r="I132">
            <v>0</v>
          </cell>
          <cell r="J132">
            <v>0</v>
          </cell>
          <cell r="K132">
            <v>0</v>
          </cell>
          <cell r="L132">
            <v>89298</v>
          </cell>
          <cell r="M132">
            <v>0</v>
          </cell>
          <cell r="N132">
            <v>0</v>
          </cell>
          <cell r="O132">
            <v>0</v>
          </cell>
          <cell r="P132">
            <v>70692</v>
          </cell>
          <cell r="Q132">
            <v>0</v>
          </cell>
          <cell r="S132">
            <v>146922</v>
          </cell>
          <cell r="T132">
            <v>13068</v>
          </cell>
          <cell r="U132">
            <v>91500</v>
          </cell>
          <cell r="V132">
            <v>9973</v>
          </cell>
          <cell r="W132">
            <v>55422</v>
          </cell>
          <cell r="X132">
            <v>3095</v>
          </cell>
          <cell r="Y132">
            <v>55422</v>
          </cell>
          <cell r="Z132">
            <v>3095</v>
          </cell>
          <cell r="AA132">
            <v>58517</v>
          </cell>
          <cell r="AC132">
            <v>13257</v>
          </cell>
          <cell r="AD132">
            <v>0</v>
          </cell>
        </row>
        <row r="133">
          <cell r="S133">
            <v>0</v>
          </cell>
          <cell r="T133">
            <v>0</v>
          </cell>
          <cell r="U133">
            <v>0</v>
          </cell>
          <cell r="V133">
            <v>0</v>
          </cell>
          <cell r="W133">
            <v>0</v>
          </cell>
          <cell r="X133">
            <v>0</v>
          </cell>
          <cell r="Y133">
            <v>0</v>
          </cell>
          <cell r="Z133">
            <v>0</v>
          </cell>
          <cell r="AA133">
            <v>0</v>
          </cell>
          <cell r="AC133">
            <v>0</v>
          </cell>
          <cell r="AD133">
            <v>0</v>
          </cell>
        </row>
        <row r="134">
          <cell r="B134">
            <v>13261</v>
          </cell>
          <cell r="C134" t="str">
            <v>ESIC (STAFF) (6590)</v>
          </cell>
          <cell r="D134">
            <v>23318</v>
          </cell>
          <cell r="E134">
            <v>-4271</v>
          </cell>
          <cell r="F134">
            <v>20461</v>
          </cell>
          <cell r="G134">
            <v>0</v>
          </cell>
          <cell r="H134">
            <v>0</v>
          </cell>
          <cell r="I134">
            <v>0</v>
          </cell>
          <cell r="J134">
            <v>0</v>
          </cell>
          <cell r="K134">
            <v>0</v>
          </cell>
          <cell r="L134">
            <v>44625</v>
          </cell>
          <cell r="M134">
            <v>-2212</v>
          </cell>
          <cell r="N134">
            <v>0</v>
          </cell>
          <cell r="O134">
            <v>0</v>
          </cell>
          <cell r="P134">
            <v>43779</v>
          </cell>
          <cell r="Q134">
            <v>-4271</v>
          </cell>
          <cell r="S134">
            <v>61460</v>
          </cell>
          <cell r="T134">
            <v>20461</v>
          </cell>
          <cell r="U134">
            <v>39829</v>
          </cell>
          <cell r="V134">
            <v>20461</v>
          </cell>
          <cell r="W134">
            <v>21631</v>
          </cell>
          <cell r="X134">
            <v>0</v>
          </cell>
          <cell r="Y134">
            <v>21631</v>
          </cell>
          <cell r="Z134">
            <v>0</v>
          </cell>
          <cell r="AA134">
            <v>21631</v>
          </cell>
          <cell r="AC134">
            <v>13261</v>
          </cell>
          <cell r="AD134">
            <v>0</v>
          </cell>
        </row>
        <row r="135">
          <cell r="S135">
            <v>0</v>
          </cell>
          <cell r="T135">
            <v>0</v>
          </cell>
          <cell r="U135">
            <v>0</v>
          </cell>
          <cell r="V135">
            <v>0</v>
          </cell>
          <cell r="W135">
            <v>0</v>
          </cell>
          <cell r="X135">
            <v>0</v>
          </cell>
          <cell r="Y135">
            <v>0</v>
          </cell>
          <cell r="Z135">
            <v>0</v>
          </cell>
          <cell r="AA135">
            <v>0</v>
          </cell>
          <cell r="AC135">
            <v>0</v>
          </cell>
          <cell r="AD135">
            <v>0</v>
          </cell>
        </row>
        <row r="136">
          <cell r="B136">
            <v>13267</v>
          </cell>
          <cell r="C136" t="str">
            <v>GRATUITY (WORKERS) (6665)</v>
          </cell>
          <cell r="D136">
            <v>998359</v>
          </cell>
          <cell r="E136">
            <v>-653431</v>
          </cell>
          <cell r="F136">
            <v>977131</v>
          </cell>
          <cell r="G136">
            <v>-653431</v>
          </cell>
          <cell r="H136">
            <v>0</v>
          </cell>
          <cell r="I136">
            <v>0</v>
          </cell>
          <cell r="J136">
            <v>0</v>
          </cell>
          <cell r="K136">
            <v>0</v>
          </cell>
          <cell r="L136">
            <v>0</v>
          </cell>
          <cell r="M136">
            <v>0</v>
          </cell>
          <cell r="N136">
            <v>0</v>
          </cell>
          <cell r="O136">
            <v>0</v>
          </cell>
          <cell r="P136">
            <v>1975490</v>
          </cell>
          <cell r="Q136">
            <v>-1306862</v>
          </cell>
          <cell r="S136">
            <v>344928</v>
          </cell>
          <cell r="T136">
            <v>323700</v>
          </cell>
          <cell r="U136">
            <v>344928</v>
          </cell>
          <cell r="V136">
            <v>323700</v>
          </cell>
          <cell r="W136">
            <v>0</v>
          </cell>
          <cell r="X136">
            <v>0</v>
          </cell>
          <cell r="Y136">
            <v>0</v>
          </cell>
          <cell r="Z136">
            <v>0</v>
          </cell>
          <cell r="AA136">
            <v>0</v>
          </cell>
          <cell r="AC136">
            <v>13267</v>
          </cell>
          <cell r="AD136">
            <v>0</v>
          </cell>
        </row>
        <row r="137">
          <cell r="S137">
            <v>0</v>
          </cell>
          <cell r="T137">
            <v>0</v>
          </cell>
          <cell r="U137">
            <v>0</v>
          </cell>
          <cell r="V137">
            <v>0</v>
          </cell>
          <cell r="W137">
            <v>0</v>
          </cell>
          <cell r="X137">
            <v>0</v>
          </cell>
          <cell r="Y137">
            <v>0</v>
          </cell>
          <cell r="Z137">
            <v>0</v>
          </cell>
          <cell r="AA137">
            <v>0</v>
          </cell>
          <cell r="AC137">
            <v>0</v>
          </cell>
          <cell r="AD137">
            <v>0</v>
          </cell>
        </row>
        <row r="138">
          <cell r="B138">
            <v>13269</v>
          </cell>
          <cell r="C138" t="str">
            <v>PROVIDEND FUND (WORKERS) (6670)</v>
          </cell>
          <cell r="D138">
            <v>4663813</v>
          </cell>
          <cell r="E138">
            <v>0</v>
          </cell>
          <cell r="F138">
            <v>1780831</v>
          </cell>
          <cell r="G138">
            <v>0</v>
          </cell>
          <cell r="H138">
            <v>0</v>
          </cell>
          <cell r="I138">
            <v>0</v>
          </cell>
          <cell r="J138">
            <v>0</v>
          </cell>
          <cell r="K138">
            <v>0</v>
          </cell>
          <cell r="L138">
            <v>0</v>
          </cell>
          <cell r="M138">
            <v>0</v>
          </cell>
          <cell r="N138">
            <v>0</v>
          </cell>
          <cell r="O138">
            <v>0</v>
          </cell>
          <cell r="P138">
            <v>6444644</v>
          </cell>
          <cell r="Q138">
            <v>0</v>
          </cell>
          <cell r="S138">
            <v>4663813</v>
          </cell>
          <cell r="T138">
            <v>1780831</v>
          </cell>
          <cell r="U138">
            <v>2880547</v>
          </cell>
          <cell r="V138">
            <v>1090763</v>
          </cell>
          <cell r="W138">
            <v>1783266</v>
          </cell>
          <cell r="X138">
            <v>690068</v>
          </cell>
          <cell r="Y138">
            <v>1783266</v>
          </cell>
          <cell r="Z138">
            <v>690068</v>
          </cell>
          <cell r="AA138">
            <v>2473334</v>
          </cell>
          <cell r="AC138">
            <v>13269</v>
          </cell>
          <cell r="AD138">
            <v>0</v>
          </cell>
        </row>
        <row r="139">
          <cell r="S139">
            <v>0</v>
          </cell>
          <cell r="T139">
            <v>0</v>
          </cell>
          <cell r="U139">
            <v>0</v>
          </cell>
          <cell r="V139">
            <v>0</v>
          </cell>
          <cell r="W139">
            <v>0</v>
          </cell>
          <cell r="X139">
            <v>0</v>
          </cell>
          <cell r="Y139">
            <v>0</v>
          </cell>
          <cell r="Z139">
            <v>0</v>
          </cell>
          <cell r="AA139">
            <v>0</v>
          </cell>
          <cell r="AC139">
            <v>0</v>
          </cell>
          <cell r="AD139">
            <v>0</v>
          </cell>
        </row>
        <row r="140">
          <cell r="B140">
            <v>13273</v>
          </cell>
          <cell r="C140" t="str">
            <v>ESIC (WORKERS) (6690)</v>
          </cell>
          <cell r="D140">
            <v>97523</v>
          </cell>
          <cell r="E140">
            <v>-16471</v>
          </cell>
          <cell r="F140">
            <v>0</v>
          </cell>
          <cell r="G140">
            <v>0</v>
          </cell>
          <cell r="H140">
            <v>0</v>
          </cell>
          <cell r="I140">
            <v>0</v>
          </cell>
          <cell r="J140">
            <v>0</v>
          </cell>
          <cell r="K140">
            <v>0</v>
          </cell>
          <cell r="L140">
            <v>5265</v>
          </cell>
          <cell r="M140">
            <v>-3560</v>
          </cell>
          <cell r="N140">
            <v>0</v>
          </cell>
          <cell r="O140">
            <v>0</v>
          </cell>
          <cell r="P140">
            <v>97523</v>
          </cell>
          <cell r="Q140">
            <v>-16471</v>
          </cell>
          <cell r="S140">
            <v>82757</v>
          </cell>
          <cell r="T140">
            <v>0</v>
          </cell>
          <cell r="U140">
            <v>50496</v>
          </cell>
          <cell r="V140">
            <v>0</v>
          </cell>
          <cell r="W140">
            <v>32261</v>
          </cell>
          <cell r="X140">
            <v>0</v>
          </cell>
          <cell r="Y140">
            <v>32261</v>
          </cell>
          <cell r="Z140">
            <v>0</v>
          </cell>
          <cell r="AA140">
            <v>32261</v>
          </cell>
          <cell r="AC140">
            <v>13273</v>
          </cell>
          <cell r="AD140">
            <v>0</v>
          </cell>
        </row>
        <row r="141">
          <cell r="S141">
            <v>0</v>
          </cell>
          <cell r="T141">
            <v>0</v>
          </cell>
          <cell r="U141">
            <v>0</v>
          </cell>
          <cell r="V141">
            <v>0</v>
          </cell>
          <cell r="W141">
            <v>0</v>
          </cell>
          <cell r="X141">
            <v>0</v>
          </cell>
          <cell r="Y141">
            <v>0</v>
          </cell>
          <cell r="Z141">
            <v>0</v>
          </cell>
          <cell r="AA141">
            <v>0</v>
          </cell>
          <cell r="AC141">
            <v>0</v>
          </cell>
          <cell r="AD141">
            <v>0</v>
          </cell>
        </row>
        <row r="142">
          <cell r="B142">
            <v>13281</v>
          </cell>
          <cell r="C142" t="str">
            <v>MEDICAL EXPENSES (OFFICERS) (6485)</v>
          </cell>
          <cell r="D142">
            <v>942632</v>
          </cell>
          <cell r="E142">
            <v>-345240</v>
          </cell>
          <cell r="F142">
            <v>1237792</v>
          </cell>
          <cell r="G142">
            <v>-361998</v>
          </cell>
          <cell r="H142">
            <v>0</v>
          </cell>
          <cell r="I142">
            <v>0</v>
          </cell>
          <cell r="J142">
            <v>0</v>
          </cell>
          <cell r="K142">
            <v>0</v>
          </cell>
          <cell r="L142">
            <v>834832</v>
          </cell>
          <cell r="M142">
            <v>-245399</v>
          </cell>
          <cell r="N142">
            <v>0</v>
          </cell>
          <cell r="O142">
            <v>0</v>
          </cell>
          <cell r="P142">
            <v>2180424</v>
          </cell>
          <cell r="Q142">
            <v>-707238</v>
          </cell>
          <cell r="S142">
            <v>1186825</v>
          </cell>
          <cell r="T142">
            <v>875794</v>
          </cell>
          <cell r="U142">
            <v>618701</v>
          </cell>
          <cell r="V142">
            <v>476460</v>
          </cell>
          <cell r="W142">
            <v>568124</v>
          </cell>
          <cell r="X142">
            <v>399334</v>
          </cell>
          <cell r="Y142">
            <v>568124</v>
          </cell>
          <cell r="Z142">
            <v>399334</v>
          </cell>
          <cell r="AA142">
            <v>967458</v>
          </cell>
          <cell r="AC142">
            <v>13281</v>
          </cell>
          <cell r="AD142">
            <v>0</v>
          </cell>
        </row>
        <row r="143">
          <cell r="S143">
            <v>0</v>
          </cell>
          <cell r="T143">
            <v>0</v>
          </cell>
          <cell r="U143">
            <v>0</v>
          </cell>
          <cell r="V143">
            <v>0</v>
          </cell>
          <cell r="W143">
            <v>0</v>
          </cell>
          <cell r="X143">
            <v>0</v>
          </cell>
          <cell r="Y143">
            <v>0</v>
          </cell>
          <cell r="Z143">
            <v>0</v>
          </cell>
          <cell r="AA143">
            <v>0</v>
          </cell>
          <cell r="AC143">
            <v>0</v>
          </cell>
          <cell r="AD143">
            <v>0</v>
          </cell>
        </row>
        <row r="144">
          <cell r="B144">
            <v>13283</v>
          </cell>
          <cell r="C144" t="str">
            <v>MEDICLAIM EXPENSES (OFFICERS) (6490)</v>
          </cell>
          <cell r="D144">
            <v>150754</v>
          </cell>
          <cell r="E144">
            <v>0</v>
          </cell>
          <cell r="F144">
            <v>285791</v>
          </cell>
          <cell r="G144">
            <v>0</v>
          </cell>
          <cell r="H144">
            <v>0</v>
          </cell>
          <cell r="I144">
            <v>0</v>
          </cell>
          <cell r="J144">
            <v>0</v>
          </cell>
          <cell r="K144">
            <v>0</v>
          </cell>
          <cell r="L144">
            <v>279885</v>
          </cell>
          <cell r="M144">
            <v>-6155</v>
          </cell>
          <cell r="N144">
            <v>0</v>
          </cell>
          <cell r="O144">
            <v>0</v>
          </cell>
          <cell r="P144">
            <v>436545</v>
          </cell>
          <cell r="Q144">
            <v>0</v>
          </cell>
          <cell r="S144">
            <v>424484</v>
          </cell>
          <cell r="T144">
            <v>285791</v>
          </cell>
          <cell r="U144">
            <v>273285</v>
          </cell>
          <cell r="V144">
            <v>160364</v>
          </cell>
          <cell r="W144">
            <v>151199</v>
          </cell>
          <cell r="X144">
            <v>125427</v>
          </cell>
          <cell r="Y144">
            <v>151199</v>
          </cell>
          <cell r="Z144">
            <v>125427</v>
          </cell>
          <cell r="AA144">
            <v>276626</v>
          </cell>
          <cell r="AC144">
            <v>13283</v>
          </cell>
          <cell r="AD144">
            <v>0</v>
          </cell>
        </row>
        <row r="145">
          <cell r="S145">
            <v>0</v>
          </cell>
          <cell r="T145">
            <v>0</v>
          </cell>
          <cell r="U145">
            <v>0</v>
          </cell>
          <cell r="V145">
            <v>0</v>
          </cell>
          <cell r="W145">
            <v>0</v>
          </cell>
          <cell r="X145">
            <v>0</v>
          </cell>
          <cell r="Y145">
            <v>0</v>
          </cell>
          <cell r="Z145">
            <v>0</v>
          </cell>
          <cell r="AA145">
            <v>0</v>
          </cell>
          <cell r="AC145">
            <v>0</v>
          </cell>
          <cell r="AD145">
            <v>0</v>
          </cell>
        </row>
        <row r="146">
          <cell r="B146">
            <v>13285</v>
          </cell>
          <cell r="C146" t="str">
            <v>OFFICE DRESS (OFFICERS) (6495)</v>
          </cell>
          <cell r="D146">
            <v>53500</v>
          </cell>
          <cell r="E146">
            <v>-3000</v>
          </cell>
          <cell r="F146">
            <v>104315</v>
          </cell>
          <cell r="G146">
            <v>-5200</v>
          </cell>
          <cell r="H146">
            <v>0</v>
          </cell>
          <cell r="I146">
            <v>0</v>
          </cell>
          <cell r="J146">
            <v>0</v>
          </cell>
          <cell r="K146">
            <v>0</v>
          </cell>
          <cell r="L146">
            <v>77300</v>
          </cell>
          <cell r="M146">
            <v>0</v>
          </cell>
          <cell r="N146">
            <v>0</v>
          </cell>
          <cell r="O146">
            <v>0</v>
          </cell>
          <cell r="P146">
            <v>157815</v>
          </cell>
          <cell r="Q146">
            <v>-8200</v>
          </cell>
          <cell r="S146">
            <v>127800</v>
          </cell>
          <cell r="T146">
            <v>99115</v>
          </cell>
          <cell r="U146">
            <v>72700</v>
          </cell>
          <cell r="V146">
            <v>55380</v>
          </cell>
          <cell r="W146">
            <v>55100</v>
          </cell>
          <cell r="X146">
            <v>43735</v>
          </cell>
          <cell r="Y146">
            <v>55100</v>
          </cell>
          <cell r="Z146">
            <v>43735</v>
          </cell>
          <cell r="AA146">
            <v>98835</v>
          </cell>
          <cell r="AC146">
            <v>13285</v>
          </cell>
          <cell r="AD146">
            <v>0</v>
          </cell>
        </row>
        <row r="147">
          <cell r="S147">
            <v>0</v>
          </cell>
          <cell r="T147">
            <v>0</v>
          </cell>
          <cell r="U147">
            <v>0</v>
          </cell>
          <cell r="V147">
            <v>0</v>
          </cell>
          <cell r="W147">
            <v>0</v>
          </cell>
          <cell r="X147">
            <v>0</v>
          </cell>
          <cell r="Y147">
            <v>0</v>
          </cell>
          <cell r="Z147">
            <v>0</v>
          </cell>
          <cell r="AA147">
            <v>0</v>
          </cell>
          <cell r="AC147">
            <v>0</v>
          </cell>
          <cell r="AD147">
            <v>0</v>
          </cell>
        </row>
        <row r="148">
          <cell r="B148">
            <v>13287</v>
          </cell>
          <cell r="C148" t="str">
            <v>SOFT FURNISINGS (OFFICERS) (6496)</v>
          </cell>
          <cell r="D148">
            <v>6700</v>
          </cell>
          <cell r="E148">
            <v>0</v>
          </cell>
          <cell r="F148">
            <v>6929</v>
          </cell>
          <cell r="G148">
            <v>0</v>
          </cell>
          <cell r="H148">
            <v>0</v>
          </cell>
          <cell r="I148">
            <v>0</v>
          </cell>
          <cell r="J148">
            <v>0</v>
          </cell>
          <cell r="K148">
            <v>0</v>
          </cell>
          <cell r="L148">
            <v>21640</v>
          </cell>
          <cell r="M148">
            <v>0</v>
          </cell>
          <cell r="N148">
            <v>0</v>
          </cell>
          <cell r="O148">
            <v>0</v>
          </cell>
          <cell r="P148">
            <v>13629</v>
          </cell>
          <cell r="Q148">
            <v>0</v>
          </cell>
          <cell r="S148">
            <v>28340</v>
          </cell>
          <cell r="T148">
            <v>6929</v>
          </cell>
          <cell r="U148">
            <v>25940</v>
          </cell>
          <cell r="V148">
            <v>3999</v>
          </cell>
          <cell r="W148">
            <v>2400</v>
          </cell>
          <cell r="X148">
            <v>2930</v>
          </cell>
          <cell r="Y148">
            <v>2400</v>
          </cell>
          <cell r="Z148">
            <v>2930</v>
          </cell>
          <cell r="AA148">
            <v>5330</v>
          </cell>
          <cell r="AC148">
            <v>13287</v>
          </cell>
          <cell r="AD148">
            <v>0</v>
          </cell>
        </row>
        <row r="149">
          <cell r="S149">
            <v>0</v>
          </cell>
          <cell r="T149">
            <v>0</v>
          </cell>
          <cell r="U149">
            <v>0</v>
          </cell>
          <cell r="V149">
            <v>0</v>
          </cell>
          <cell r="W149">
            <v>0</v>
          </cell>
          <cell r="X149">
            <v>0</v>
          </cell>
          <cell r="Y149">
            <v>0</v>
          </cell>
          <cell r="Z149">
            <v>0</v>
          </cell>
          <cell r="AA149">
            <v>0</v>
          </cell>
          <cell r="AC149">
            <v>0</v>
          </cell>
          <cell r="AD149">
            <v>0</v>
          </cell>
        </row>
        <row r="150">
          <cell r="E150" t="str">
            <v>SDCT</v>
          </cell>
          <cell r="F150" t="str">
            <v>PCDT</v>
          </cell>
          <cell r="G150" t="str">
            <v>PCDC</v>
          </cell>
          <cell r="I150" t="str">
            <v>PCDN</v>
          </cell>
          <cell r="K150" t="str">
            <v>CORP</v>
          </cell>
          <cell r="M150" t="str">
            <v>OTHER</v>
          </cell>
          <cell r="O150" t="str">
            <v>TOTAL</v>
          </cell>
          <cell r="U150">
            <v>0</v>
          </cell>
          <cell r="V150">
            <v>0</v>
          </cell>
          <cell r="W150">
            <v>0</v>
          </cell>
          <cell r="X150">
            <v>0</v>
          </cell>
          <cell r="Y150">
            <v>0</v>
          </cell>
          <cell r="Z150">
            <v>0</v>
          </cell>
          <cell r="AA150">
            <v>0</v>
          </cell>
          <cell r="AC150">
            <v>0</v>
          </cell>
          <cell r="AD150">
            <v>0</v>
          </cell>
        </row>
        <row r="151">
          <cell r="B151" t="str">
            <v>GL CODE</v>
          </cell>
          <cell r="C151" t="str">
            <v>ACCOUNT HEAD</v>
          </cell>
          <cell r="S151">
            <v>0</v>
          </cell>
          <cell r="T151">
            <v>0</v>
          </cell>
          <cell r="U151" t="str">
            <v>SDCT</v>
          </cell>
          <cell r="V151" t="str">
            <v>PCDT</v>
          </cell>
          <cell r="Y151">
            <v>0</v>
          </cell>
          <cell r="Z151">
            <v>0</v>
          </cell>
          <cell r="AA151">
            <v>0</v>
          </cell>
          <cell r="AC151">
            <v>0</v>
          </cell>
          <cell r="AD151" t="e">
            <v>#VALUE!</v>
          </cell>
        </row>
        <row r="152">
          <cell r="S152">
            <v>0</v>
          </cell>
          <cell r="T152">
            <v>0</v>
          </cell>
          <cell r="U152">
            <v>0</v>
          </cell>
          <cell r="V152">
            <v>0</v>
          </cell>
          <cell r="W152">
            <v>0</v>
          </cell>
          <cell r="X152">
            <v>0</v>
          </cell>
          <cell r="Y152">
            <v>0</v>
          </cell>
          <cell r="Z152">
            <v>0</v>
          </cell>
          <cell r="AA152">
            <v>0</v>
          </cell>
          <cell r="AC152">
            <v>0</v>
          </cell>
          <cell r="AD152">
            <v>0</v>
          </cell>
        </row>
        <row r="153">
          <cell r="D153" t="str">
            <v>DR.</v>
          </cell>
          <cell r="E153" t="str">
            <v>CR.</v>
          </cell>
          <cell r="F153" t="str">
            <v>DR.</v>
          </cell>
          <cell r="G153" t="str">
            <v>CR.</v>
          </cell>
          <cell r="H153" t="str">
            <v>DR.</v>
          </cell>
          <cell r="I153" t="str">
            <v>CR.</v>
          </cell>
          <cell r="J153" t="str">
            <v>DR.</v>
          </cell>
          <cell r="K153" t="str">
            <v>CR.</v>
          </cell>
          <cell r="L153" t="str">
            <v>DR.</v>
          </cell>
          <cell r="M153" t="str">
            <v>CR.</v>
          </cell>
          <cell r="N153" t="str">
            <v>DR.</v>
          </cell>
          <cell r="O153" t="str">
            <v>CR.</v>
          </cell>
          <cell r="P153" t="str">
            <v>DR.</v>
          </cell>
          <cell r="Q153" t="str">
            <v>CR.</v>
          </cell>
          <cell r="U153">
            <v>0</v>
          </cell>
          <cell r="V153">
            <v>0</v>
          </cell>
          <cell r="W153">
            <v>0</v>
          </cell>
          <cell r="X153">
            <v>0</v>
          </cell>
          <cell r="Y153">
            <v>0</v>
          </cell>
          <cell r="Z153">
            <v>0</v>
          </cell>
          <cell r="AA153">
            <v>0</v>
          </cell>
          <cell r="AC153">
            <v>0</v>
          </cell>
          <cell r="AD153">
            <v>0</v>
          </cell>
        </row>
        <row r="154">
          <cell r="S154">
            <v>0</v>
          </cell>
          <cell r="T154">
            <v>0</v>
          </cell>
          <cell r="U154">
            <v>0</v>
          </cell>
          <cell r="V154">
            <v>0</v>
          </cell>
          <cell r="W154">
            <v>0</v>
          </cell>
          <cell r="X154">
            <v>0</v>
          </cell>
          <cell r="Y154">
            <v>0</v>
          </cell>
          <cell r="Z154">
            <v>0</v>
          </cell>
          <cell r="AA154">
            <v>0</v>
          </cell>
          <cell r="AC154">
            <v>0</v>
          </cell>
          <cell r="AD154">
            <v>0</v>
          </cell>
        </row>
        <row r="155">
          <cell r="S155">
            <v>0</v>
          </cell>
          <cell r="T155">
            <v>0</v>
          </cell>
          <cell r="U155">
            <v>0</v>
          </cell>
          <cell r="V155">
            <v>0</v>
          </cell>
          <cell r="W155">
            <v>0</v>
          </cell>
          <cell r="X155">
            <v>0</v>
          </cell>
          <cell r="Y155">
            <v>0</v>
          </cell>
          <cell r="Z155">
            <v>0</v>
          </cell>
          <cell r="AA155">
            <v>0</v>
          </cell>
          <cell r="AC155">
            <v>0</v>
          </cell>
          <cell r="AD155">
            <v>0</v>
          </cell>
        </row>
        <row r="156">
          <cell r="B156">
            <v>13292</v>
          </cell>
          <cell r="C156" t="str">
            <v>MEDICLAIM STAFF</v>
          </cell>
          <cell r="D156">
            <v>0</v>
          </cell>
          <cell r="E156">
            <v>0</v>
          </cell>
          <cell r="F156">
            <v>0</v>
          </cell>
          <cell r="G156">
            <v>0</v>
          </cell>
          <cell r="H156">
            <v>0</v>
          </cell>
          <cell r="I156">
            <v>0</v>
          </cell>
          <cell r="J156">
            <v>0</v>
          </cell>
          <cell r="K156">
            <v>0</v>
          </cell>
          <cell r="L156">
            <v>13035</v>
          </cell>
          <cell r="M156">
            <v>0</v>
          </cell>
          <cell r="N156">
            <v>0</v>
          </cell>
          <cell r="O156">
            <v>0</v>
          </cell>
          <cell r="P156">
            <v>0</v>
          </cell>
          <cell r="Q156">
            <v>0</v>
          </cell>
          <cell r="S156">
            <v>13035</v>
          </cell>
          <cell r="T156">
            <v>0</v>
          </cell>
          <cell r="U156">
            <v>0</v>
          </cell>
          <cell r="V156">
            <v>0</v>
          </cell>
          <cell r="W156">
            <v>13035</v>
          </cell>
          <cell r="X156">
            <v>0</v>
          </cell>
          <cell r="Y156">
            <v>13035</v>
          </cell>
          <cell r="Z156">
            <v>0</v>
          </cell>
          <cell r="AA156">
            <v>13035</v>
          </cell>
          <cell r="AC156">
            <v>13292</v>
          </cell>
          <cell r="AD156">
            <v>0</v>
          </cell>
        </row>
        <row r="157">
          <cell r="S157">
            <v>0</v>
          </cell>
          <cell r="T157">
            <v>0</v>
          </cell>
          <cell r="U157">
            <v>0</v>
          </cell>
          <cell r="V157">
            <v>0</v>
          </cell>
          <cell r="W157">
            <v>0</v>
          </cell>
          <cell r="X157">
            <v>0</v>
          </cell>
          <cell r="Y157">
            <v>0</v>
          </cell>
          <cell r="Z157">
            <v>0</v>
          </cell>
          <cell r="AA157">
            <v>0</v>
          </cell>
          <cell r="AC157">
            <v>0</v>
          </cell>
          <cell r="AD157">
            <v>0</v>
          </cell>
        </row>
        <row r="158">
          <cell r="B158">
            <v>13293</v>
          </cell>
          <cell r="C158" t="str">
            <v>MEDICAL EXPENSES (STAFF) (6595)</v>
          </cell>
          <cell r="D158">
            <v>37301.07</v>
          </cell>
          <cell r="E158">
            <v>-4.8600000000000003</v>
          </cell>
          <cell r="F158">
            <v>0</v>
          </cell>
          <cell r="G158">
            <v>0</v>
          </cell>
          <cell r="H158">
            <v>0</v>
          </cell>
          <cell r="I158">
            <v>0</v>
          </cell>
          <cell r="J158">
            <v>0</v>
          </cell>
          <cell r="K158">
            <v>0</v>
          </cell>
          <cell r="L158">
            <v>10250</v>
          </cell>
          <cell r="M158">
            <v>0</v>
          </cell>
          <cell r="N158">
            <v>0</v>
          </cell>
          <cell r="O158">
            <v>0</v>
          </cell>
          <cell r="P158">
            <v>37301.07</v>
          </cell>
          <cell r="Q158">
            <v>-4.8600000000000003</v>
          </cell>
          <cell r="S158">
            <v>47546.21</v>
          </cell>
          <cell r="T158">
            <v>0</v>
          </cell>
          <cell r="U158">
            <v>23291.72</v>
          </cell>
          <cell r="V158">
            <v>0</v>
          </cell>
          <cell r="W158">
            <v>24254.489999999998</v>
          </cell>
          <cell r="X158">
            <v>0</v>
          </cell>
          <cell r="Y158">
            <v>24254.489999999998</v>
          </cell>
          <cell r="Z158">
            <v>0</v>
          </cell>
          <cell r="AA158">
            <v>24254.489999999998</v>
          </cell>
          <cell r="AC158">
            <v>13293</v>
          </cell>
          <cell r="AD158">
            <v>0</v>
          </cell>
        </row>
        <row r="159">
          <cell r="S159">
            <v>0</v>
          </cell>
          <cell r="T159">
            <v>0</v>
          </cell>
          <cell r="U159">
            <v>0</v>
          </cell>
          <cell r="V159">
            <v>0</v>
          </cell>
          <cell r="W159">
            <v>0</v>
          </cell>
          <cell r="X159">
            <v>0</v>
          </cell>
          <cell r="Y159">
            <v>0</v>
          </cell>
          <cell r="Z159">
            <v>0</v>
          </cell>
          <cell r="AA159">
            <v>0</v>
          </cell>
          <cell r="AC159">
            <v>0</v>
          </cell>
          <cell r="AD159">
            <v>0</v>
          </cell>
        </row>
        <row r="160">
          <cell r="B160">
            <v>13298</v>
          </cell>
          <cell r="C160" t="str">
            <v>MAHARASHATRA LABOUR WELFARE FUND (6680)</v>
          </cell>
          <cell r="D160">
            <v>19494</v>
          </cell>
          <cell r="E160">
            <v>-3528</v>
          </cell>
          <cell r="F160">
            <v>16410</v>
          </cell>
          <cell r="G160">
            <v>-1272</v>
          </cell>
          <cell r="H160">
            <v>0</v>
          </cell>
          <cell r="I160">
            <v>0</v>
          </cell>
          <cell r="J160">
            <v>0</v>
          </cell>
          <cell r="K160">
            <v>0</v>
          </cell>
          <cell r="L160">
            <v>0</v>
          </cell>
          <cell r="M160">
            <v>0</v>
          </cell>
          <cell r="N160">
            <v>0</v>
          </cell>
          <cell r="O160">
            <v>0</v>
          </cell>
          <cell r="P160">
            <v>35904</v>
          </cell>
          <cell r="Q160">
            <v>-4800</v>
          </cell>
          <cell r="S160">
            <v>15966</v>
          </cell>
          <cell r="T160">
            <v>15138</v>
          </cell>
          <cell r="U160">
            <v>10728</v>
          </cell>
          <cell r="V160">
            <v>8496</v>
          </cell>
          <cell r="W160">
            <v>5238</v>
          </cell>
          <cell r="X160">
            <v>6642</v>
          </cell>
          <cell r="Y160">
            <v>5238</v>
          </cell>
          <cell r="Z160">
            <v>6642</v>
          </cell>
          <cell r="AA160">
            <v>11880</v>
          </cell>
          <cell r="AC160">
            <v>13298</v>
          </cell>
          <cell r="AD160">
            <v>0</v>
          </cell>
        </row>
        <row r="161">
          <cell r="S161">
            <v>0</v>
          </cell>
          <cell r="T161">
            <v>0</v>
          </cell>
          <cell r="U161">
            <v>0</v>
          </cell>
          <cell r="V161">
            <v>0</v>
          </cell>
          <cell r="W161">
            <v>0</v>
          </cell>
          <cell r="X161">
            <v>0</v>
          </cell>
          <cell r="Y161">
            <v>0</v>
          </cell>
          <cell r="Z161">
            <v>0</v>
          </cell>
          <cell r="AA161">
            <v>0</v>
          </cell>
          <cell r="AC161">
            <v>0</v>
          </cell>
          <cell r="AD161">
            <v>0</v>
          </cell>
        </row>
        <row r="162">
          <cell r="B162">
            <v>13300</v>
          </cell>
          <cell r="C162" t="str">
            <v>MEDICAL EXPENSES (WORKERS) (6695)</v>
          </cell>
          <cell r="D162">
            <v>3437503.74</v>
          </cell>
          <cell r="E162">
            <v>-437167</v>
          </cell>
          <cell r="F162">
            <v>1665014</v>
          </cell>
          <cell r="G162">
            <v>-306167</v>
          </cell>
          <cell r="H162">
            <v>0</v>
          </cell>
          <cell r="I162">
            <v>0</v>
          </cell>
          <cell r="J162">
            <v>0</v>
          </cell>
          <cell r="K162">
            <v>0</v>
          </cell>
          <cell r="L162">
            <v>0</v>
          </cell>
          <cell r="M162">
            <v>0</v>
          </cell>
          <cell r="N162">
            <v>0</v>
          </cell>
          <cell r="O162">
            <v>0</v>
          </cell>
          <cell r="P162">
            <v>5102517.74</v>
          </cell>
          <cell r="Q162">
            <v>-743334</v>
          </cell>
          <cell r="S162">
            <v>3000336.74</v>
          </cell>
          <cell r="T162">
            <v>1358847</v>
          </cell>
          <cell r="U162">
            <v>1690005.74</v>
          </cell>
          <cell r="V162">
            <v>715239</v>
          </cell>
          <cell r="W162">
            <v>1310331.0000000002</v>
          </cell>
          <cell r="X162">
            <v>643608</v>
          </cell>
          <cell r="Y162">
            <v>1310331.0000000002</v>
          </cell>
          <cell r="Z162">
            <v>643608</v>
          </cell>
          <cell r="AA162">
            <v>1953939.0000000002</v>
          </cell>
          <cell r="AC162">
            <v>13300</v>
          </cell>
          <cell r="AD162">
            <v>0</v>
          </cell>
        </row>
        <row r="163">
          <cell r="S163">
            <v>0</v>
          </cell>
          <cell r="T163">
            <v>0</v>
          </cell>
          <cell r="U163">
            <v>0</v>
          </cell>
          <cell r="V163">
            <v>0</v>
          </cell>
          <cell r="W163">
            <v>0</v>
          </cell>
          <cell r="X163">
            <v>0</v>
          </cell>
          <cell r="Y163">
            <v>0</v>
          </cell>
          <cell r="Z163">
            <v>0</v>
          </cell>
          <cell r="AA163">
            <v>0</v>
          </cell>
          <cell r="AC163">
            <v>0</v>
          </cell>
          <cell r="AD163">
            <v>0</v>
          </cell>
        </row>
        <row r="164">
          <cell r="B164">
            <v>13301</v>
          </cell>
          <cell r="C164" t="str">
            <v>MEDICLAIM (WORKERS)</v>
          </cell>
          <cell r="D164">
            <v>1001522</v>
          </cell>
          <cell r="E164">
            <v>0</v>
          </cell>
          <cell r="F164">
            <v>1179059</v>
          </cell>
          <cell r="G164">
            <v>-671676</v>
          </cell>
          <cell r="H164">
            <v>0</v>
          </cell>
          <cell r="I164">
            <v>0</v>
          </cell>
          <cell r="J164">
            <v>0</v>
          </cell>
          <cell r="K164">
            <v>0</v>
          </cell>
          <cell r="L164">
            <v>955</v>
          </cell>
          <cell r="M164">
            <v>0</v>
          </cell>
          <cell r="N164">
            <v>0</v>
          </cell>
          <cell r="O164">
            <v>0</v>
          </cell>
          <cell r="P164">
            <v>2180581</v>
          </cell>
          <cell r="Q164">
            <v>-671676</v>
          </cell>
          <cell r="S164">
            <v>1002477</v>
          </cell>
          <cell r="T164">
            <v>507383</v>
          </cell>
          <cell r="U164">
            <v>849618</v>
          </cell>
          <cell r="V164">
            <v>177693</v>
          </cell>
          <cell r="W164">
            <v>152859</v>
          </cell>
          <cell r="X164">
            <v>329690</v>
          </cell>
          <cell r="Y164">
            <v>152859</v>
          </cell>
          <cell r="Z164">
            <v>329690</v>
          </cell>
          <cell r="AA164">
            <v>482549</v>
          </cell>
          <cell r="AC164">
            <v>13301</v>
          </cell>
          <cell r="AD164">
            <v>0</v>
          </cell>
        </row>
        <row r="165">
          <cell r="S165">
            <v>0</v>
          </cell>
          <cell r="T165">
            <v>0</v>
          </cell>
          <cell r="U165">
            <v>0</v>
          </cell>
          <cell r="V165">
            <v>0</v>
          </cell>
          <cell r="W165">
            <v>0</v>
          </cell>
          <cell r="X165">
            <v>0</v>
          </cell>
          <cell r="Y165">
            <v>0</v>
          </cell>
          <cell r="Z165">
            <v>0</v>
          </cell>
          <cell r="AA165">
            <v>0</v>
          </cell>
          <cell r="AC165">
            <v>0</v>
          </cell>
          <cell r="AD165">
            <v>0</v>
          </cell>
        </row>
        <row r="166">
          <cell r="B166">
            <v>13308</v>
          </cell>
          <cell r="C166" t="str">
            <v>CONTRACT LABOUR EXPENSES (6780)</v>
          </cell>
          <cell r="D166">
            <v>9779699.1899999995</v>
          </cell>
          <cell r="E166">
            <v>-18979</v>
          </cell>
          <cell r="F166">
            <v>0</v>
          </cell>
          <cell r="G166">
            <v>0</v>
          </cell>
          <cell r="H166">
            <v>0</v>
          </cell>
          <cell r="I166">
            <v>0</v>
          </cell>
          <cell r="J166">
            <v>0</v>
          </cell>
          <cell r="K166">
            <v>0</v>
          </cell>
          <cell r="L166">
            <v>0</v>
          </cell>
          <cell r="M166">
            <v>0</v>
          </cell>
          <cell r="N166">
            <v>0</v>
          </cell>
          <cell r="O166">
            <v>0</v>
          </cell>
          <cell r="P166">
            <v>9779699.1899999995</v>
          </cell>
          <cell r="Q166">
            <v>-18979</v>
          </cell>
          <cell r="S166">
            <v>9760720.1899999995</v>
          </cell>
          <cell r="T166">
            <v>0</v>
          </cell>
          <cell r="U166">
            <v>5488378.6299999999</v>
          </cell>
          <cell r="V166">
            <v>0</v>
          </cell>
          <cell r="W166">
            <v>4272341.5599999996</v>
          </cell>
          <cell r="X166">
            <v>0</v>
          </cell>
          <cell r="Y166">
            <v>4272341.5599999996</v>
          </cell>
          <cell r="Z166">
            <v>0</v>
          </cell>
          <cell r="AA166">
            <v>4272341.5599999996</v>
          </cell>
          <cell r="AC166">
            <v>13308</v>
          </cell>
          <cell r="AD166">
            <v>0</v>
          </cell>
        </row>
        <row r="167">
          <cell r="S167">
            <v>0</v>
          </cell>
          <cell r="T167">
            <v>0</v>
          </cell>
          <cell r="U167">
            <v>0</v>
          </cell>
          <cell r="V167">
            <v>0</v>
          </cell>
          <cell r="W167">
            <v>0</v>
          </cell>
          <cell r="X167">
            <v>0</v>
          </cell>
          <cell r="Y167">
            <v>0</v>
          </cell>
          <cell r="Z167">
            <v>0</v>
          </cell>
          <cell r="AA167">
            <v>0</v>
          </cell>
          <cell r="AC167">
            <v>0</v>
          </cell>
          <cell r="AD167">
            <v>0</v>
          </cell>
        </row>
        <row r="168">
          <cell r="B168">
            <v>13314</v>
          </cell>
          <cell r="C168" t="str">
            <v>CANTEEN EXPENSES</v>
          </cell>
          <cell r="D168">
            <v>8335677</v>
          </cell>
          <cell r="E168">
            <v>-834288</v>
          </cell>
          <cell r="F168">
            <v>3519429.98</v>
          </cell>
          <cell r="G168">
            <v>-240579.98</v>
          </cell>
          <cell r="H168">
            <v>0</v>
          </cell>
          <cell r="I168">
            <v>0</v>
          </cell>
          <cell r="J168">
            <v>0</v>
          </cell>
          <cell r="K168">
            <v>0</v>
          </cell>
          <cell r="L168">
            <v>5400</v>
          </cell>
          <cell r="M168">
            <v>0</v>
          </cell>
          <cell r="N168">
            <v>0</v>
          </cell>
          <cell r="O168">
            <v>0</v>
          </cell>
          <cell r="P168">
            <v>11855106.98</v>
          </cell>
          <cell r="Q168">
            <v>-1074867.98</v>
          </cell>
          <cell r="S168">
            <v>7506789</v>
          </cell>
          <cell r="T168">
            <v>3278850</v>
          </cell>
          <cell r="U168">
            <v>4416505.5</v>
          </cell>
          <cell r="V168">
            <v>1951551</v>
          </cell>
          <cell r="W168">
            <v>3090283.5</v>
          </cell>
          <cell r="X168">
            <v>1327299</v>
          </cell>
          <cell r="Y168">
            <v>3090283.5</v>
          </cell>
          <cell r="Z168">
            <v>1327299</v>
          </cell>
          <cell r="AA168">
            <v>4417582.5</v>
          </cell>
          <cell r="AC168">
            <v>13314</v>
          </cell>
          <cell r="AD168">
            <v>0</v>
          </cell>
        </row>
        <row r="169">
          <cell r="S169">
            <v>0</v>
          </cell>
          <cell r="T169">
            <v>0</v>
          </cell>
          <cell r="U169">
            <v>0</v>
          </cell>
          <cell r="V169">
            <v>0</v>
          </cell>
          <cell r="W169">
            <v>0</v>
          </cell>
          <cell r="X169">
            <v>0</v>
          </cell>
          <cell r="Y169">
            <v>0</v>
          </cell>
          <cell r="Z169">
            <v>0</v>
          </cell>
          <cell r="AA169">
            <v>0</v>
          </cell>
          <cell r="AC169">
            <v>0</v>
          </cell>
          <cell r="AD169">
            <v>0</v>
          </cell>
        </row>
        <row r="170">
          <cell r="B170">
            <v>13316</v>
          </cell>
          <cell r="C170" t="str">
            <v>WELFARE - FIRST AID (7020)</v>
          </cell>
          <cell r="D170">
            <v>318587.90000000002</v>
          </cell>
          <cell r="E170">
            <v>-35691</v>
          </cell>
          <cell r="F170">
            <v>92027</v>
          </cell>
          <cell r="G170">
            <v>0</v>
          </cell>
          <cell r="H170">
            <v>0</v>
          </cell>
          <cell r="I170">
            <v>0</v>
          </cell>
          <cell r="J170">
            <v>0</v>
          </cell>
          <cell r="K170">
            <v>0</v>
          </cell>
          <cell r="L170">
            <v>2648</v>
          </cell>
          <cell r="M170">
            <v>-500</v>
          </cell>
          <cell r="N170">
            <v>0</v>
          </cell>
          <cell r="O170">
            <v>0</v>
          </cell>
          <cell r="P170">
            <v>410614.9</v>
          </cell>
          <cell r="Q170">
            <v>-35691</v>
          </cell>
          <cell r="S170">
            <v>285044.90000000002</v>
          </cell>
          <cell r="T170">
            <v>92027</v>
          </cell>
          <cell r="U170">
            <v>215742.9</v>
          </cell>
          <cell r="V170">
            <v>58140</v>
          </cell>
          <cell r="W170">
            <v>69302.000000000029</v>
          </cell>
          <cell r="X170">
            <v>33887</v>
          </cell>
          <cell r="Y170">
            <v>69302.000000000029</v>
          </cell>
          <cell r="Z170">
            <v>33887</v>
          </cell>
          <cell r="AA170">
            <v>103189.00000000003</v>
          </cell>
          <cell r="AC170">
            <v>13316</v>
          </cell>
          <cell r="AD170">
            <v>0</v>
          </cell>
        </row>
        <row r="171">
          <cell r="S171">
            <v>0</v>
          </cell>
          <cell r="T171">
            <v>0</v>
          </cell>
          <cell r="U171">
            <v>0</v>
          </cell>
          <cell r="V171">
            <v>0</v>
          </cell>
          <cell r="W171">
            <v>0</v>
          </cell>
          <cell r="X171">
            <v>0</v>
          </cell>
          <cell r="Y171">
            <v>0</v>
          </cell>
          <cell r="Z171">
            <v>0</v>
          </cell>
          <cell r="AA171">
            <v>0</v>
          </cell>
          <cell r="AC171">
            <v>0</v>
          </cell>
          <cell r="AD171">
            <v>0</v>
          </cell>
        </row>
        <row r="172">
          <cell r="B172">
            <v>13318</v>
          </cell>
          <cell r="C172" t="str">
            <v>WELFARE - TRANSPORT (JEEP/ BUS HIRE) EXP. (7040)</v>
          </cell>
          <cell r="D172">
            <v>3983049</v>
          </cell>
          <cell r="E172">
            <v>-270957</v>
          </cell>
          <cell r="F172">
            <v>4270573</v>
          </cell>
          <cell r="G172">
            <v>-2959</v>
          </cell>
          <cell r="H172">
            <v>0</v>
          </cell>
          <cell r="I172">
            <v>0</v>
          </cell>
          <cell r="J172">
            <v>0</v>
          </cell>
          <cell r="K172">
            <v>0</v>
          </cell>
          <cell r="L172">
            <v>45281</v>
          </cell>
          <cell r="M172">
            <v>-45281</v>
          </cell>
          <cell r="N172">
            <v>0</v>
          </cell>
          <cell r="O172">
            <v>0</v>
          </cell>
          <cell r="P172">
            <v>8253622</v>
          </cell>
          <cell r="Q172">
            <v>-273916</v>
          </cell>
          <cell r="S172">
            <v>3712092</v>
          </cell>
          <cell r="T172">
            <v>4267614</v>
          </cell>
          <cell r="U172">
            <v>2130862</v>
          </cell>
          <cell r="V172">
            <v>2479410.5</v>
          </cell>
          <cell r="W172">
            <v>1581230</v>
          </cell>
          <cell r="X172">
            <v>1788203.5</v>
          </cell>
          <cell r="Y172">
            <v>1581230</v>
          </cell>
          <cell r="Z172">
            <v>1788203.5</v>
          </cell>
          <cell r="AA172">
            <v>3369433.5</v>
          </cell>
          <cell r="AC172">
            <v>13318</v>
          </cell>
          <cell r="AD172">
            <v>0</v>
          </cell>
        </row>
        <row r="173">
          <cell r="S173">
            <v>0</v>
          </cell>
          <cell r="T173">
            <v>0</v>
          </cell>
          <cell r="U173">
            <v>0</v>
          </cell>
          <cell r="V173">
            <v>0</v>
          </cell>
          <cell r="W173">
            <v>0</v>
          </cell>
          <cell r="X173">
            <v>0</v>
          </cell>
          <cell r="Y173">
            <v>0</v>
          </cell>
          <cell r="Z173">
            <v>0</v>
          </cell>
          <cell r="AA173">
            <v>0</v>
          </cell>
          <cell r="AC173">
            <v>0</v>
          </cell>
          <cell r="AD173">
            <v>0</v>
          </cell>
        </row>
        <row r="174">
          <cell r="B174">
            <v>13320</v>
          </cell>
          <cell r="C174" t="str">
            <v>WELFARE - OTHERS (7050)</v>
          </cell>
          <cell r="D174">
            <v>2037692</v>
          </cell>
          <cell r="E174">
            <v>-5791</v>
          </cell>
          <cell r="F174">
            <v>1707139</v>
          </cell>
          <cell r="G174">
            <v>-55480</v>
          </cell>
          <cell r="H174">
            <v>0</v>
          </cell>
          <cell r="I174">
            <v>0</v>
          </cell>
          <cell r="J174">
            <v>0</v>
          </cell>
          <cell r="K174">
            <v>0</v>
          </cell>
          <cell r="L174">
            <v>224084</v>
          </cell>
          <cell r="M174">
            <v>0</v>
          </cell>
          <cell r="N174">
            <v>0</v>
          </cell>
          <cell r="O174">
            <v>0</v>
          </cell>
          <cell r="P174">
            <v>3744831</v>
          </cell>
          <cell r="Q174">
            <v>-61271</v>
          </cell>
          <cell r="S174">
            <v>2255985</v>
          </cell>
          <cell r="T174">
            <v>1651659</v>
          </cell>
          <cell r="U174">
            <v>1499700</v>
          </cell>
          <cell r="V174">
            <v>846908</v>
          </cell>
          <cell r="W174">
            <v>756285</v>
          </cell>
          <cell r="X174">
            <v>804751</v>
          </cell>
          <cell r="Y174">
            <v>756285</v>
          </cell>
          <cell r="Z174">
            <v>804751</v>
          </cell>
          <cell r="AA174">
            <v>1561036</v>
          </cell>
          <cell r="AC174">
            <v>13320</v>
          </cell>
          <cell r="AD174">
            <v>0</v>
          </cell>
        </row>
        <row r="175">
          <cell r="S175">
            <v>0</v>
          </cell>
          <cell r="T175">
            <v>0</v>
          </cell>
          <cell r="U175">
            <v>0</v>
          </cell>
          <cell r="V175">
            <v>0</v>
          </cell>
          <cell r="W175">
            <v>0</v>
          </cell>
          <cell r="X175">
            <v>0</v>
          </cell>
          <cell r="Y175">
            <v>0</v>
          </cell>
          <cell r="Z175">
            <v>0</v>
          </cell>
          <cell r="AA175">
            <v>0</v>
          </cell>
          <cell r="AC175">
            <v>0</v>
          </cell>
          <cell r="AD175">
            <v>0</v>
          </cell>
        </row>
        <row r="176">
          <cell r="B176">
            <v>13381</v>
          </cell>
          <cell r="C176" t="str">
            <v>RENT (7100)</v>
          </cell>
          <cell r="D176">
            <v>559773</v>
          </cell>
          <cell r="E176">
            <v>-37924</v>
          </cell>
          <cell r="F176">
            <v>1705653</v>
          </cell>
          <cell r="G176">
            <v>-56136</v>
          </cell>
          <cell r="H176">
            <v>0</v>
          </cell>
          <cell r="I176">
            <v>0</v>
          </cell>
          <cell r="J176">
            <v>0</v>
          </cell>
          <cell r="K176">
            <v>0</v>
          </cell>
          <cell r="L176">
            <v>715708</v>
          </cell>
          <cell r="M176">
            <v>-79098</v>
          </cell>
          <cell r="N176">
            <v>0</v>
          </cell>
          <cell r="O176">
            <v>0</v>
          </cell>
          <cell r="P176">
            <v>2265426</v>
          </cell>
          <cell r="Q176">
            <v>-94060</v>
          </cell>
          <cell r="S176">
            <v>1158459</v>
          </cell>
          <cell r="T176">
            <v>1649517</v>
          </cell>
          <cell r="U176">
            <v>749623</v>
          </cell>
          <cell r="V176">
            <v>884124</v>
          </cell>
          <cell r="W176">
            <v>408836</v>
          </cell>
          <cell r="X176">
            <v>765393</v>
          </cell>
          <cell r="Y176">
            <v>408836</v>
          </cell>
          <cell r="Z176">
            <v>765393</v>
          </cell>
          <cell r="AA176">
            <v>1174229</v>
          </cell>
          <cell r="AC176">
            <v>13381</v>
          </cell>
          <cell r="AD176">
            <v>0</v>
          </cell>
        </row>
        <row r="177">
          <cell r="S177">
            <v>0</v>
          </cell>
          <cell r="T177">
            <v>0</v>
          </cell>
          <cell r="U177">
            <v>0</v>
          </cell>
          <cell r="V177">
            <v>0</v>
          </cell>
          <cell r="W177">
            <v>0</v>
          </cell>
          <cell r="X177">
            <v>0</v>
          </cell>
          <cell r="Y177">
            <v>0</v>
          </cell>
          <cell r="Z177">
            <v>0</v>
          </cell>
          <cell r="AA177">
            <v>0</v>
          </cell>
          <cell r="AC177">
            <v>0</v>
          </cell>
          <cell r="AD177">
            <v>0</v>
          </cell>
        </row>
        <row r="178">
          <cell r="B178">
            <v>13384</v>
          </cell>
          <cell r="C178" t="str">
            <v>WATER (6220)</v>
          </cell>
          <cell r="D178">
            <v>2782906.5</v>
          </cell>
          <cell r="E178">
            <v>-30760</v>
          </cell>
          <cell r="F178">
            <v>1422097.5</v>
          </cell>
          <cell r="G178">
            <v>-32360</v>
          </cell>
          <cell r="H178">
            <v>0</v>
          </cell>
          <cell r="I178">
            <v>0</v>
          </cell>
          <cell r="J178">
            <v>0</v>
          </cell>
          <cell r="K178">
            <v>0</v>
          </cell>
          <cell r="L178">
            <v>0</v>
          </cell>
          <cell r="M178">
            <v>0</v>
          </cell>
          <cell r="N178">
            <v>0</v>
          </cell>
          <cell r="O178">
            <v>0</v>
          </cell>
          <cell r="P178">
            <v>4205004</v>
          </cell>
          <cell r="Q178">
            <v>-63120</v>
          </cell>
          <cell r="S178">
            <v>2752146.5</v>
          </cell>
          <cell r="T178">
            <v>1389737.5</v>
          </cell>
          <cell r="U178">
            <v>1503301.5</v>
          </cell>
          <cell r="V178">
            <v>757421.5</v>
          </cell>
          <cell r="W178">
            <v>1248845</v>
          </cell>
          <cell r="X178">
            <v>632316</v>
          </cell>
          <cell r="Y178">
            <v>1248845</v>
          </cell>
          <cell r="Z178">
            <v>632316</v>
          </cell>
          <cell r="AA178">
            <v>1881161</v>
          </cell>
          <cell r="AC178">
            <v>13384</v>
          </cell>
          <cell r="AD178">
            <v>0</v>
          </cell>
        </row>
        <row r="179">
          <cell r="S179">
            <v>0</v>
          </cell>
          <cell r="T179">
            <v>0</v>
          </cell>
          <cell r="U179">
            <v>0</v>
          </cell>
          <cell r="V179">
            <v>0</v>
          </cell>
          <cell r="W179">
            <v>0</v>
          </cell>
          <cell r="X179">
            <v>0</v>
          </cell>
          <cell r="Y179">
            <v>0</v>
          </cell>
          <cell r="Z179">
            <v>0</v>
          </cell>
          <cell r="AA179">
            <v>0</v>
          </cell>
          <cell r="AC179">
            <v>0</v>
          </cell>
          <cell r="AD179">
            <v>0</v>
          </cell>
        </row>
        <row r="180">
          <cell r="B180">
            <v>13385</v>
          </cell>
          <cell r="C180" t="str">
            <v>RATES &amp; TAXES (7110)</v>
          </cell>
          <cell r="D180">
            <v>8583308</v>
          </cell>
          <cell r="E180">
            <v>-2091153</v>
          </cell>
          <cell r="F180">
            <v>3577720</v>
          </cell>
          <cell r="G180">
            <v>-74945</v>
          </cell>
          <cell r="H180">
            <v>0</v>
          </cell>
          <cell r="I180">
            <v>0</v>
          </cell>
          <cell r="J180">
            <v>0</v>
          </cell>
          <cell r="K180">
            <v>0</v>
          </cell>
          <cell r="L180">
            <v>38875</v>
          </cell>
          <cell r="M180">
            <v>0</v>
          </cell>
          <cell r="N180">
            <v>0</v>
          </cell>
          <cell r="O180">
            <v>0</v>
          </cell>
          <cell r="P180">
            <v>12161028</v>
          </cell>
          <cell r="Q180">
            <v>-2166098</v>
          </cell>
          <cell r="S180">
            <v>6531030</v>
          </cell>
          <cell r="T180">
            <v>3502775</v>
          </cell>
          <cell r="U180">
            <v>4742765</v>
          </cell>
          <cell r="V180">
            <v>2704719</v>
          </cell>
          <cell r="W180">
            <v>1788265</v>
          </cell>
          <cell r="X180">
            <v>798056</v>
          </cell>
          <cell r="Y180">
            <v>1788265</v>
          </cell>
          <cell r="Z180">
            <v>798056</v>
          </cell>
          <cell r="AA180">
            <v>2586321</v>
          </cell>
          <cell r="AC180">
            <v>13385</v>
          </cell>
          <cell r="AD180">
            <v>0</v>
          </cell>
        </row>
        <row r="181">
          <cell r="S181">
            <v>0</v>
          </cell>
          <cell r="T181">
            <v>0</v>
          </cell>
          <cell r="U181">
            <v>0</v>
          </cell>
          <cell r="V181">
            <v>0</v>
          </cell>
          <cell r="W181">
            <v>0</v>
          </cell>
          <cell r="X181">
            <v>0</v>
          </cell>
          <cell r="Y181">
            <v>0</v>
          </cell>
          <cell r="Z181">
            <v>0</v>
          </cell>
          <cell r="AA181">
            <v>0</v>
          </cell>
          <cell r="AC181">
            <v>0</v>
          </cell>
          <cell r="AD181">
            <v>0</v>
          </cell>
        </row>
        <row r="182">
          <cell r="B182">
            <v>13386</v>
          </cell>
          <cell r="C182" t="str">
            <v>SERVICE TAX ON TRANSPORT (GTO) (7111)</v>
          </cell>
          <cell r="D182">
            <v>1478716</v>
          </cell>
          <cell r="E182">
            <v>0</v>
          </cell>
          <cell r="F182">
            <v>900000</v>
          </cell>
          <cell r="G182">
            <v>0</v>
          </cell>
          <cell r="H182">
            <v>0</v>
          </cell>
          <cell r="I182">
            <v>0</v>
          </cell>
          <cell r="J182">
            <v>0</v>
          </cell>
          <cell r="K182">
            <v>0</v>
          </cell>
          <cell r="L182">
            <v>477140</v>
          </cell>
          <cell r="M182">
            <v>-9443</v>
          </cell>
          <cell r="N182">
            <v>0</v>
          </cell>
          <cell r="O182">
            <v>0</v>
          </cell>
          <cell r="P182">
            <v>2378716</v>
          </cell>
          <cell r="Q182">
            <v>0</v>
          </cell>
          <cell r="S182">
            <v>1946413</v>
          </cell>
          <cell r="T182">
            <v>900000</v>
          </cell>
          <cell r="U182">
            <v>978500</v>
          </cell>
          <cell r="V182">
            <v>900000</v>
          </cell>
          <cell r="W182">
            <v>967913</v>
          </cell>
          <cell r="X182">
            <v>0</v>
          </cell>
          <cell r="Y182">
            <v>967913</v>
          </cell>
          <cell r="Z182">
            <v>0</v>
          </cell>
          <cell r="AA182">
            <v>967913</v>
          </cell>
          <cell r="AC182">
            <v>13386</v>
          </cell>
          <cell r="AD182">
            <v>0</v>
          </cell>
        </row>
        <row r="183">
          <cell r="S183">
            <v>0</v>
          </cell>
          <cell r="T183">
            <v>0</v>
          </cell>
          <cell r="U183">
            <v>0</v>
          </cell>
          <cell r="V183">
            <v>0</v>
          </cell>
          <cell r="W183">
            <v>0</v>
          </cell>
          <cell r="X183">
            <v>0</v>
          </cell>
          <cell r="Y183">
            <v>0</v>
          </cell>
          <cell r="Z183">
            <v>0</v>
          </cell>
          <cell r="AA183">
            <v>0</v>
          </cell>
          <cell r="AC183">
            <v>0</v>
          </cell>
          <cell r="AD183">
            <v>0</v>
          </cell>
        </row>
        <row r="184">
          <cell r="B184">
            <v>13387</v>
          </cell>
          <cell r="C184" t="str">
            <v>PROFESSIONAL TAX (COMPANY) (</v>
          </cell>
          <cell r="D184">
            <v>0</v>
          </cell>
          <cell r="E184">
            <v>0</v>
          </cell>
          <cell r="F184">
            <v>0</v>
          </cell>
          <cell r="G184">
            <v>0</v>
          </cell>
          <cell r="H184">
            <v>0</v>
          </cell>
          <cell r="I184">
            <v>0</v>
          </cell>
          <cell r="J184">
            <v>0</v>
          </cell>
          <cell r="K184">
            <v>0</v>
          </cell>
          <cell r="L184">
            <v>14475</v>
          </cell>
          <cell r="M184">
            <v>-14475</v>
          </cell>
          <cell r="N184">
            <v>0</v>
          </cell>
          <cell r="O184">
            <v>0</v>
          </cell>
          <cell r="P184">
            <v>0</v>
          </cell>
          <cell r="Q184">
            <v>0</v>
          </cell>
          <cell r="S184">
            <v>0</v>
          </cell>
          <cell r="T184">
            <v>0</v>
          </cell>
          <cell r="U184">
            <v>0</v>
          </cell>
          <cell r="V184">
            <v>0</v>
          </cell>
          <cell r="W184">
            <v>0</v>
          </cell>
          <cell r="X184">
            <v>0</v>
          </cell>
          <cell r="Y184">
            <v>0</v>
          </cell>
          <cell r="Z184">
            <v>0</v>
          </cell>
          <cell r="AA184">
            <v>0</v>
          </cell>
          <cell r="AC184">
            <v>13387</v>
          </cell>
          <cell r="AD184">
            <v>0</v>
          </cell>
        </row>
        <row r="185">
          <cell r="S185">
            <v>0</v>
          </cell>
          <cell r="T185">
            <v>0</v>
          </cell>
          <cell r="U185">
            <v>0</v>
          </cell>
          <cell r="V185">
            <v>0</v>
          </cell>
          <cell r="W185">
            <v>0</v>
          </cell>
          <cell r="X185">
            <v>0</v>
          </cell>
          <cell r="Y185">
            <v>0</v>
          </cell>
          <cell r="Z185">
            <v>0</v>
          </cell>
          <cell r="AA185">
            <v>0</v>
          </cell>
          <cell r="AC185">
            <v>0</v>
          </cell>
          <cell r="AD185">
            <v>0</v>
          </cell>
        </row>
        <row r="186">
          <cell r="B186">
            <v>13393</v>
          </cell>
          <cell r="C186" t="str">
            <v>INSURANCE (7160)</v>
          </cell>
          <cell r="D186">
            <v>506187</v>
          </cell>
          <cell r="E186">
            <v>-53907</v>
          </cell>
          <cell r="F186">
            <v>1003597.7</v>
          </cell>
          <cell r="G186">
            <v>-350808.86</v>
          </cell>
          <cell r="H186">
            <v>25262</v>
          </cell>
          <cell r="I186">
            <v>-25262</v>
          </cell>
          <cell r="J186">
            <v>0</v>
          </cell>
          <cell r="K186">
            <v>0</v>
          </cell>
          <cell r="L186">
            <v>168687</v>
          </cell>
          <cell r="M186">
            <v>0</v>
          </cell>
          <cell r="N186">
            <v>0</v>
          </cell>
          <cell r="O186">
            <v>0</v>
          </cell>
          <cell r="P186">
            <v>1535046.7</v>
          </cell>
          <cell r="Q186">
            <v>-429977.86</v>
          </cell>
          <cell r="S186">
            <v>620967</v>
          </cell>
          <cell r="T186">
            <v>652788.84</v>
          </cell>
          <cell r="U186">
            <v>598349</v>
          </cell>
          <cell r="V186">
            <v>773729.34</v>
          </cell>
          <cell r="W186">
            <v>22618</v>
          </cell>
          <cell r="X186">
            <v>-120940.5</v>
          </cell>
          <cell r="Y186">
            <v>22618</v>
          </cell>
          <cell r="Z186">
            <v>-120940.5</v>
          </cell>
          <cell r="AA186">
            <v>-98322.5</v>
          </cell>
          <cell r="AC186">
            <v>13393</v>
          </cell>
          <cell r="AD186">
            <v>0</v>
          </cell>
        </row>
        <row r="187">
          <cell r="S187">
            <v>0</v>
          </cell>
          <cell r="T187">
            <v>0</v>
          </cell>
          <cell r="U187">
            <v>0</v>
          </cell>
          <cell r="V187">
            <v>0</v>
          </cell>
          <cell r="W187">
            <v>0</v>
          </cell>
          <cell r="X187">
            <v>0</v>
          </cell>
          <cell r="Y187">
            <v>0</v>
          </cell>
          <cell r="Z187">
            <v>0</v>
          </cell>
          <cell r="AA187">
            <v>0</v>
          </cell>
          <cell r="AC187">
            <v>0</v>
          </cell>
          <cell r="AD187">
            <v>0</v>
          </cell>
        </row>
        <row r="188">
          <cell r="B188">
            <v>13408</v>
          </cell>
          <cell r="C188" t="str">
            <v>DISCOUNT ALLOWED (7180)</v>
          </cell>
          <cell r="D188">
            <v>284851.14</v>
          </cell>
          <cell r="E188">
            <v>-8366</v>
          </cell>
          <cell r="F188">
            <v>1175745</v>
          </cell>
          <cell r="G188">
            <v>0</v>
          </cell>
          <cell r="H188">
            <v>0</v>
          </cell>
          <cell r="I188">
            <v>0</v>
          </cell>
          <cell r="J188">
            <v>0</v>
          </cell>
          <cell r="K188">
            <v>0</v>
          </cell>
          <cell r="L188">
            <v>0</v>
          </cell>
          <cell r="M188">
            <v>0</v>
          </cell>
          <cell r="N188">
            <v>0</v>
          </cell>
          <cell r="O188">
            <v>0</v>
          </cell>
          <cell r="P188">
            <v>1460596.14</v>
          </cell>
          <cell r="Q188">
            <v>-8366</v>
          </cell>
          <cell r="S188">
            <v>276485.14</v>
          </cell>
          <cell r="T188">
            <v>1175745</v>
          </cell>
          <cell r="U188">
            <v>218295.75</v>
          </cell>
          <cell r="V188">
            <v>499641</v>
          </cell>
          <cell r="W188">
            <v>58189.390000000014</v>
          </cell>
          <cell r="X188">
            <v>676104</v>
          </cell>
          <cell r="Y188">
            <v>58189.390000000014</v>
          </cell>
          <cell r="Z188">
            <v>676104</v>
          </cell>
          <cell r="AA188">
            <v>734293.39</v>
          </cell>
          <cell r="AC188">
            <v>13408</v>
          </cell>
          <cell r="AD188">
            <v>0</v>
          </cell>
        </row>
        <row r="189">
          <cell r="S189">
            <v>0</v>
          </cell>
          <cell r="T189">
            <v>0</v>
          </cell>
          <cell r="U189">
            <v>0</v>
          </cell>
          <cell r="V189">
            <v>0</v>
          </cell>
          <cell r="W189">
            <v>0</v>
          </cell>
          <cell r="X189">
            <v>0</v>
          </cell>
          <cell r="Y189">
            <v>0</v>
          </cell>
          <cell r="Z189">
            <v>0</v>
          </cell>
          <cell r="AA189">
            <v>0</v>
          </cell>
          <cell r="AC189">
            <v>0</v>
          </cell>
          <cell r="AD189">
            <v>0</v>
          </cell>
        </row>
        <row r="190">
          <cell r="B190">
            <v>13412</v>
          </cell>
          <cell r="C190" t="str">
            <v>COMMISSION ON SALE (7170)</v>
          </cell>
          <cell r="D190">
            <v>15866698.369999999</v>
          </cell>
          <cell r="E190">
            <v>-7848327</v>
          </cell>
          <cell r="F190">
            <v>4991308.8600000003</v>
          </cell>
          <cell r="G190">
            <v>0</v>
          </cell>
          <cell r="H190">
            <v>0</v>
          </cell>
          <cell r="I190">
            <v>0</v>
          </cell>
          <cell r="J190">
            <v>0</v>
          </cell>
          <cell r="K190">
            <v>0</v>
          </cell>
          <cell r="L190">
            <v>0</v>
          </cell>
          <cell r="M190">
            <v>0</v>
          </cell>
          <cell r="N190">
            <v>0</v>
          </cell>
          <cell r="O190">
            <v>0</v>
          </cell>
          <cell r="P190">
            <v>20858007.23</v>
          </cell>
          <cell r="Q190">
            <v>-7848327</v>
          </cell>
          <cell r="S190">
            <v>8018371.3699999992</v>
          </cell>
          <cell r="T190">
            <v>4991308.8600000003</v>
          </cell>
          <cell r="U190">
            <v>8018371.3700000001</v>
          </cell>
          <cell r="V190">
            <v>4544236.4000000004</v>
          </cell>
          <cell r="W190">
            <v>0</v>
          </cell>
          <cell r="X190">
            <v>447072.45999999996</v>
          </cell>
          <cell r="Y190">
            <v>0</v>
          </cell>
          <cell r="Z190">
            <v>447072.45999999996</v>
          </cell>
          <cell r="AA190">
            <v>447072.45999999996</v>
          </cell>
          <cell r="AC190">
            <v>13412</v>
          </cell>
          <cell r="AD190">
            <v>0</v>
          </cell>
        </row>
        <row r="191">
          <cell r="S191">
            <v>0</v>
          </cell>
          <cell r="T191">
            <v>0</v>
          </cell>
          <cell r="U191">
            <v>0</v>
          </cell>
          <cell r="V191">
            <v>0</v>
          </cell>
          <cell r="W191">
            <v>0</v>
          </cell>
          <cell r="X191">
            <v>0</v>
          </cell>
          <cell r="Y191">
            <v>0</v>
          </cell>
          <cell r="Z191">
            <v>0</v>
          </cell>
          <cell r="AA191">
            <v>0</v>
          </cell>
          <cell r="AC191">
            <v>0</v>
          </cell>
          <cell r="AD191">
            <v>0</v>
          </cell>
        </row>
        <row r="192">
          <cell r="B192">
            <v>13428</v>
          </cell>
          <cell r="C192" t="str">
            <v>SECURITY (7360)</v>
          </cell>
          <cell r="D192">
            <v>2754803.52</v>
          </cell>
          <cell r="E192">
            <v>-52064</v>
          </cell>
          <cell r="F192">
            <v>3304626</v>
          </cell>
          <cell r="G192">
            <v>-253674</v>
          </cell>
          <cell r="H192">
            <v>0</v>
          </cell>
          <cell r="I192">
            <v>0</v>
          </cell>
          <cell r="J192">
            <v>0</v>
          </cell>
          <cell r="K192">
            <v>0</v>
          </cell>
          <cell r="L192">
            <v>0</v>
          </cell>
          <cell r="M192">
            <v>0</v>
          </cell>
          <cell r="N192">
            <v>0</v>
          </cell>
          <cell r="O192">
            <v>0</v>
          </cell>
          <cell r="P192">
            <v>6059429.5199999996</v>
          </cell>
          <cell r="Q192">
            <v>-305738</v>
          </cell>
          <cell r="S192">
            <v>2702739.52</v>
          </cell>
          <cell r="T192">
            <v>3050952</v>
          </cell>
          <cell r="U192">
            <v>1552751</v>
          </cell>
          <cell r="V192">
            <v>1786818</v>
          </cell>
          <cell r="W192">
            <v>1149988.52</v>
          </cell>
          <cell r="X192">
            <v>1264134</v>
          </cell>
          <cell r="Y192">
            <v>1149988.52</v>
          </cell>
          <cell r="Z192">
            <v>1264134</v>
          </cell>
          <cell r="AA192">
            <v>2414122.52</v>
          </cell>
          <cell r="AC192">
            <v>13428</v>
          </cell>
          <cell r="AD192">
            <v>0</v>
          </cell>
        </row>
        <row r="193">
          <cell r="S193">
            <v>0</v>
          </cell>
          <cell r="T193">
            <v>0</v>
          </cell>
          <cell r="U193">
            <v>0</v>
          </cell>
          <cell r="V193">
            <v>0</v>
          </cell>
          <cell r="W193">
            <v>0</v>
          </cell>
          <cell r="X193">
            <v>0</v>
          </cell>
          <cell r="Y193">
            <v>0</v>
          </cell>
          <cell r="Z193">
            <v>0</v>
          </cell>
          <cell r="AA193">
            <v>0</v>
          </cell>
          <cell r="AC193">
            <v>0</v>
          </cell>
          <cell r="AD193">
            <v>0</v>
          </cell>
        </row>
        <row r="194">
          <cell r="B194">
            <v>13429</v>
          </cell>
          <cell r="C194" t="str">
            <v>SAFETY &amp; SANITATION (7370)</v>
          </cell>
          <cell r="D194">
            <v>579581</v>
          </cell>
          <cell r="E194">
            <v>-1000</v>
          </cell>
          <cell r="F194">
            <v>320968</v>
          </cell>
          <cell r="G194">
            <v>-18650</v>
          </cell>
          <cell r="H194">
            <v>0</v>
          </cell>
          <cell r="I194">
            <v>0</v>
          </cell>
          <cell r="J194">
            <v>0</v>
          </cell>
          <cell r="K194">
            <v>0</v>
          </cell>
          <cell r="L194">
            <v>87778</v>
          </cell>
          <cell r="M194">
            <v>0</v>
          </cell>
          <cell r="N194">
            <v>0</v>
          </cell>
          <cell r="O194">
            <v>0</v>
          </cell>
          <cell r="P194">
            <v>900549</v>
          </cell>
          <cell r="Q194">
            <v>-19650</v>
          </cell>
          <cell r="S194">
            <v>666359</v>
          </cell>
          <cell r="T194">
            <v>302318</v>
          </cell>
          <cell r="U194">
            <v>551363</v>
          </cell>
          <cell r="V194">
            <v>197626</v>
          </cell>
          <cell r="W194">
            <v>114996</v>
          </cell>
          <cell r="X194">
            <v>104692</v>
          </cell>
          <cell r="Y194">
            <v>114996</v>
          </cell>
          <cell r="Z194">
            <v>104692</v>
          </cell>
          <cell r="AA194">
            <v>219688</v>
          </cell>
          <cell r="AC194">
            <v>13429</v>
          </cell>
          <cell r="AD194">
            <v>0</v>
          </cell>
        </row>
        <row r="195">
          <cell r="S195">
            <v>0</v>
          </cell>
          <cell r="T195">
            <v>0</v>
          </cell>
          <cell r="U195">
            <v>0</v>
          </cell>
          <cell r="V195">
            <v>0</v>
          </cell>
          <cell r="W195">
            <v>0</v>
          </cell>
          <cell r="X195">
            <v>0</v>
          </cell>
          <cell r="Y195">
            <v>0</v>
          </cell>
          <cell r="Z195">
            <v>0</v>
          </cell>
          <cell r="AA195">
            <v>0</v>
          </cell>
          <cell r="AC195">
            <v>0</v>
          </cell>
          <cell r="AD195">
            <v>0</v>
          </cell>
        </row>
        <row r="196">
          <cell r="B196">
            <v>13446</v>
          </cell>
          <cell r="C196" t="str">
            <v>DIRECTOR'S TRAVELLING EXP. (7210)</v>
          </cell>
          <cell r="D196">
            <v>0</v>
          </cell>
          <cell r="E196">
            <v>0</v>
          </cell>
          <cell r="F196">
            <v>0</v>
          </cell>
          <cell r="G196">
            <v>0</v>
          </cell>
          <cell r="H196">
            <v>0</v>
          </cell>
          <cell r="I196">
            <v>0</v>
          </cell>
          <cell r="J196">
            <v>0</v>
          </cell>
          <cell r="K196">
            <v>0</v>
          </cell>
          <cell r="L196">
            <v>3413826.46</v>
          </cell>
          <cell r="M196">
            <v>-835727.74</v>
          </cell>
          <cell r="N196">
            <v>0</v>
          </cell>
          <cell r="O196">
            <v>0</v>
          </cell>
          <cell r="P196">
            <v>0</v>
          </cell>
          <cell r="Q196">
            <v>0</v>
          </cell>
          <cell r="S196">
            <v>2578098.7199999997</v>
          </cell>
          <cell r="T196">
            <v>0</v>
          </cell>
          <cell r="U196">
            <v>1417611.94</v>
          </cell>
          <cell r="V196">
            <v>0</v>
          </cell>
          <cell r="W196">
            <v>1160486.7799999998</v>
          </cell>
          <cell r="X196">
            <v>0</v>
          </cell>
          <cell r="Y196">
            <v>1160486.7799999998</v>
          </cell>
          <cell r="Z196">
            <v>0</v>
          </cell>
          <cell r="AA196">
            <v>1160486.7799999998</v>
          </cell>
          <cell r="AC196">
            <v>13446</v>
          </cell>
          <cell r="AD196">
            <v>0</v>
          </cell>
        </row>
        <row r="197">
          <cell r="S197">
            <v>0</v>
          </cell>
          <cell r="T197">
            <v>0</v>
          </cell>
          <cell r="U197">
            <v>0</v>
          </cell>
          <cell r="V197">
            <v>0</v>
          </cell>
          <cell r="W197">
            <v>0</v>
          </cell>
          <cell r="X197">
            <v>0</v>
          </cell>
          <cell r="Y197">
            <v>0</v>
          </cell>
          <cell r="Z197">
            <v>0</v>
          </cell>
          <cell r="AA197">
            <v>0</v>
          </cell>
          <cell r="AC197">
            <v>0</v>
          </cell>
          <cell r="AD197">
            <v>0</v>
          </cell>
        </row>
        <row r="198">
          <cell r="B198">
            <v>13447</v>
          </cell>
          <cell r="C198" t="str">
            <v>FOREIGNER'S TRAVELLING EXP. (7210)</v>
          </cell>
          <cell r="D198">
            <v>4121866</v>
          </cell>
          <cell r="E198">
            <v>-625808</v>
          </cell>
          <cell r="F198">
            <v>10752</v>
          </cell>
          <cell r="G198">
            <v>0</v>
          </cell>
          <cell r="H198">
            <v>0</v>
          </cell>
          <cell r="I198">
            <v>0</v>
          </cell>
          <cell r="J198">
            <v>0</v>
          </cell>
          <cell r="K198">
            <v>0</v>
          </cell>
          <cell r="L198">
            <v>32291.53</v>
          </cell>
          <cell r="M198">
            <v>-1380</v>
          </cell>
          <cell r="N198">
            <v>0</v>
          </cell>
          <cell r="O198">
            <v>0</v>
          </cell>
          <cell r="P198">
            <v>4132618</v>
          </cell>
          <cell r="Q198">
            <v>-625808</v>
          </cell>
          <cell r="S198">
            <v>3526969.53</v>
          </cell>
          <cell r="T198">
            <v>10752</v>
          </cell>
          <cell r="U198">
            <v>319362.53000000003</v>
          </cell>
          <cell r="V198">
            <v>0</v>
          </cell>
          <cell r="W198">
            <v>3207607</v>
          </cell>
          <cell r="X198">
            <v>10752</v>
          </cell>
          <cell r="Y198">
            <v>3207607</v>
          </cell>
          <cell r="Z198">
            <v>10752</v>
          </cell>
          <cell r="AA198">
            <v>3218359</v>
          </cell>
          <cell r="AC198">
            <v>13447</v>
          </cell>
          <cell r="AD198">
            <v>0</v>
          </cell>
        </row>
        <row r="199">
          <cell r="S199">
            <v>0</v>
          </cell>
          <cell r="T199">
            <v>0</v>
          </cell>
          <cell r="U199">
            <v>0</v>
          </cell>
          <cell r="V199">
            <v>0</v>
          </cell>
          <cell r="W199">
            <v>0</v>
          </cell>
          <cell r="X199">
            <v>0</v>
          </cell>
          <cell r="Y199">
            <v>0</v>
          </cell>
          <cell r="Z199">
            <v>0</v>
          </cell>
          <cell r="AA199">
            <v>0</v>
          </cell>
          <cell r="AC199">
            <v>0</v>
          </cell>
          <cell r="AD199">
            <v>0</v>
          </cell>
        </row>
        <row r="200">
          <cell r="B200">
            <v>13448</v>
          </cell>
          <cell r="C200" t="str">
            <v>FOREIGN TRAV)EL EXP. (7211)</v>
          </cell>
          <cell r="D200">
            <v>873933.4</v>
          </cell>
          <cell r="E200">
            <v>-76590</v>
          </cell>
          <cell r="F200">
            <v>1331306</v>
          </cell>
          <cell r="G200">
            <v>-335401</v>
          </cell>
          <cell r="H200">
            <v>0</v>
          </cell>
          <cell r="I200">
            <v>0</v>
          </cell>
          <cell r="J200">
            <v>0</v>
          </cell>
          <cell r="K200">
            <v>0</v>
          </cell>
          <cell r="L200">
            <v>1425754</v>
          </cell>
          <cell r="M200">
            <v>-161065</v>
          </cell>
          <cell r="N200">
            <v>0</v>
          </cell>
          <cell r="O200">
            <v>0</v>
          </cell>
          <cell r="P200">
            <v>2205239.4</v>
          </cell>
          <cell r="Q200">
            <v>-411991</v>
          </cell>
          <cell r="S200">
            <v>2062032.4</v>
          </cell>
          <cell r="T200">
            <v>995905</v>
          </cell>
          <cell r="U200">
            <v>490882</v>
          </cell>
          <cell r="V200">
            <v>390264</v>
          </cell>
          <cell r="W200">
            <v>1571150.4</v>
          </cell>
          <cell r="X200">
            <v>605641</v>
          </cell>
          <cell r="Y200">
            <v>1571150.4</v>
          </cell>
          <cell r="Z200">
            <v>605641</v>
          </cell>
          <cell r="AA200">
            <v>2176791.4</v>
          </cell>
          <cell r="AC200">
            <v>13448</v>
          </cell>
          <cell r="AD200">
            <v>0</v>
          </cell>
        </row>
        <row r="201">
          <cell r="S201">
            <v>0</v>
          </cell>
          <cell r="T201">
            <v>0</v>
          </cell>
          <cell r="U201">
            <v>0</v>
          </cell>
          <cell r="V201">
            <v>0</v>
          </cell>
          <cell r="W201">
            <v>0</v>
          </cell>
          <cell r="X201">
            <v>0</v>
          </cell>
          <cell r="Y201">
            <v>0</v>
          </cell>
          <cell r="Z201">
            <v>0</v>
          </cell>
          <cell r="AA201">
            <v>0</v>
          </cell>
          <cell r="AC201">
            <v>0</v>
          </cell>
          <cell r="AD201">
            <v>0</v>
          </cell>
        </row>
        <row r="202">
          <cell r="B202">
            <v>13449</v>
          </cell>
          <cell r="C202" t="str">
            <v>LOCAL TRAVELLING (7212/ 7220)</v>
          </cell>
          <cell r="D202">
            <v>1941908.66</v>
          </cell>
          <cell r="E202">
            <v>-1296397</v>
          </cell>
          <cell r="F202">
            <v>2738598.33</v>
          </cell>
          <cell r="G202">
            <v>-150428</v>
          </cell>
          <cell r="H202">
            <v>0</v>
          </cell>
          <cell r="I202">
            <v>0</v>
          </cell>
          <cell r="J202">
            <v>0</v>
          </cell>
          <cell r="K202">
            <v>0</v>
          </cell>
          <cell r="L202">
            <v>3798549.57</v>
          </cell>
          <cell r="M202">
            <v>-127564.42</v>
          </cell>
          <cell r="N202">
            <v>0</v>
          </cell>
          <cell r="O202">
            <v>0</v>
          </cell>
          <cell r="P202">
            <v>4680506.99</v>
          </cell>
          <cell r="Q202">
            <v>-1446825</v>
          </cell>
          <cell r="S202">
            <v>4316496.8099999996</v>
          </cell>
          <cell r="T202">
            <v>2588170.33</v>
          </cell>
          <cell r="U202">
            <v>2423823.31</v>
          </cell>
          <cell r="V202">
            <v>1847443.43</v>
          </cell>
          <cell r="W202">
            <v>1892673.4999999995</v>
          </cell>
          <cell r="X202">
            <v>740726.90000000014</v>
          </cell>
          <cell r="Y202">
            <v>1892673.4999999995</v>
          </cell>
          <cell r="Z202">
            <v>740726.90000000014</v>
          </cell>
          <cell r="AA202">
            <v>2633400.3999999994</v>
          </cell>
          <cell r="AC202">
            <v>13449</v>
          </cell>
          <cell r="AD202">
            <v>0</v>
          </cell>
        </row>
        <row r="203">
          <cell r="S203">
            <v>0</v>
          </cell>
          <cell r="T203">
            <v>0</v>
          </cell>
          <cell r="U203">
            <v>0</v>
          </cell>
          <cell r="V203">
            <v>0</v>
          </cell>
          <cell r="W203">
            <v>0</v>
          </cell>
          <cell r="X203">
            <v>0</v>
          </cell>
          <cell r="Y203">
            <v>0</v>
          </cell>
          <cell r="Z203">
            <v>0</v>
          </cell>
          <cell r="AA203">
            <v>0</v>
          </cell>
          <cell r="AC203">
            <v>0</v>
          </cell>
          <cell r="AD203">
            <v>0</v>
          </cell>
        </row>
        <row r="204">
          <cell r="B204">
            <v>13450</v>
          </cell>
          <cell r="C204" t="str">
            <v>CONVENYANCE EXPENSES (LOCAL) (3316)</v>
          </cell>
          <cell r="D204">
            <v>2730132.38</v>
          </cell>
          <cell r="E204">
            <v>-16793</v>
          </cell>
          <cell r="F204">
            <v>2296685</v>
          </cell>
          <cell r="G204">
            <v>-2310</v>
          </cell>
          <cell r="H204">
            <v>0</v>
          </cell>
          <cell r="I204">
            <v>0</v>
          </cell>
          <cell r="J204">
            <v>0</v>
          </cell>
          <cell r="K204">
            <v>0</v>
          </cell>
          <cell r="L204">
            <v>1506931</v>
          </cell>
          <cell r="M204">
            <v>0</v>
          </cell>
          <cell r="N204">
            <v>0</v>
          </cell>
          <cell r="O204">
            <v>0</v>
          </cell>
          <cell r="P204">
            <v>5026817.38</v>
          </cell>
          <cell r="Q204">
            <v>-19103</v>
          </cell>
          <cell r="S204">
            <v>4220270.38</v>
          </cell>
          <cell r="T204">
            <v>2294375</v>
          </cell>
          <cell r="U204">
            <v>2417565</v>
          </cell>
          <cell r="V204">
            <v>1488239</v>
          </cell>
          <cell r="W204">
            <v>1802705.38</v>
          </cell>
          <cell r="X204">
            <v>806136</v>
          </cell>
          <cell r="Y204">
            <v>1802705.38</v>
          </cell>
          <cell r="Z204">
            <v>806136</v>
          </cell>
          <cell r="AA204">
            <v>2608841.38</v>
          </cell>
          <cell r="AC204">
            <v>13450</v>
          </cell>
          <cell r="AD204">
            <v>0</v>
          </cell>
        </row>
        <row r="205">
          <cell r="S205">
            <v>0</v>
          </cell>
          <cell r="T205">
            <v>0</v>
          </cell>
          <cell r="U205">
            <v>0</v>
          </cell>
          <cell r="V205">
            <v>0</v>
          </cell>
          <cell r="W205">
            <v>0</v>
          </cell>
          <cell r="X205">
            <v>0</v>
          </cell>
          <cell r="Y205">
            <v>0</v>
          </cell>
          <cell r="Z205">
            <v>0</v>
          </cell>
          <cell r="AA205">
            <v>0</v>
          </cell>
          <cell r="AC205">
            <v>0</v>
          </cell>
          <cell r="AD205">
            <v>0</v>
          </cell>
        </row>
        <row r="206">
          <cell r="B206">
            <v>13475</v>
          </cell>
          <cell r="C206" t="str">
            <v>FREIGHT &amp; TRANSPORT - LOCAL SALES (7285)</v>
          </cell>
          <cell r="D206">
            <v>4984159.5999999996</v>
          </cell>
          <cell r="E206">
            <v>-526646</v>
          </cell>
          <cell r="F206">
            <v>60846776.130000003</v>
          </cell>
          <cell r="G206">
            <v>-3423172.15</v>
          </cell>
          <cell r="H206">
            <v>0</v>
          </cell>
          <cell r="I206">
            <v>0</v>
          </cell>
          <cell r="J206">
            <v>0</v>
          </cell>
          <cell r="K206">
            <v>0</v>
          </cell>
          <cell r="L206">
            <v>163235</v>
          </cell>
          <cell r="M206">
            <v>-4175</v>
          </cell>
          <cell r="N206">
            <v>0</v>
          </cell>
          <cell r="O206">
            <v>0</v>
          </cell>
          <cell r="P206">
            <v>65830935.729999997</v>
          </cell>
          <cell r="Q206">
            <v>-3949818.15</v>
          </cell>
          <cell r="S206">
            <v>4616573.5999999996</v>
          </cell>
          <cell r="T206">
            <v>57423603.980000004</v>
          </cell>
          <cell r="U206">
            <v>2860338.6</v>
          </cell>
          <cell r="V206">
            <v>33919626.049999997</v>
          </cell>
          <cell r="W206">
            <v>1756234.9999999995</v>
          </cell>
          <cell r="X206">
            <v>23503977.930000007</v>
          </cell>
          <cell r="Y206">
            <v>1756234.9999999995</v>
          </cell>
          <cell r="Z206">
            <v>23503977.930000007</v>
          </cell>
          <cell r="AA206">
            <v>25260212.930000007</v>
          </cell>
          <cell r="AC206">
            <v>13475</v>
          </cell>
          <cell r="AD206">
            <v>0</v>
          </cell>
        </row>
        <row r="207">
          <cell r="S207">
            <v>0</v>
          </cell>
          <cell r="T207">
            <v>0</v>
          </cell>
          <cell r="U207">
            <v>0</v>
          </cell>
          <cell r="V207">
            <v>0</v>
          </cell>
          <cell r="W207">
            <v>0</v>
          </cell>
          <cell r="X207">
            <v>0</v>
          </cell>
          <cell r="Y207">
            <v>0</v>
          </cell>
          <cell r="Z207">
            <v>0</v>
          </cell>
          <cell r="AA207">
            <v>0</v>
          </cell>
          <cell r="AC207">
            <v>0</v>
          </cell>
          <cell r="AD207">
            <v>0</v>
          </cell>
        </row>
        <row r="208">
          <cell r="B208">
            <v>13476</v>
          </cell>
          <cell r="C208" t="str">
            <v>LOADING &amp; UNLOADING EXPENSE (7286)</v>
          </cell>
          <cell r="D208">
            <v>101198</v>
          </cell>
          <cell r="E208">
            <v>-6921</v>
          </cell>
          <cell r="F208">
            <v>20064288.579999998</v>
          </cell>
          <cell r="G208">
            <v>-408937.4</v>
          </cell>
          <cell r="H208">
            <v>0</v>
          </cell>
          <cell r="I208">
            <v>0</v>
          </cell>
          <cell r="J208">
            <v>0</v>
          </cell>
          <cell r="K208">
            <v>0</v>
          </cell>
          <cell r="L208">
            <v>845</v>
          </cell>
          <cell r="M208">
            <v>0</v>
          </cell>
          <cell r="N208">
            <v>0</v>
          </cell>
          <cell r="O208">
            <v>0</v>
          </cell>
          <cell r="P208">
            <v>20165486.579999998</v>
          </cell>
          <cell r="Q208">
            <v>-415858.4</v>
          </cell>
          <cell r="S208">
            <v>95122</v>
          </cell>
          <cell r="T208">
            <v>19655351.18</v>
          </cell>
          <cell r="U208">
            <v>51537</v>
          </cell>
          <cell r="V208">
            <v>10945707.57</v>
          </cell>
          <cell r="W208">
            <v>43585</v>
          </cell>
          <cell r="X208">
            <v>8709643.6099999994</v>
          </cell>
          <cell r="Y208">
            <v>43585</v>
          </cell>
          <cell r="Z208">
            <v>8709643.6099999994</v>
          </cell>
          <cell r="AA208">
            <v>8753228.6099999994</v>
          </cell>
          <cell r="AC208">
            <v>13476</v>
          </cell>
          <cell r="AD208">
            <v>0</v>
          </cell>
        </row>
        <row r="209">
          <cell r="S209">
            <v>0</v>
          </cell>
          <cell r="T209">
            <v>0</v>
          </cell>
          <cell r="U209">
            <v>0</v>
          </cell>
          <cell r="V209">
            <v>0</v>
          </cell>
          <cell r="W209">
            <v>0</v>
          </cell>
          <cell r="X209">
            <v>0</v>
          </cell>
          <cell r="Y209">
            <v>0</v>
          </cell>
          <cell r="Z209">
            <v>0</v>
          </cell>
          <cell r="AA209">
            <v>0</v>
          </cell>
          <cell r="AC209">
            <v>0</v>
          </cell>
          <cell r="AD209">
            <v>0</v>
          </cell>
        </row>
        <row r="210">
          <cell r="B210">
            <v>13478</v>
          </cell>
          <cell r="C210" t="str">
            <v>FREIGHT ON REJECTED DRUMS</v>
          </cell>
          <cell r="D210">
            <v>676202</v>
          </cell>
          <cell r="E210">
            <v>0</v>
          </cell>
          <cell r="F210">
            <v>50101.74</v>
          </cell>
          <cell r="G210">
            <v>0</v>
          </cell>
          <cell r="H210">
            <v>0</v>
          </cell>
          <cell r="I210">
            <v>0</v>
          </cell>
          <cell r="J210">
            <v>0</v>
          </cell>
          <cell r="K210">
            <v>0</v>
          </cell>
          <cell r="L210">
            <v>0</v>
          </cell>
          <cell r="M210">
            <v>0</v>
          </cell>
          <cell r="N210">
            <v>0</v>
          </cell>
          <cell r="O210">
            <v>0</v>
          </cell>
          <cell r="P210">
            <v>726303.74</v>
          </cell>
          <cell r="Q210">
            <v>0</v>
          </cell>
          <cell r="S210">
            <v>676202</v>
          </cell>
          <cell r="T210">
            <v>50101.74</v>
          </cell>
          <cell r="U210">
            <v>676202</v>
          </cell>
          <cell r="V210">
            <v>50101.74</v>
          </cell>
          <cell r="W210">
            <v>0</v>
          </cell>
          <cell r="X210">
            <v>0</v>
          </cell>
          <cell r="Y210">
            <v>0</v>
          </cell>
          <cell r="Z210">
            <v>0</v>
          </cell>
          <cell r="AA210">
            <v>0</v>
          </cell>
          <cell r="AC210">
            <v>13478</v>
          </cell>
          <cell r="AD210">
            <v>0</v>
          </cell>
        </row>
        <row r="211">
          <cell r="S211">
            <v>0</v>
          </cell>
          <cell r="T211">
            <v>0</v>
          </cell>
          <cell r="U211">
            <v>0</v>
          </cell>
          <cell r="V211">
            <v>0</v>
          </cell>
          <cell r="W211">
            <v>0</v>
          </cell>
          <cell r="X211">
            <v>0</v>
          </cell>
          <cell r="Y211">
            <v>0</v>
          </cell>
          <cell r="Z211">
            <v>0</v>
          </cell>
          <cell r="AA211">
            <v>0</v>
          </cell>
          <cell r="AC211">
            <v>0</v>
          </cell>
          <cell r="AD211">
            <v>0</v>
          </cell>
        </row>
        <row r="212">
          <cell r="B212">
            <v>13479</v>
          </cell>
          <cell r="C212" t="str">
            <v>FREIGHT - THAPI &amp; TOLL CHARGES</v>
          </cell>
          <cell r="D212">
            <v>225</v>
          </cell>
          <cell r="E212">
            <v>0</v>
          </cell>
          <cell r="F212">
            <v>235584</v>
          </cell>
          <cell r="G212">
            <v>-225</v>
          </cell>
          <cell r="H212">
            <v>0</v>
          </cell>
          <cell r="I212">
            <v>0</v>
          </cell>
          <cell r="J212">
            <v>0</v>
          </cell>
          <cell r="K212">
            <v>0</v>
          </cell>
          <cell r="L212">
            <v>0</v>
          </cell>
          <cell r="M212">
            <v>0</v>
          </cell>
          <cell r="N212">
            <v>0</v>
          </cell>
          <cell r="O212">
            <v>0</v>
          </cell>
          <cell r="P212">
            <v>235809</v>
          </cell>
          <cell r="Q212">
            <v>-225</v>
          </cell>
          <cell r="S212">
            <v>225</v>
          </cell>
          <cell r="T212">
            <v>235359</v>
          </cell>
          <cell r="U212">
            <v>225</v>
          </cell>
          <cell r="V212">
            <v>198982</v>
          </cell>
          <cell r="W212">
            <v>0</v>
          </cell>
          <cell r="X212">
            <v>36377</v>
          </cell>
          <cell r="Y212">
            <v>0</v>
          </cell>
          <cell r="Z212">
            <v>36377</v>
          </cell>
          <cell r="AA212">
            <v>36377</v>
          </cell>
          <cell r="AC212">
            <v>13479</v>
          </cell>
          <cell r="AD212">
            <v>0</v>
          </cell>
        </row>
        <row r="213">
          <cell r="S213">
            <v>0</v>
          </cell>
          <cell r="T213">
            <v>0</v>
          </cell>
          <cell r="U213">
            <v>0</v>
          </cell>
          <cell r="V213">
            <v>0</v>
          </cell>
          <cell r="W213">
            <v>0</v>
          </cell>
          <cell r="X213">
            <v>0</v>
          </cell>
          <cell r="Y213">
            <v>0</v>
          </cell>
          <cell r="Z213">
            <v>0</v>
          </cell>
          <cell r="AA213">
            <v>0</v>
          </cell>
          <cell r="AC213">
            <v>0</v>
          </cell>
          <cell r="AD213">
            <v>0</v>
          </cell>
        </row>
        <row r="214">
          <cell r="B214">
            <v>13480</v>
          </cell>
          <cell r="C214" t="str">
            <v>OCTROI - PAID (7310)</v>
          </cell>
          <cell r="D214">
            <v>1734337</v>
          </cell>
          <cell r="E214">
            <v>-261044</v>
          </cell>
          <cell r="F214">
            <v>593544</v>
          </cell>
          <cell r="G214">
            <v>-6122691</v>
          </cell>
          <cell r="H214">
            <v>0</v>
          </cell>
          <cell r="I214">
            <v>0</v>
          </cell>
          <cell r="J214">
            <v>8694</v>
          </cell>
          <cell r="K214">
            <v>-8694</v>
          </cell>
          <cell r="L214">
            <v>0</v>
          </cell>
          <cell r="M214">
            <v>0</v>
          </cell>
          <cell r="N214">
            <v>0</v>
          </cell>
          <cell r="O214">
            <v>0</v>
          </cell>
          <cell r="P214">
            <v>2336575</v>
          </cell>
          <cell r="Q214">
            <v>-6392429</v>
          </cell>
          <cell r="S214">
            <v>1473293</v>
          </cell>
          <cell r="T214">
            <v>-5529147</v>
          </cell>
          <cell r="U214">
            <v>935240</v>
          </cell>
          <cell r="V214">
            <v>-1924335</v>
          </cell>
          <cell r="W214">
            <v>538053</v>
          </cell>
          <cell r="X214">
            <v>-3604812</v>
          </cell>
          <cell r="Y214">
            <v>538053</v>
          </cell>
          <cell r="Z214">
            <v>-3604812</v>
          </cell>
          <cell r="AA214">
            <v>-3066759</v>
          </cell>
          <cell r="AC214">
            <v>13480</v>
          </cell>
          <cell r="AD214">
            <v>0</v>
          </cell>
        </row>
        <row r="215">
          <cell r="S215">
            <v>0</v>
          </cell>
          <cell r="T215">
            <v>0</v>
          </cell>
          <cell r="U215">
            <v>0</v>
          </cell>
          <cell r="V215">
            <v>0</v>
          </cell>
          <cell r="W215">
            <v>0</v>
          </cell>
          <cell r="X215">
            <v>0</v>
          </cell>
          <cell r="Y215">
            <v>0</v>
          </cell>
          <cell r="Z215">
            <v>0</v>
          </cell>
          <cell r="AA215">
            <v>0</v>
          </cell>
          <cell r="AC215">
            <v>0</v>
          </cell>
          <cell r="AD215">
            <v>0</v>
          </cell>
        </row>
        <row r="216">
          <cell r="B216">
            <v>13483</v>
          </cell>
          <cell r="C216" t="str">
            <v>FREIGHT &amp; TRANSPORT - RECOVERED LOCAL (7290)</v>
          </cell>
          <cell r="D216">
            <v>286060.45</v>
          </cell>
          <cell r="E216">
            <v>-7744972.4199999999</v>
          </cell>
          <cell r="F216">
            <v>161758.72</v>
          </cell>
          <cell r="G216">
            <v>-40377681.759999998</v>
          </cell>
          <cell r="H216">
            <v>2955</v>
          </cell>
          <cell r="I216">
            <v>-316405</v>
          </cell>
          <cell r="J216">
            <v>362174</v>
          </cell>
          <cell r="K216">
            <v>-367919</v>
          </cell>
          <cell r="L216">
            <v>0</v>
          </cell>
          <cell r="M216">
            <v>0</v>
          </cell>
          <cell r="N216">
            <v>0</v>
          </cell>
          <cell r="O216">
            <v>0</v>
          </cell>
          <cell r="P216">
            <v>812948.17</v>
          </cell>
          <cell r="Q216">
            <v>-48806978.18</v>
          </cell>
          <cell r="S216">
            <v>-7458911.9699999997</v>
          </cell>
          <cell r="T216">
            <v>-40535118.039999999</v>
          </cell>
          <cell r="U216">
            <v>-4018495.69</v>
          </cell>
          <cell r="V216">
            <v>-23920388.350000001</v>
          </cell>
          <cell r="W216">
            <v>-3440416.28</v>
          </cell>
          <cell r="X216">
            <v>-16614729.689999998</v>
          </cell>
          <cell r="Y216">
            <v>-3440416.28</v>
          </cell>
          <cell r="Z216">
            <v>-16614729.689999998</v>
          </cell>
          <cell r="AA216">
            <v>-20055145.969999999</v>
          </cell>
          <cell r="AC216">
            <v>13483</v>
          </cell>
          <cell r="AD216">
            <v>0</v>
          </cell>
        </row>
        <row r="217">
          <cell r="S217">
            <v>0</v>
          </cell>
          <cell r="T217">
            <v>0</v>
          </cell>
          <cell r="U217">
            <v>0</v>
          </cell>
          <cell r="V217">
            <v>0</v>
          </cell>
          <cell r="W217">
            <v>0</v>
          </cell>
          <cell r="X217">
            <v>0</v>
          </cell>
          <cell r="Y217">
            <v>0</v>
          </cell>
          <cell r="Z217">
            <v>0</v>
          </cell>
          <cell r="AA217">
            <v>0</v>
          </cell>
          <cell r="AC217">
            <v>0</v>
          </cell>
          <cell r="AD217">
            <v>0</v>
          </cell>
        </row>
        <row r="218">
          <cell r="B218">
            <v>13484</v>
          </cell>
          <cell r="C218" t="str">
            <v>OCTROI - RECOVERED (7315)</v>
          </cell>
          <cell r="D218">
            <v>20866</v>
          </cell>
          <cell r="E218">
            <v>-1369216</v>
          </cell>
          <cell r="F218">
            <v>2182088.5</v>
          </cell>
          <cell r="G218">
            <v>-18267</v>
          </cell>
          <cell r="H218">
            <v>0</v>
          </cell>
          <cell r="I218">
            <v>0</v>
          </cell>
          <cell r="J218">
            <v>0</v>
          </cell>
          <cell r="K218">
            <v>0</v>
          </cell>
          <cell r="L218">
            <v>0</v>
          </cell>
          <cell r="M218">
            <v>0</v>
          </cell>
          <cell r="N218">
            <v>0</v>
          </cell>
          <cell r="O218">
            <v>0</v>
          </cell>
          <cell r="P218">
            <v>2202954.5</v>
          </cell>
          <cell r="Q218">
            <v>-1387483</v>
          </cell>
          <cell r="S218">
            <v>-1348350</v>
          </cell>
          <cell r="T218">
            <v>2163821.5</v>
          </cell>
          <cell r="U218">
            <v>-724016</v>
          </cell>
          <cell r="V218">
            <v>2163821.5</v>
          </cell>
          <cell r="W218">
            <v>-624334</v>
          </cell>
          <cell r="X218">
            <v>0</v>
          </cell>
          <cell r="Y218">
            <v>-624334</v>
          </cell>
          <cell r="Z218">
            <v>0</v>
          </cell>
          <cell r="AA218">
            <v>-624334</v>
          </cell>
          <cell r="AC218">
            <v>13484</v>
          </cell>
          <cell r="AD218">
            <v>0</v>
          </cell>
        </row>
        <row r="219">
          <cell r="S219">
            <v>0</v>
          </cell>
          <cell r="T219">
            <v>0</v>
          </cell>
          <cell r="U219">
            <v>0</v>
          </cell>
          <cell r="V219">
            <v>0</v>
          </cell>
          <cell r="W219">
            <v>0</v>
          </cell>
          <cell r="X219">
            <v>0</v>
          </cell>
          <cell r="Y219">
            <v>0</v>
          </cell>
          <cell r="Z219">
            <v>0</v>
          </cell>
          <cell r="AA219">
            <v>0</v>
          </cell>
          <cell r="AC219">
            <v>0</v>
          </cell>
          <cell r="AD219">
            <v>0</v>
          </cell>
        </row>
        <row r="220">
          <cell r="B220">
            <v>13485</v>
          </cell>
          <cell r="C220" t="str">
            <v>FREIGHT &amp; TRANSPORT - EXPORTS SALES (7295)</v>
          </cell>
          <cell r="D220">
            <v>14655665.279999999</v>
          </cell>
          <cell r="E220">
            <v>-1231626.6499999999</v>
          </cell>
          <cell r="F220">
            <v>22757818.859999999</v>
          </cell>
          <cell r="G220">
            <v>-2949721.16</v>
          </cell>
          <cell r="H220">
            <v>0</v>
          </cell>
          <cell r="I220">
            <v>0</v>
          </cell>
          <cell r="J220">
            <v>0</v>
          </cell>
          <cell r="K220">
            <v>0</v>
          </cell>
          <cell r="L220">
            <v>0</v>
          </cell>
          <cell r="M220">
            <v>0</v>
          </cell>
          <cell r="N220">
            <v>0</v>
          </cell>
          <cell r="O220">
            <v>0</v>
          </cell>
          <cell r="P220">
            <v>37413484.140000001</v>
          </cell>
          <cell r="Q220">
            <v>-4181347.81</v>
          </cell>
          <cell r="S220">
            <v>13424038.629999999</v>
          </cell>
          <cell r="T220">
            <v>19808097.699999999</v>
          </cell>
          <cell r="U220">
            <v>10572985.529999999</v>
          </cell>
          <cell r="V220">
            <v>15494017.699999999</v>
          </cell>
          <cell r="W220">
            <v>2851053.0999999996</v>
          </cell>
          <cell r="X220">
            <v>4314080</v>
          </cell>
          <cell r="Y220">
            <v>2851053.0999999996</v>
          </cell>
          <cell r="Z220">
            <v>4314080</v>
          </cell>
          <cell r="AA220">
            <v>7165133.0999999996</v>
          </cell>
          <cell r="AC220">
            <v>13485</v>
          </cell>
          <cell r="AD220">
            <v>0</v>
          </cell>
        </row>
        <row r="221">
          <cell r="S221">
            <v>0</v>
          </cell>
          <cell r="T221">
            <v>0</v>
          </cell>
          <cell r="U221">
            <v>0</v>
          </cell>
          <cell r="V221">
            <v>0</v>
          </cell>
          <cell r="W221">
            <v>0</v>
          </cell>
          <cell r="X221">
            <v>0</v>
          </cell>
          <cell r="Y221">
            <v>0</v>
          </cell>
          <cell r="Z221">
            <v>0</v>
          </cell>
          <cell r="AA221">
            <v>0</v>
          </cell>
          <cell r="AC221">
            <v>0</v>
          </cell>
          <cell r="AD221">
            <v>0</v>
          </cell>
        </row>
        <row r="222">
          <cell r="B222">
            <v>13486</v>
          </cell>
          <cell r="C222" t="str">
            <v>FREIGHT &amp; TRANSPORT - RECOVERED- EXPORTS (7300)</v>
          </cell>
          <cell r="D222">
            <v>0</v>
          </cell>
          <cell r="E222">
            <v>0</v>
          </cell>
          <cell r="F222">
            <v>21135</v>
          </cell>
          <cell r="G222">
            <v>0</v>
          </cell>
          <cell r="H222">
            <v>0</v>
          </cell>
          <cell r="I222">
            <v>0</v>
          </cell>
          <cell r="J222">
            <v>0</v>
          </cell>
          <cell r="K222">
            <v>0</v>
          </cell>
          <cell r="L222">
            <v>0</v>
          </cell>
          <cell r="M222">
            <v>0</v>
          </cell>
          <cell r="N222">
            <v>0</v>
          </cell>
          <cell r="O222">
            <v>0</v>
          </cell>
          <cell r="P222">
            <v>21135</v>
          </cell>
          <cell r="Q222">
            <v>0</v>
          </cell>
          <cell r="S222">
            <v>0</v>
          </cell>
          <cell r="T222">
            <v>21135</v>
          </cell>
          <cell r="U222">
            <v>0</v>
          </cell>
          <cell r="V222">
            <v>21135</v>
          </cell>
          <cell r="W222">
            <v>0</v>
          </cell>
          <cell r="X222">
            <v>0</v>
          </cell>
          <cell r="Y222">
            <v>0</v>
          </cell>
          <cell r="Z222">
            <v>0</v>
          </cell>
          <cell r="AA222">
            <v>0</v>
          </cell>
          <cell r="AC222">
            <v>13486</v>
          </cell>
          <cell r="AD222">
            <v>0</v>
          </cell>
        </row>
        <row r="223">
          <cell r="S223">
            <v>0</v>
          </cell>
          <cell r="T223">
            <v>0</v>
          </cell>
          <cell r="U223">
            <v>0</v>
          </cell>
          <cell r="V223">
            <v>0</v>
          </cell>
          <cell r="W223">
            <v>0</v>
          </cell>
          <cell r="X223">
            <v>0</v>
          </cell>
          <cell r="Y223">
            <v>0</v>
          </cell>
          <cell r="Z223">
            <v>0</v>
          </cell>
          <cell r="AA223">
            <v>0</v>
          </cell>
          <cell r="AC223">
            <v>0</v>
          </cell>
          <cell r="AD223">
            <v>0</v>
          </cell>
        </row>
        <row r="224">
          <cell r="E224" t="str">
            <v>SDCT</v>
          </cell>
          <cell r="F224" t="str">
            <v>PCDT</v>
          </cell>
          <cell r="G224" t="str">
            <v>PCDC</v>
          </cell>
          <cell r="I224" t="str">
            <v>PCDN</v>
          </cell>
          <cell r="K224" t="str">
            <v>CORP</v>
          </cell>
          <cell r="M224" t="str">
            <v>OTHER</v>
          </cell>
          <cell r="O224" t="str">
            <v>TOTAL</v>
          </cell>
          <cell r="U224">
            <v>0</v>
          </cell>
          <cell r="V224">
            <v>0</v>
          </cell>
          <cell r="W224">
            <v>0</v>
          </cell>
          <cell r="X224">
            <v>0</v>
          </cell>
          <cell r="Y224">
            <v>0</v>
          </cell>
          <cell r="Z224">
            <v>0</v>
          </cell>
          <cell r="AA224">
            <v>0</v>
          </cell>
          <cell r="AC224">
            <v>0</v>
          </cell>
          <cell r="AD224">
            <v>0</v>
          </cell>
        </row>
        <row r="225">
          <cell r="B225" t="str">
            <v>GL CODE</v>
          </cell>
          <cell r="C225" t="str">
            <v>ACCOUNT HEAD</v>
          </cell>
          <cell r="S225">
            <v>0</v>
          </cell>
          <cell r="T225">
            <v>0</v>
          </cell>
          <cell r="U225" t="str">
            <v>SDCT</v>
          </cell>
          <cell r="V225" t="str">
            <v>PCDT</v>
          </cell>
          <cell r="Y225">
            <v>0</v>
          </cell>
          <cell r="Z225">
            <v>0</v>
          </cell>
          <cell r="AA225">
            <v>0</v>
          </cell>
          <cell r="AC225">
            <v>0</v>
          </cell>
          <cell r="AD225" t="e">
            <v>#VALUE!</v>
          </cell>
        </row>
        <row r="226">
          <cell r="S226">
            <v>0</v>
          </cell>
          <cell r="T226">
            <v>0</v>
          </cell>
          <cell r="U226">
            <v>0</v>
          </cell>
          <cell r="V226">
            <v>0</v>
          </cell>
          <cell r="W226">
            <v>0</v>
          </cell>
          <cell r="X226">
            <v>0</v>
          </cell>
          <cell r="Y226">
            <v>0</v>
          </cell>
          <cell r="Z226">
            <v>0</v>
          </cell>
          <cell r="AA226">
            <v>0</v>
          </cell>
          <cell r="AC226">
            <v>0</v>
          </cell>
          <cell r="AD226">
            <v>0</v>
          </cell>
        </row>
        <row r="227">
          <cell r="D227" t="str">
            <v>DR.</v>
          </cell>
          <cell r="E227" t="str">
            <v>CR.</v>
          </cell>
          <cell r="F227" t="str">
            <v>DR.</v>
          </cell>
          <cell r="G227" t="str">
            <v>CR.</v>
          </cell>
          <cell r="H227" t="str">
            <v>DR.</v>
          </cell>
          <cell r="I227" t="str">
            <v>CR.</v>
          </cell>
          <cell r="J227" t="str">
            <v>DR.</v>
          </cell>
          <cell r="K227" t="str">
            <v>CR.</v>
          </cell>
          <cell r="L227" t="str">
            <v>DR.</v>
          </cell>
          <cell r="M227" t="str">
            <v>CR.</v>
          </cell>
          <cell r="N227" t="str">
            <v>DR.</v>
          </cell>
          <cell r="O227" t="str">
            <v>CR.</v>
          </cell>
          <cell r="P227" t="str">
            <v>DR.</v>
          </cell>
          <cell r="Q227" t="str">
            <v>CR.</v>
          </cell>
          <cell r="U227">
            <v>0</v>
          </cell>
          <cell r="V227">
            <v>0</v>
          </cell>
          <cell r="W227">
            <v>0</v>
          </cell>
          <cell r="X227">
            <v>0</v>
          </cell>
          <cell r="Y227">
            <v>0</v>
          </cell>
          <cell r="Z227">
            <v>0</v>
          </cell>
          <cell r="AA227">
            <v>0</v>
          </cell>
          <cell r="AC227">
            <v>0</v>
          </cell>
          <cell r="AD227">
            <v>0</v>
          </cell>
        </row>
        <row r="228">
          <cell r="S228">
            <v>0</v>
          </cell>
          <cell r="T228">
            <v>0</v>
          </cell>
          <cell r="U228">
            <v>0</v>
          </cell>
          <cell r="V228">
            <v>0</v>
          </cell>
          <cell r="W228">
            <v>0</v>
          </cell>
          <cell r="X228">
            <v>0</v>
          </cell>
          <cell r="Y228">
            <v>0</v>
          </cell>
          <cell r="Z228">
            <v>0</v>
          </cell>
          <cell r="AA228">
            <v>0</v>
          </cell>
          <cell r="AC228">
            <v>0</v>
          </cell>
          <cell r="AD228">
            <v>0</v>
          </cell>
        </row>
        <row r="229">
          <cell r="S229">
            <v>0</v>
          </cell>
          <cell r="T229">
            <v>0</v>
          </cell>
          <cell r="U229">
            <v>0</v>
          </cell>
          <cell r="V229">
            <v>0</v>
          </cell>
          <cell r="W229">
            <v>0</v>
          </cell>
          <cell r="X229">
            <v>0</v>
          </cell>
          <cell r="Y229">
            <v>0</v>
          </cell>
          <cell r="Z229">
            <v>0</v>
          </cell>
          <cell r="AA229">
            <v>0</v>
          </cell>
          <cell r="AC229">
            <v>0</v>
          </cell>
          <cell r="AD229">
            <v>0</v>
          </cell>
        </row>
        <row r="230">
          <cell r="B230">
            <v>13507</v>
          </cell>
          <cell r="C230" t="str">
            <v>ADV. WIRTTEN OFF</v>
          </cell>
          <cell r="D230">
            <v>0</v>
          </cell>
          <cell r="E230">
            <v>0</v>
          </cell>
          <cell r="F230">
            <v>23467</v>
          </cell>
          <cell r="G230">
            <v>0</v>
          </cell>
          <cell r="H230">
            <v>0</v>
          </cell>
          <cell r="I230">
            <v>0</v>
          </cell>
          <cell r="J230">
            <v>0</v>
          </cell>
          <cell r="K230">
            <v>0</v>
          </cell>
          <cell r="L230">
            <v>0</v>
          </cell>
          <cell r="M230">
            <v>0</v>
          </cell>
          <cell r="N230">
            <v>0</v>
          </cell>
          <cell r="O230">
            <v>0</v>
          </cell>
          <cell r="P230">
            <v>23467</v>
          </cell>
          <cell r="Q230">
            <v>0</v>
          </cell>
          <cell r="S230">
            <v>0</v>
          </cell>
          <cell r="T230">
            <v>23467</v>
          </cell>
          <cell r="U230">
            <v>0</v>
          </cell>
          <cell r="V230">
            <v>0</v>
          </cell>
          <cell r="W230">
            <v>0</v>
          </cell>
          <cell r="X230">
            <v>23467</v>
          </cell>
          <cell r="Y230">
            <v>0</v>
          </cell>
          <cell r="Z230">
            <v>23467</v>
          </cell>
          <cell r="AA230">
            <v>23467</v>
          </cell>
          <cell r="AC230">
            <v>13507</v>
          </cell>
          <cell r="AD230">
            <v>0</v>
          </cell>
        </row>
        <row r="231">
          <cell r="S231">
            <v>0</v>
          </cell>
          <cell r="T231">
            <v>0</v>
          </cell>
          <cell r="U231">
            <v>0</v>
          </cell>
          <cell r="V231">
            <v>0</v>
          </cell>
          <cell r="W231">
            <v>0</v>
          </cell>
          <cell r="X231">
            <v>0</v>
          </cell>
          <cell r="Y231">
            <v>0</v>
          </cell>
          <cell r="Z231">
            <v>0</v>
          </cell>
          <cell r="AA231">
            <v>0</v>
          </cell>
          <cell r="AC231">
            <v>0</v>
          </cell>
          <cell r="AD231">
            <v>0</v>
          </cell>
        </row>
        <row r="232">
          <cell r="B232">
            <v>13526</v>
          </cell>
          <cell r="C232" t="str">
            <v>PROVISION FOR DOUBTFUL DEBTS/ADVANCE (7355)</v>
          </cell>
          <cell r="D232">
            <v>1574477.04</v>
          </cell>
          <cell r="E232">
            <v>-1178492.02</v>
          </cell>
          <cell r="F232">
            <v>11078974.109999999</v>
          </cell>
          <cell r="G232">
            <v>-9807082.1300000008</v>
          </cell>
          <cell r="H232">
            <v>0</v>
          </cell>
          <cell r="I232">
            <v>0</v>
          </cell>
          <cell r="J232">
            <v>0</v>
          </cell>
          <cell r="K232">
            <v>0</v>
          </cell>
          <cell r="L232">
            <v>0</v>
          </cell>
          <cell r="M232">
            <v>0</v>
          </cell>
          <cell r="N232">
            <v>0</v>
          </cell>
          <cell r="O232">
            <v>0</v>
          </cell>
          <cell r="P232">
            <v>12653451.15</v>
          </cell>
          <cell r="Q232">
            <v>-10985574.15</v>
          </cell>
          <cell r="S232">
            <v>395985.02</v>
          </cell>
          <cell r="T232">
            <v>1271891.9799999986</v>
          </cell>
          <cell r="U232">
            <v>395985.02</v>
          </cell>
          <cell r="V232">
            <v>1271891.98</v>
          </cell>
          <cell r="W232">
            <v>0</v>
          </cell>
          <cell r="X232">
            <v>0</v>
          </cell>
          <cell r="Y232">
            <v>0</v>
          </cell>
          <cell r="Z232">
            <v>0</v>
          </cell>
          <cell r="AA232">
            <v>0</v>
          </cell>
          <cell r="AC232">
            <v>13526</v>
          </cell>
          <cell r="AD232">
            <v>0</v>
          </cell>
        </row>
        <row r="233">
          <cell r="S233">
            <v>0</v>
          </cell>
          <cell r="T233">
            <v>0</v>
          </cell>
          <cell r="U233">
            <v>0</v>
          </cell>
          <cell r="V233">
            <v>0</v>
          </cell>
          <cell r="W233">
            <v>0</v>
          </cell>
          <cell r="X233">
            <v>0</v>
          </cell>
          <cell r="Y233">
            <v>0</v>
          </cell>
          <cell r="Z233">
            <v>0</v>
          </cell>
          <cell r="AA233">
            <v>0</v>
          </cell>
          <cell r="AC233">
            <v>0</v>
          </cell>
          <cell r="AD233">
            <v>0</v>
          </cell>
        </row>
        <row r="234">
          <cell r="B234">
            <v>13539</v>
          </cell>
          <cell r="C234" t="str">
            <v>LEGAL EXPENSES (7260)</v>
          </cell>
          <cell r="D234">
            <v>117715</v>
          </cell>
          <cell r="E234">
            <v>0</v>
          </cell>
          <cell r="F234">
            <v>12470</v>
          </cell>
          <cell r="G234">
            <v>0</v>
          </cell>
          <cell r="H234">
            <v>0</v>
          </cell>
          <cell r="I234">
            <v>0</v>
          </cell>
          <cell r="J234">
            <v>0</v>
          </cell>
          <cell r="K234">
            <v>0</v>
          </cell>
          <cell r="L234">
            <v>18010</v>
          </cell>
          <cell r="M234">
            <v>-12650</v>
          </cell>
          <cell r="N234">
            <v>0</v>
          </cell>
          <cell r="O234">
            <v>0</v>
          </cell>
          <cell r="P234">
            <v>130185</v>
          </cell>
          <cell r="Q234">
            <v>0</v>
          </cell>
          <cell r="S234">
            <v>123075</v>
          </cell>
          <cell r="T234">
            <v>12470</v>
          </cell>
          <cell r="U234">
            <v>89030</v>
          </cell>
          <cell r="V234">
            <v>10070</v>
          </cell>
          <cell r="W234">
            <v>34045</v>
          </cell>
          <cell r="X234">
            <v>2400</v>
          </cell>
          <cell r="Y234">
            <v>34045</v>
          </cell>
          <cell r="Z234">
            <v>2400</v>
          </cell>
          <cell r="AA234">
            <v>36445</v>
          </cell>
          <cell r="AC234">
            <v>13539</v>
          </cell>
          <cell r="AD234">
            <v>0</v>
          </cell>
        </row>
        <row r="235">
          <cell r="S235">
            <v>0</v>
          </cell>
          <cell r="T235">
            <v>0</v>
          </cell>
          <cell r="U235">
            <v>0</v>
          </cell>
          <cell r="V235">
            <v>0</v>
          </cell>
          <cell r="W235">
            <v>0</v>
          </cell>
          <cell r="X235">
            <v>0</v>
          </cell>
          <cell r="Y235">
            <v>0</v>
          </cell>
          <cell r="Z235">
            <v>0</v>
          </cell>
          <cell r="AA235">
            <v>0</v>
          </cell>
          <cell r="AC235">
            <v>0</v>
          </cell>
          <cell r="AD235">
            <v>0</v>
          </cell>
        </row>
        <row r="236">
          <cell r="B236">
            <v>13540</v>
          </cell>
          <cell r="C236" t="str">
            <v>PROFESSIONAL EXPENSES (7265)</v>
          </cell>
          <cell r="D236">
            <v>12735972</v>
          </cell>
          <cell r="E236">
            <v>-8879</v>
          </cell>
          <cell r="F236">
            <v>1469769</v>
          </cell>
          <cell r="G236">
            <v>-150680</v>
          </cell>
          <cell r="H236">
            <v>60000</v>
          </cell>
          <cell r="I236">
            <v>-20000</v>
          </cell>
          <cell r="J236">
            <v>0</v>
          </cell>
          <cell r="K236">
            <v>0</v>
          </cell>
          <cell r="L236">
            <v>9183765</v>
          </cell>
          <cell r="M236">
            <v>-422941</v>
          </cell>
          <cell r="N236">
            <v>0</v>
          </cell>
          <cell r="O236">
            <v>0</v>
          </cell>
          <cell r="P236">
            <v>14265741</v>
          </cell>
          <cell r="Q236">
            <v>-179559</v>
          </cell>
          <cell r="S236">
            <v>21487917</v>
          </cell>
          <cell r="T236">
            <v>1359089</v>
          </cell>
          <cell r="U236">
            <v>7985683</v>
          </cell>
          <cell r="V236">
            <v>918302</v>
          </cell>
          <cell r="W236">
            <v>13502234</v>
          </cell>
          <cell r="X236">
            <v>440787</v>
          </cell>
          <cell r="Y236">
            <v>13502234</v>
          </cell>
          <cell r="Z236">
            <v>440787</v>
          </cell>
          <cell r="AA236">
            <v>13943021</v>
          </cell>
          <cell r="AC236">
            <v>13540</v>
          </cell>
          <cell r="AD236">
            <v>0</v>
          </cell>
        </row>
        <row r="237">
          <cell r="S237">
            <v>0</v>
          </cell>
          <cell r="T237">
            <v>0</v>
          </cell>
          <cell r="U237">
            <v>0</v>
          </cell>
          <cell r="V237">
            <v>0</v>
          </cell>
          <cell r="W237">
            <v>0</v>
          </cell>
          <cell r="X237">
            <v>0</v>
          </cell>
          <cell r="Y237">
            <v>0</v>
          </cell>
          <cell r="Z237">
            <v>0</v>
          </cell>
          <cell r="AA237">
            <v>0</v>
          </cell>
          <cell r="AC237">
            <v>0</v>
          </cell>
          <cell r="AD237">
            <v>0</v>
          </cell>
        </row>
        <row r="238">
          <cell r="B238">
            <v>13542</v>
          </cell>
          <cell r="C238" t="str">
            <v>SECRETARIAL EXPENSES (7271,7272,7273)</v>
          </cell>
          <cell r="D238">
            <v>0</v>
          </cell>
          <cell r="E238">
            <v>0</v>
          </cell>
          <cell r="F238">
            <v>0</v>
          </cell>
          <cell r="G238">
            <v>0</v>
          </cell>
          <cell r="H238">
            <v>0</v>
          </cell>
          <cell r="I238">
            <v>0</v>
          </cell>
          <cell r="J238">
            <v>0</v>
          </cell>
          <cell r="K238">
            <v>0</v>
          </cell>
          <cell r="L238">
            <v>1347703.5</v>
          </cell>
          <cell r="M238">
            <v>-21343</v>
          </cell>
          <cell r="N238">
            <v>0</v>
          </cell>
          <cell r="O238">
            <v>0</v>
          </cell>
          <cell r="P238">
            <v>0</v>
          </cell>
          <cell r="Q238">
            <v>0</v>
          </cell>
          <cell r="S238">
            <v>1326360.5</v>
          </cell>
          <cell r="T238">
            <v>0</v>
          </cell>
          <cell r="U238">
            <v>584647.5</v>
          </cell>
          <cell r="V238">
            <v>0</v>
          </cell>
          <cell r="W238">
            <v>741713</v>
          </cell>
          <cell r="X238">
            <v>0</v>
          </cell>
          <cell r="Y238">
            <v>741713</v>
          </cell>
          <cell r="Z238">
            <v>0</v>
          </cell>
          <cell r="AA238">
            <v>741713</v>
          </cell>
          <cell r="AC238">
            <v>13542</v>
          </cell>
          <cell r="AD238">
            <v>0</v>
          </cell>
        </row>
        <row r="239">
          <cell r="S239">
            <v>0</v>
          </cell>
          <cell r="T239">
            <v>0</v>
          </cell>
          <cell r="U239">
            <v>0</v>
          </cell>
          <cell r="V239">
            <v>0</v>
          </cell>
          <cell r="W239">
            <v>0</v>
          </cell>
          <cell r="X239">
            <v>0</v>
          </cell>
          <cell r="Y239">
            <v>0</v>
          </cell>
          <cell r="Z239">
            <v>0</v>
          </cell>
          <cell r="AA239">
            <v>0</v>
          </cell>
          <cell r="AC239">
            <v>0</v>
          </cell>
          <cell r="AD239">
            <v>0</v>
          </cell>
        </row>
        <row r="240">
          <cell r="B240">
            <v>13558</v>
          </cell>
          <cell r="C240" t="str">
            <v>PRINTING &amp; STATIONERY (7460,7461)</v>
          </cell>
          <cell r="D240">
            <v>479290</v>
          </cell>
          <cell r="E240">
            <v>-30200</v>
          </cell>
          <cell r="F240">
            <v>686670</v>
          </cell>
          <cell r="G240">
            <v>0</v>
          </cell>
          <cell r="H240">
            <v>0</v>
          </cell>
          <cell r="I240">
            <v>0</v>
          </cell>
          <cell r="J240">
            <v>0</v>
          </cell>
          <cell r="K240">
            <v>0</v>
          </cell>
          <cell r="L240">
            <v>239660</v>
          </cell>
          <cell r="M240">
            <v>0</v>
          </cell>
          <cell r="N240">
            <v>0</v>
          </cell>
          <cell r="O240">
            <v>0</v>
          </cell>
          <cell r="P240">
            <v>1165960</v>
          </cell>
          <cell r="Q240">
            <v>-30200</v>
          </cell>
          <cell r="S240">
            <v>688750</v>
          </cell>
          <cell r="T240">
            <v>686670</v>
          </cell>
          <cell r="U240">
            <v>488945</v>
          </cell>
          <cell r="V240">
            <v>417934</v>
          </cell>
          <cell r="W240">
            <v>199805</v>
          </cell>
          <cell r="X240">
            <v>268736</v>
          </cell>
          <cell r="Y240">
            <v>199805</v>
          </cell>
          <cell r="Z240">
            <v>268736</v>
          </cell>
          <cell r="AA240">
            <v>468541</v>
          </cell>
          <cell r="AC240">
            <v>13558</v>
          </cell>
          <cell r="AD240">
            <v>0</v>
          </cell>
        </row>
        <row r="241">
          <cell r="S241">
            <v>0</v>
          </cell>
          <cell r="T241">
            <v>0</v>
          </cell>
          <cell r="U241">
            <v>0</v>
          </cell>
          <cell r="V241">
            <v>0</v>
          </cell>
          <cell r="W241">
            <v>0</v>
          </cell>
          <cell r="X241">
            <v>0</v>
          </cell>
          <cell r="Y241">
            <v>0</v>
          </cell>
          <cell r="Z241">
            <v>0</v>
          </cell>
          <cell r="AA241">
            <v>0</v>
          </cell>
          <cell r="AC241">
            <v>0</v>
          </cell>
          <cell r="AD241">
            <v>0</v>
          </cell>
        </row>
        <row r="242">
          <cell r="B242">
            <v>13559</v>
          </cell>
          <cell r="C242" t="str">
            <v>PHOTO COPYING EXPENSES (7495)</v>
          </cell>
          <cell r="D242">
            <v>6723.94</v>
          </cell>
          <cell r="E242">
            <v>0</v>
          </cell>
          <cell r="F242">
            <v>41212</v>
          </cell>
          <cell r="G242">
            <v>-2697</v>
          </cell>
          <cell r="H242">
            <v>0</v>
          </cell>
          <cell r="I242">
            <v>0</v>
          </cell>
          <cell r="J242">
            <v>0</v>
          </cell>
          <cell r="K242">
            <v>0</v>
          </cell>
          <cell r="L242">
            <v>85102.22</v>
          </cell>
          <cell r="M242">
            <v>-1806.94</v>
          </cell>
          <cell r="N242">
            <v>0</v>
          </cell>
          <cell r="O242">
            <v>0</v>
          </cell>
          <cell r="P242">
            <v>47935.94</v>
          </cell>
          <cell r="Q242">
            <v>-2697</v>
          </cell>
          <cell r="S242">
            <v>90019.22</v>
          </cell>
          <cell r="T242">
            <v>38515</v>
          </cell>
          <cell r="U242">
            <v>47102</v>
          </cell>
          <cell r="V242">
            <v>22792</v>
          </cell>
          <cell r="W242">
            <v>42917.22</v>
          </cell>
          <cell r="X242">
            <v>15723</v>
          </cell>
          <cell r="Y242">
            <v>42917.22</v>
          </cell>
          <cell r="Z242">
            <v>15723</v>
          </cell>
          <cell r="AA242">
            <v>58640.22</v>
          </cell>
          <cell r="AC242">
            <v>13559</v>
          </cell>
          <cell r="AD242">
            <v>0</v>
          </cell>
        </row>
        <row r="243">
          <cell r="S243">
            <v>0</v>
          </cell>
          <cell r="T243">
            <v>0</v>
          </cell>
          <cell r="U243">
            <v>0</v>
          </cell>
          <cell r="V243">
            <v>0</v>
          </cell>
          <cell r="W243">
            <v>0</v>
          </cell>
          <cell r="X243">
            <v>0</v>
          </cell>
          <cell r="Y243">
            <v>0</v>
          </cell>
          <cell r="Z243">
            <v>0</v>
          </cell>
          <cell r="AA243">
            <v>0</v>
          </cell>
          <cell r="AC243">
            <v>0</v>
          </cell>
          <cell r="AD243">
            <v>0</v>
          </cell>
        </row>
        <row r="244">
          <cell r="B244">
            <v>13563</v>
          </cell>
          <cell r="C244" t="str">
            <v>TELEPHONE, TELEX &amp; FAX EXPENSES (7500)</v>
          </cell>
          <cell r="D244">
            <v>222742</v>
          </cell>
          <cell r="E244">
            <v>-39509</v>
          </cell>
          <cell r="F244">
            <v>451209</v>
          </cell>
          <cell r="G244">
            <v>-36811</v>
          </cell>
          <cell r="H244">
            <v>0</v>
          </cell>
          <cell r="I244">
            <v>0</v>
          </cell>
          <cell r="J244">
            <v>0</v>
          </cell>
          <cell r="K244">
            <v>0</v>
          </cell>
          <cell r="L244">
            <v>1373509.98</v>
          </cell>
          <cell r="M244">
            <v>-20061.189999999999</v>
          </cell>
          <cell r="N244">
            <v>0</v>
          </cell>
          <cell r="O244">
            <v>0</v>
          </cell>
          <cell r="P244">
            <v>673951</v>
          </cell>
          <cell r="Q244">
            <v>-76320</v>
          </cell>
          <cell r="S244">
            <v>1536681.79</v>
          </cell>
          <cell r="T244">
            <v>414398</v>
          </cell>
          <cell r="U244">
            <v>839135.15</v>
          </cell>
          <cell r="V244">
            <v>242636</v>
          </cell>
          <cell r="W244">
            <v>697546.64</v>
          </cell>
          <cell r="X244">
            <v>171762</v>
          </cell>
          <cell r="Y244">
            <v>697546.64</v>
          </cell>
          <cell r="Z244">
            <v>171762</v>
          </cell>
          <cell r="AA244">
            <v>869308.64</v>
          </cell>
          <cell r="AC244">
            <v>13563</v>
          </cell>
          <cell r="AD244">
            <v>0</v>
          </cell>
        </row>
        <row r="245">
          <cell r="S245">
            <v>0</v>
          </cell>
          <cell r="T245">
            <v>0</v>
          </cell>
          <cell r="U245">
            <v>0</v>
          </cell>
          <cell r="V245">
            <v>0</v>
          </cell>
          <cell r="W245">
            <v>0</v>
          </cell>
          <cell r="X245">
            <v>0</v>
          </cell>
          <cell r="Y245">
            <v>0</v>
          </cell>
          <cell r="Z245">
            <v>0</v>
          </cell>
          <cell r="AA245">
            <v>0</v>
          </cell>
          <cell r="AC245">
            <v>0</v>
          </cell>
          <cell r="AD245">
            <v>0</v>
          </cell>
        </row>
        <row r="246">
          <cell r="B246">
            <v>13573</v>
          </cell>
          <cell r="C246" t="str">
            <v>CAR EXPENSES [COMPANY CARS] (7650-53)</v>
          </cell>
          <cell r="D246">
            <v>171363.17</v>
          </cell>
          <cell r="E246">
            <v>-27812.17</v>
          </cell>
          <cell r="F246">
            <v>899332</v>
          </cell>
          <cell r="G246">
            <v>-187121</v>
          </cell>
          <cell r="H246">
            <v>0</v>
          </cell>
          <cell r="I246">
            <v>0</v>
          </cell>
          <cell r="J246">
            <v>0</v>
          </cell>
          <cell r="K246">
            <v>0</v>
          </cell>
          <cell r="L246">
            <v>1407659.29</v>
          </cell>
          <cell r="M246">
            <v>-41137</v>
          </cell>
          <cell r="N246">
            <v>0</v>
          </cell>
          <cell r="O246">
            <v>0</v>
          </cell>
          <cell r="P246">
            <v>1070695.17</v>
          </cell>
          <cell r="Q246">
            <v>-214933.17</v>
          </cell>
          <cell r="S246">
            <v>1510073.29</v>
          </cell>
          <cell r="T246">
            <v>712211</v>
          </cell>
          <cell r="U246">
            <v>732023.93</v>
          </cell>
          <cell r="V246">
            <v>388766</v>
          </cell>
          <cell r="W246">
            <v>778049.36</v>
          </cell>
          <cell r="X246">
            <v>323445</v>
          </cell>
          <cell r="Y246">
            <v>778049.36</v>
          </cell>
          <cell r="Z246">
            <v>323445</v>
          </cell>
          <cell r="AA246">
            <v>1101494.3599999999</v>
          </cell>
          <cell r="AC246">
            <v>13573</v>
          </cell>
          <cell r="AD246">
            <v>0</v>
          </cell>
        </row>
        <row r="247">
          <cell r="S247">
            <v>0</v>
          </cell>
          <cell r="T247">
            <v>0</v>
          </cell>
          <cell r="U247">
            <v>0</v>
          </cell>
          <cell r="V247">
            <v>0</v>
          </cell>
          <cell r="W247">
            <v>0</v>
          </cell>
          <cell r="X247">
            <v>0</v>
          </cell>
          <cell r="Y247">
            <v>0</v>
          </cell>
          <cell r="Z247">
            <v>0</v>
          </cell>
          <cell r="AA247">
            <v>0</v>
          </cell>
          <cell r="AC247">
            <v>0</v>
          </cell>
          <cell r="AD247">
            <v>0</v>
          </cell>
        </row>
        <row r="248">
          <cell r="B248">
            <v>13596</v>
          </cell>
          <cell r="C248" t="str">
            <v>BOOKS , NEWS PAPERS AND PERIODICALS (7390)</v>
          </cell>
          <cell r="D248">
            <v>220</v>
          </cell>
          <cell r="E248">
            <v>0</v>
          </cell>
          <cell r="F248">
            <v>9246</v>
          </cell>
          <cell r="G248">
            <v>0</v>
          </cell>
          <cell r="H248">
            <v>0</v>
          </cell>
          <cell r="I248">
            <v>0</v>
          </cell>
          <cell r="J248">
            <v>0</v>
          </cell>
          <cell r="K248">
            <v>0</v>
          </cell>
          <cell r="L248">
            <v>6598</v>
          </cell>
          <cell r="M248">
            <v>0</v>
          </cell>
          <cell r="N248">
            <v>0</v>
          </cell>
          <cell r="O248">
            <v>0</v>
          </cell>
          <cell r="P248">
            <v>9466</v>
          </cell>
          <cell r="Q248">
            <v>0</v>
          </cell>
          <cell r="S248">
            <v>6818</v>
          </cell>
          <cell r="T248">
            <v>9246</v>
          </cell>
          <cell r="U248">
            <v>4832</v>
          </cell>
          <cell r="V248">
            <v>1366</v>
          </cell>
          <cell r="W248">
            <v>1986</v>
          </cell>
          <cell r="X248">
            <v>7880</v>
          </cell>
          <cell r="Y248">
            <v>1986</v>
          </cell>
          <cell r="Z248">
            <v>7880</v>
          </cell>
          <cell r="AA248">
            <v>9866</v>
          </cell>
          <cell r="AC248">
            <v>13596</v>
          </cell>
          <cell r="AD248">
            <v>0</v>
          </cell>
        </row>
        <row r="249">
          <cell r="S249">
            <v>0</v>
          </cell>
          <cell r="T249">
            <v>0</v>
          </cell>
          <cell r="U249">
            <v>0</v>
          </cell>
          <cell r="V249">
            <v>0</v>
          </cell>
          <cell r="W249">
            <v>0</v>
          </cell>
          <cell r="X249">
            <v>0</v>
          </cell>
          <cell r="Y249">
            <v>0</v>
          </cell>
          <cell r="Z249">
            <v>0</v>
          </cell>
          <cell r="AA249">
            <v>0</v>
          </cell>
          <cell r="AC249">
            <v>0</v>
          </cell>
          <cell r="AD249">
            <v>0</v>
          </cell>
        </row>
        <row r="250">
          <cell r="B250">
            <v>13599</v>
          </cell>
          <cell r="C250" t="str">
            <v>SUBSCRIPTION - OTHERS (7400,7405)</v>
          </cell>
          <cell r="D250">
            <v>157842</v>
          </cell>
          <cell r="E250">
            <v>-31500</v>
          </cell>
          <cell r="F250">
            <v>117467</v>
          </cell>
          <cell r="G250">
            <v>0</v>
          </cell>
          <cell r="H250">
            <v>0</v>
          </cell>
          <cell r="I250">
            <v>0</v>
          </cell>
          <cell r="J250">
            <v>0</v>
          </cell>
          <cell r="K250">
            <v>0</v>
          </cell>
          <cell r="L250">
            <v>363902</v>
          </cell>
          <cell r="M250">
            <v>-53354</v>
          </cell>
          <cell r="N250">
            <v>0</v>
          </cell>
          <cell r="O250">
            <v>0</v>
          </cell>
          <cell r="P250">
            <v>275309</v>
          </cell>
          <cell r="Q250">
            <v>-31500</v>
          </cell>
          <cell r="S250">
            <v>436890</v>
          </cell>
          <cell r="T250">
            <v>117467</v>
          </cell>
          <cell r="U250">
            <v>294318</v>
          </cell>
          <cell r="V250">
            <v>92867</v>
          </cell>
          <cell r="W250">
            <v>142572</v>
          </cell>
          <cell r="X250">
            <v>24600</v>
          </cell>
          <cell r="Y250">
            <v>142572</v>
          </cell>
          <cell r="Z250">
            <v>24600</v>
          </cell>
          <cell r="AA250">
            <v>167172</v>
          </cell>
          <cell r="AC250">
            <v>13599</v>
          </cell>
          <cell r="AD250">
            <v>0</v>
          </cell>
        </row>
        <row r="251">
          <cell r="S251">
            <v>0</v>
          </cell>
          <cell r="T251">
            <v>0</v>
          </cell>
          <cell r="U251">
            <v>0</v>
          </cell>
          <cell r="V251">
            <v>0</v>
          </cell>
          <cell r="W251">
            <v>0</v>
          </cell>
          <cell r="X251">
            <v>0</v>
          </cell>
          <cell r="Y251">
            <v>0</v>
          </cell>
          <cell r="Z251">
            <v>0</v>
          </cell>
          <cell r="AA251">
            <v>0</v>
          </cell>
          <cell r="AC251">
            <v>0</v>
          </cell>
          <cell r="AD251">
            <v>0</v>
          </cell>
        </row>
        <row r="252">
          <cell r="B252">
            <v>13600</v>
          </cell>
          <cell r="C252" t="str">
            <v>POSTAGE/ TELEGRAM/ COURIER (7410)</v>
          </cell>
          <cell r="D252">
            <v>222510.4</v>
          </cell>
          <cell r="E252">
            <v>0</v>
          </cell>
          <cell r="F252">
            <v>145395.5</v>
          </cell>
          <cell r="G252">
            <v>0</v>
          </cell>
          <cell r="H252">
            <v>0</v>
          </cell>
          <cell r="I252">
            <v>0</v>
          </cell>
          <cell r="J252">
            <v>0</v>
          </cell>
          <cell r="K252">
            <v>0</v>
          </cell>
          <cell r="L252">
            <v>295185</v>
          </cell>
          <cell r="M252">
            <v>-26509</v>
          </cell>
          <cell r="N252">
            <v>0</v>
          </cell>
          <cell r="O252">
            <v>0</v>
          </cell>
          <cell r="P252">
            <v>367905.9</v>
          </cell>
          <cell r="Q252">
            <v>0</v>
          </cell>
          <cell r="S252">
            <v>491186.4</v>
          </cell>
          <cell r="T252">
            <v>145395.5</v>
          </cell>
          <cell r="U252">
            <v>287067</v>
          </cell>
          <cell r="V252">
            <v>136741.57</v>
          </cell>
          <cell r="W252">
            <v>204119.40000000002</v>
          </cell>
          <cell r="X252">
            <v>8653.929999999993</v>
          </cell>
          <cell r="Y252">
            <v>204119.40000000002</v>
          </cell>
          <cell r="Z252">
            <v>8653.929999999993</v>
          </cell>
          <cell r="AA252">
            <v>212773.33000000002</v>
          </cell>
          <cell r="AC252">
            <v>13600</v>
          </cell>
          <cell r="AD252">
            <v>0</v>
          </cell>
        </row>
        <row r="253">
          <cell r="S253">
            <v>0</v>
          </cell>
          <cell r="T253">
            <v>0</v>
          </cell>
          <cell r="U253">
            <v>0</v>
          </cell>
          <cell r="V253">
            <v>0</v>
          </cell>
          <cell r="W253">
            <v>0</v>
          </cell>
          <cell r="X253">
            <v>0</v>
          </cell>
          <cell r="Y253">
            <v>0</v>
          </cell>
          <cell r="Z253">
            <v>0</v>
          </cell>
          <cell r="AA253">
            <v>0</v>
          </cell>
          <cell r="AC253">
            <v>0</v>
          </cell>
          <cell r="AD253">
            <v>0</v>
          </cell>
        </row>
        <row r="254">
          <cell r="B254">
            <v>13601</v>
          </cell>
          <cell r="C254" t="str">
            <v>EXPORT EXPENSES (7415)</v>
          </cell>
          <cell r="D254">
            <v>706268</v>
          </cell>
          <cell r="E254">
            <v>-75</v>
          </cell>
          <cell r="F254">
            <v>452108</v>
          </cell>
          <cell r="G254">
            <v>0</v>
          </cell>
          <cell r="H254">
            <v>0</v>
          </cell>
          <cell r="I254">
            <v>0</v>
          </cell>
          <cell r="J254">
            <v>0</v>
          </cell>
          <cell r="K254">
            <v>0</v>
          </cell>
          <cell r="L254">
            <v>12238</v>
          </cell>
          <cell r="M254">
            <v>0</v>
          </cell>
          <cell r="N254">
            <v>0</v>
          </cell>
          <cell r="O254">
            <v>0</v>
          </cell>
          <cell r="P254">
            <v>1158376</v>
          </cell>
          <cell r="Q254">
            <v>-75</v>
          </cell>
          <cell r="S254">
            <v>718431</v>
          </cell>
          <cell r="T254">
            <v>452108</v>
          </cell>
          <cell r="U254">
            <v>470178</v>
          </cell>
          <cell r="V254">
            <v>306608</v>
          </cell>
          <cell r="W254">
            <v>248253</v>
          </cell>
          <cell r="X254">
            <v>145500</v>
          </cell>
          <cell r="Y254">
            <v>248253</v>
          </cell>
          <cell r="Z254">
            <v>145500</v>
          </cell>
          <cell r="AA254">
            <v>393753</v>
          </cell>
          <cell r="AC254">
            <v>13601</v>
          </cell>
          <cell r="AD254">
            <v>0</v>
          </cell>
        </row>
        <row r="255">
          <cell r="S255">
            <v>0</v>
          </cell>
          <cell r="T255">
            <v>0</v>
          </cell>
          <cell r="U255">
            <v>0</v>
          </cell>
          <cell r="V255">
            <v>0</v>
          </cell>
          <cell r="W255">
            <v>0</v>
          </cell>
          <cell r="X255">
            <v>0</v>
          </cell>
          <cell r="Y255">
            <v>0</v>
          </cell>
          <cell r="Z255">
            <v>0</v>
          </cell>
          <cell r="AA255">
            <v>0</v>
          </cell>
          <cell r="AC255">
            <v>0</v>
          </cell>
          <cell r="AD255">
            <v>0</v>
          </cell>
        </row>
        <row r="256">
          <cell r="B256">
            <v>13602</v>
          </cell>
          <cell r="C256" t="str">
            <v>SELLING EXPENSES (SAMPLES) (7420)</v>
          </cell>
          <cell r="D256">
            <v>1452113</v>
          </cell>
          <cell r="E256">
            <v>-47773</v>
          </cell>
          <cell r="F256">
            <v>121086.69</v>
          </cell>
          <cell r="G256">
            <v>-10966</v>
          </cell>
          <cell r="H256">
            <v>0</v>
          </cell>
          <cell r="I256">
            <v>0</v>
          </cell>
          <cell r="J256">
            <v>0</v>
          </cell>
          <cell r="K256">
            <v>0</v>
          </cell>
          <cell r="L256">
            <v>0</v>
          </cell>
          <cell r="M256">
            <v>0</v>
          </cell>
          <cell r="N256">
            <v>0</v>
          </cell>
          <cell r="O256">
            <v>0</v>
          </cell>
          <cell r="P256">
            <v>1573199.69</v>
          </cell>
          <cell r="Q256">
            <v>-58739</v>
          </cell>
          <cell r="S256">
            <v>1404340</v>
          </cell>
          <cell r="T256">
            <v>110120.69</v>
          </cell>
          <cell r="U256">
            <v>1200610</v>
          </cell>
          <cell r="V256">
            <v>68257.13</v>
          </cell>
          <cell r="W256">
            <v>203730</v>
          </cell>
          <cell r="X256">
            <v>41863.56</v>
          </cell>
          <cell r="Y256">
            <v>203730</v>
          </cell>
          <cell r="Z256">
            <v>41863.56</v>
          </cell>
          <cell r="AA256">
            <v>245593.56</v>
          </cell>
          <cell r="AC256">
            <v>13602</v>
          </cell>
          <cell r="AD256">
            <v>0</v>
          </cell>
        </row>
        <row r="257">
          <cell r="S257">
            <v>0</v>
          </cell>
          <cell r="T257">
            <v>0</v>
          </cell>
          <cell r="U257">
            <v>0</v>
          </cell>
          <cell r="V257">
            <v>0</v>
          </cell>
          <cell r="W257">
            <v>0</v>
          </cell>
          <cell r="X257">
            <v>0</v>
          </cell>
          <cell r="Y257">
            <v>0</v>
          </cell>
          <cell r="Z257">
            <v>0</v>
          </cell>
          <cell r="AA257">
            <v>0</v>
          </cell>
          <cell r="AC257">
            <v>0</v>
          </cell>
          <cell r="AD257">
            <v>0</v>
          </cell>
        </row>
        <row r="258">
          <cell r="B258">
            <v>13603</v>
          </cell>
          <cell r="C258" t="str">
            <v>ADVERTISEMENT (7430)</v>
          </cell>
          <cell r="D258">
            <v>40100</v>
          </cell>
          <cell r="E258">
            <v>0</v>
          </cell>
          <cell r="F258">
            <v>50000</v>
          </cell>
          <cell r="G258">
            <v>0</v>
          </cell>
          <cell r="H258">
            <v>0</v>
          </cell>
          <cell r="I258">
            <v>0</v>
          </cell>
          <cell r="J258">
            <v>0</v>
          </cell>
          <cell r="K258">
            <v>0</v>
          </cell>
          <cell r="L258">
            <v>6512</v>
          </cell>
          <cell r="M258">
            <v>0</v>
          </cell>
          <cell r="N258">
            <v>0</v>
          </cell>
          <cell r="O258">
            <v>0</v>
          </cell>
          <cell r="P258">
            <v>90100</v>
          </cell>
          <cell r="Q258">
            <v>0</v>
          </cell>
          <cell r="S258">
            <v>46612</v>
          </cell>
          <cell r="T258">
            <v>50000</v>
          </cell>
          <cell r="U258">
            <v>15225</v>
          </cell>
          <cell r="V258">
            <v>50000</v>
          </cell>
          <cell r="W258">
            <v>31387</v>
          </cell>
          <cell r="X258">
            <v>0</v>
          </cell>
          <cell r="Y258">
            <v>31387</v>
          </cell>
          <cell r="Z258">
            <v>0</v>
          </cell>
          <cell r="AA258">
            <v>31387</v>
          </cell>
          <cell r="AC258">
            <v>13603</v>
          </cell>
          <cell r="AD258">
            <v>0</v>
          </cell>
        </row>
        <row r="259">
          <cell r="S259">
            <v>0</v>
          </cell>
          <cell r="T259">
            <v>0</v>
          </cell>
          <cell r="U259">
            <v>0</v>
          </cell>
          <cell r="V259">
            <v>0</v>
          </cell>
          <cell r="W259">
            <v>0</v>
          </cell>
          <cell r="X259">
            <v>0</v>
          </cell>
          <cell r="Y259">
            <v>0</v>
          </cell>
          <cell r="Z259">
            <v>0</v>
          </cell>
          <cell r="AA259">
            <v>0</v>
          </cell>
          <cell r="AC259">
            <v>0</v>
          </cell>
          <cell r="AD259">
            <v>0</v>
          </cell>
        </row>
        <row r="260">
          <cell r="B260">
            <v>13604</v>
          </cell>
          <cell r="C260" t="str">
            <v>MEETING &amp; CONFERENCE EXPENSES (7435)</v>
          </cell>
          <cell r="D260">
            <v>275923</v>
          </cell>
          <cell r="E260">
            <v>-750</v>
          </cell>
          <cell r="F260">
            <v>236463</v>
          </cell>
          <cell r="G260">
            <v>-10400</v>
          </cell>
          <cell r="H260">
            <v>0</v>
          </cell>
          <cell r="I260">
            <v>0</v>
          </cell>
          <cell r="J260">
            <v>0</v>
          </cell>
          <cell r="K260">
            <v>0</v>
          </cell>
          <cell r="L260">
            <v>2303703.0499999998</v>
          </cell>
          <cell r="M260">
            <v>-7383</v>
          </cell>
          <cell r="N260">
            <v>0</v>
          </cell>
          <cell r="O260">
            <v>0</v>
          </cell>
          <cell r="P260">
            <v>512386</v>
          </cell>
          <cell r="Q260">
            <v>-11150</v>
          </cell>
          <cell r="S260">
            <v>2571493.0499999998</v>
          </cell>
          <cell r="T260">
            <v>226063</v>
          </cell>
          <cell r="U260">
            <v>2105040.15</v>
          </cell>
          <cell r="V260">
            <v>184888</v>
          </cell>
          <cell r="W260">
            <v>466452.89999999991</v>
          </cell>
          <cell r="X260">
            <v>41175</v>
          </cell>
          <cell r="Y260">
            <v>466452.89999999991</v>
          </cell>
          <cell r="Z260">
            <v>41175</v>
          </cell>
          <cell r="AA260">
            <v>507627.89999999991</v>
          </cell>
          <cell r="AC260">
            <v>13604</v>
          </cell>
          <cell r="AD260">
            <v>0</v>
          </cell>
        </row>
        <row r="261">
          <cell r="S261">
            <v>0</v>
          </cell>
          <cell r="T261">
            <v>0</v>
          </cell>
          <cell r="U261">
            <v>0</v>
          </cell>
          <cell r="V261">
            <v>0</v>
          </cell>
          <cell r="W261">
            <v>0</v>
          </cell>
          <cell r="X261">
            <v>0</v>
          </cell>
          <cell r="Y261">
            <v>0</v>
          </cell>
          <cell r="Z261">
            <v>0</v>
          </cell>
          <cell r="AA261">
            <v>0</v>
          </cell>
          <cell r="AC261">
            <v>0</v>
          </cell>
          <cell r="AD261">
            <v>0</v>
          </cell>
        </row>
        <row r="262">
          <cell r="B262">
            <v>13605</v>
          </cell>
          <cell r="C262" t="str">
            <v>ENTERTAINMENT EXPENSES (7440)</v>
          </cell>
          <cell r="D262">
            <v>46198.48</v>
          </cell>
          <cell r="E262">
            <v>-165</v>
          </cell>
          <cell r="F262">
            <v>49250</v>
          </cell>
          <cell r="G262">
            <v>-2200</v>
          </cell>
          <cell r="H262">
            <v>0</v>
          </cell>
          <cell r="I262">
            <v>0</v>
          </cell>
          <cell r="J262">
            <v>0</v>
          </cell>
          <cell r="K262">
            <v>0</v>
          </cell>
          <cell r="L262">
            <v>51800.04</v>
          </cell>
          <cell r="M262">
            <v>0</v>
          </cell>
          <cell r="N262">
            <v>0</v>
          </cell>
          <cell r="O262">
            <v>0</v>
          </cell>
          <cell r="P262">
            <v>95448.48</v>
          </cell>
          <cell r="Q262">
            <v>-2365</v>
          </cell>
          <cell r="S262">
            <v>97833.52</v>
          </cell>
          <cell r="T262">
            <v>47050</v>
          </cell>
          <cell r="U262">
            <v>42000.04</v>
          </cell>
          <cell r="V262">
            <v>36595</v>
          </cell>
          <cell r="W262">
            <v>55833.48</v>
          </cell>
          <cell r="X262">
            <v>10455</v>
          </cell>
          <cell r="Y262">
            <v>55833.48</v>
          </cell>
          <cell r="Z262">
            <v>10455</v>
          </cell>
          <cell r="AA262">
            <v>66288.48000000001</v>
          </cell>
          <cell r="AC262">
            <v>13605</v>
          </cell>
          <cell r="AD262">
            <v>0</v>
          </cell>
        </row>
        <row r="263">
          <cell r="S263">
            <v>0</v>
          </cell>
          <cell r="T263">
            <v>0</v>
          </cell>
          <cell r="U263">
            <v>0</v>
          </cell>
          <cell r="V263">
            <v>0</v>
          </cell>
          <cell r="W263">
            <v>0</v>
          </cell>
          <cell r="X263">
            <v>0</v>
          </cell>
          <cell r="Y263">
            <v>0</v>
          </cell>
          <cell r="Z263">
            <v>0</v>
          </cell>
          <cell r="AA263">
            <v>0</v>
          </cell>
          <cell r="AC263">
            <v>0</v>
          </cell>
          <cell r="AD263">
            <v>0</v>
          </cell>
        </row>
        <row r="264">
          <cell r="B264">
            <v>13606</v>
          </cell>
          <cell r="C264" t="str">
            <v>SYSTEM EXPENSES (7445)</v>
          </cell>
          <cell r="D264">
            <v>111530</v>
          </cell>
          <cell r="E264">
            <v>-24153</v>
          </cell>
          <cell r="F264">
            <v>66070</v>
          </cell>
          <cell r="G264">
            <v>-11708</v>
          </cell>
          <cell r="H264">
            <v>116250</v>
          </cell>
          <cell r="I264">
            <v>-116250</v>
          </cell>
          <cell r="J264">
            <v>35000</v>
          </cell>
          <cell r="K264">
            <v>-35000</v>
          </cell>
          <cell r="L264">
            <v>4829721.41</v>
          </cell>
          <cell r="M264">
            <v>-981189</v>
          </cell>
          <cell r="N264">
            <v>0</v>
          </cell>
          <cell r="O264">
            <v>0</v>
          </cell>
          <cell r="P264">
            <v>328850</v>
          </cell>
          <cell r="Q264">
            <v>-187111</v>
          </cell>
          <cell r="S264">
            <v>3935909.41</v>
          </cell>
          <cell r="T264">
            <v>54362</v>
          </cell>
          <cell r="U264">
            <v>2691991.91</v>
          </cell>
          <cell r="V264">
            <v>14607</v>
          </cell>
          <cell r="W264">
            <v>1243917.5</v>
          </cell>
          <cell r="X264">
            <v>39755</v>
          </cell>
          <cell r="Y264">
            <v>1243917.5</v>
          </cell>
          <cell r="Z264">
            <v>39755</v>
          </cell>
          <cell r="AA264">
            <v>1283672.5</v>
          </cell>
          <cell r="AC264">
            <v>13606</v>
          </cell>
          <cell r="AD264">
            <v>0</v>
          </cell>
        </row>
        <row r="265">
          <cell r="S265">
            <v>0</v>
          </cell>
          <cell r="T265">
            <v>0</v>
          </cell>
          <cell r="U265">
            <v>0</v>
          </cell>
          <cell r="V265">
            <v>0</v>
          </cell>
          <cell r="W265">
            <v>0</v>
          </cell>
          <cell r="X265">
            <v>0</v>
          </cell>
          <cell r="Y265">
            <v>0</v>
          </cell>
          <cell r="Z265">
            <v>0</v>
          </cell>
          <cell r="AA265">
            <v>0</v>
          </cell>
          <cell r="AC265">
            <v>0</v>
          </cell>
          <cell r="AD265">
            <v>0</v>
          </cell>
        </row>
        <row r="266">
          <cell r="B266">
            <v>13607</v>
          </cell>
          <cell r="C266" t="str">
            <v>ISO EXPENSES (7455)</v>
          </cell>
          <cell r="D266">
            <v>155800</v>
          </cell>
          <cell r="E266">
            <v>0</v>
          </cell>
          <cell r="F266">
            <v>113945</v>
          </cell>
          <cell r="G266">
            <v>0</v>
          </cell>
          <cell r="H266">
            <v>0</v>
          </cell>
          <cell r="I266">
            <v>0</v>
          </cell>
          <cell r="J266">
            <v>0</v>
          </cell>
          <cell r="K266">
            <v>0</v>
          </cell>
          <cell r="L266">
            <v>0</v>
          </cell>
          <cell r="M266">
            <v>0</v>
          </cell>
          <cell r="N266">
            <v>0</v>
          </cell>
          <cell r="O266">
            <v>0</v>
          </cell>
          <cell r="P266">
            <v>269745</v>
          </cell>
          <cell r="Q266">
            <v>0</v>
          </cell>
          <cell r="S266">
            <v>155800</v>
          </cell>
          <cell r="T266">
            <v>113945</v>
          </cell>
          <cell r="U266">
            <v>131000</v>
          </cell>
          <cell r="V266">
            <v>89200</v>
          </cell>
          <cell r="W266">
            <v>24800</v>
          </cell>
          <cell r="X266">
            <v>24745</v>
          </cell>
          <cell r="Y266">
            <v>24800</v>
          </cell>
          <cell r="Z266">
            <v>24745</v>
          </cell>
          <cell r="AA266">
            <v>49545</v>
          </cell>
          <cell r="AC266">
            <v>13607</v>
          </cell>
          <cell r="AD266">
            <v>0</v>
          </cell>
        </row>
        <row r="267">
          <cell r="S267">
            <v>0</v>
          </cell>
          <cell r="T267">
            <v>0</v>
          </cell>
          <cell r="U267">
            <v>0</v>
          </cell>
          <cell r="V267">
            <v>0</v>
          </cell>
          <cell r="W267">
            <v>0</v>
          </cell>
          <cell r="X267">
            <v>0</v>
          </cell>
          <cell r="Y267">
            <v>0</v>
          </cell>
          <cell r="Z267">
            <v>0</v>
          </cell>
          <cell r="AA267">
            <v>0</v>
          </cell>
          <cell r="AC267">
            <v>0</v>
          </cell>
          <cell r="AD267">
            <v>0</v>
          </cell>
        </row>
        <row r="268">
          <cell r="B268">
            <v>13608</v>
          </cell>
          <cell r="C268" t="str">
            <v>GENERAL EXPENSES (7470-71)</v>
          </cell>
          <cell r="D268">
            <v>2619640.85</v>
          </cell>
          <cell r="E268">
            <v>-237524.04</v>
          </cell>
          <cell r="F268">
            <v>1698395.4</v>
          </cell>
          <cell r="G268">
            <v>-59445</v>
          </cell>
          <cell r="H268">
            <v>0</v>
          </cell>
          <cell r="I268">
            <v>0</v>
          </cell>
          <cell r="J268">
            <v>0</v>
          </cell>
          <cell r="K268">
            <v>0</v>
          </cell>
          <cell r="L268">
            <v>820267</v>
          </cell>
          <cell r="M268">
            <v>-6180</v>
          </cell>
          <cell r="N268">
            <v>0</v>
          </cell>
          <cell r="O268">
            <v>0</v>
          </cell>
          <cell r="P268">
            <v>4318036.25</v>
          </cell>
          <cell r="Q268">
            <v>-296969.03999999998</v>
          </cell>
          <cell r="S268">
            <v>3196203.81</v>
          </cell>
          <cell r="T268">
            <v>1638950.4</v>
          </cell>
          <cell r="U268">
            <v>1908451.21</v>
          </cell>
          <cell r="V268">
            <v>1175232.3999999999</v>
          </cell>
          <cell r="W268">
            <v>1287752.6000000001</v>
          </cell>
          <cell r="X268">
            <v>463718</v>
          </cell>
          <cell r="Y268">
            <v>1287752.6000000001</v>
          </cell>
          <cell r="Z268">
            <v>463718</v>
          </cell>
          <cell r="AA268">
            <v>1751470.6</v>
          </cell>
          <cell r="AC268">
            <v>13608</v>
          </cell>
          <cell r="AD268">
            <v>0</v>
          </cell>
        </row>
        <row r="269">
          <cell r="S269">
            <v>0</v>
          </cell>
          <cell r="T269">
            <v>0</v>
          </cell>
          <cell r="U269">
            <v>0</v>
          </cell>
          <cell r="V269">
            <v>0</v>
          </cell>
          <cell r="W269">
            <v>0</v>
          </cell>
          <cell r="X269">
            <v>0</v>
          </cell>
          <cell r="Y269">
            <v>0</v>
          </cell>
          <cell r="Z269">
            <v>0</v>
          </cell>
          <cell r="AA269">
            <v>0</v>
          </cell>
          <cell r="AC269">
            <v>0</v>
          </cell>
          <cell r="AD269">
            <v>0</v>
          </cell>
        </row>
        <row r="270">
          <cell r="B270">
            <v>13609</v>
          </cell>
          <cell r="C270" t="str">
            <v>GIFT &amp; PRESENTATION (7472-74)</v>
          </cell>
          <cell r="D270">
            <v>11629</v>
          </cell>
          <cell r="E270">
            <v>0</v>
          </cell>
          <cell r="F270">
            <v>34626</v>
          </cell>
          <cell r="G270">
            <v>0</v>
          </cell>
          <cell r="H270">
            <v>0</v>
          </cell>
          <cell r="I270">
            <v>0</v>
          </cell>
          <cell r="J270">
            <v>0</v>
          </cell>
          <cell r="K270">
            <v>0</v>
          </cell>
          <cell r="L270">
            <v>120840</v>
          </cell>
          <cell r="M270">
            <v>0</v>
          </cell>
          <cell r="N270">
            <v>0</v>
          </cell>
          <cell r="O270">
            <v>0</v>
          </cell>
          <cell r="P270">
            <v>46255</v>
          </cell>
          <cell r="Q270">
            <v>0</v>
          </cell>
          <cell r="S270">
            <v>132469</v>
          </cell>
          <cell r="T270">
            <v>34626</v>
          </cell>
          <cell r="U270">
            <v>99803</v>
          </cell>
          <cell r="V270">
            <v>34626</v>
          </cell>
          <cell r="W270">
            <v>32666</v>
          </cell>
          <cell r="X270">
            <v>0</v>
          </cell>
          <cell r="Y270">
            <v>32666</v>
          </cell>
          <cell r="Z270">
            <v>0</v>
          </cell>
          <cell r="AA270">
            <v>32666</v>
          </cell>
          <cell r="AC270">
            <v>13609</v>
          </cell>
          <cell r="AD270">
            <v>0</v>
          </cell>
        </row>
        <row r="271">
          <cell r="S271">
            <v>0</v>
          </cell>
          <cell r="T271">
            <v>0</v>
          </cell>
          <cell r="U271">
            <v>0</v>
          </cell>
          <cell r="V271">
            <v>0</v>
          </cell>
          <cell r="W271">
            <v>0</v>
          </cell>
          <cell r="X271">
            <v>0</v>
          </cell>
          <cell r="Y271">
            <v>0</v>
          </cell>
          <cell r="Z271">
            <v>0</v>
          </cell>
          <cell r="AA271">
            <v>0</v>
          </cell>
          <cell r="AC271">
            <v>0</v>
          </cell>
          <cell r="AD271">
            <v>0</v>
          </cell>
        </row>
        <row r="272">
          <cell r="B272">
            <v>13610</v>
          </cell>
          <cell r="C272" t="str">
            <v>CORPORATE EXPENSES (CENTRAL SERVICES) (7475)</v>
          </cell>
          <cell r="D272">
            <v>700001</v>
          </cell>
          <cell r="E272">
            <v>-20060001</v>
          </cell>
          <cell r="F272">
            <v>14800000</v>
          </cell>
          <cell r="G272">
            <v>0</v>
          </cell>
          <cell r="H272">
            <v>0</v>
          </cell>
          <cell r="I272">
            <v>0</v>
          </cell>
          <cell r="J272">
            <v>0</v>
          </cell>
          <cell r="K272">
            <v>0</v>
          </cell>
          <cell r="L272">
            <v>0</v>
          </cell>
          <cell r="M272">
            <v>0</v>
          </cell>
          <cell r="N272">
            <v>0</v>
          </cell>
          <cell r="O272">
            <v>0</v>
          </cell>
          <cell r="P272">
            <v>15500001</v>
          </cell>
          <cell r="Q272">
            <v>-20060001</v>
          </cell>
          <cell r="S272">
            <v>-19360000</v>
          </cell>
          <cell r="T272">
            <v>14800000</v>
          </cell>
          <cell r="U272">
            <v>-19360000</v>
          </cell>
          <cell r="V272">
            <v>14800000</v>
          </cell>
          <cell r="W272">
            <v>0</v>
          </cell>
          <cell r="X272">
            <v>0</v>
          </cell>
          <cell r="Y272">
            <v>0</v>
          </cell>
          <cell r="Z272">
            <v>0</v>
          </cell>
          <cell r="AA272">
            <v>0</v>
          </cell>
          <cell r="AC272">
            <v>13610</v>
          </cell>
          <cell r="AD272">
            <v>0</v>
          </cell>
        </row>
        <row r="273">
          <cell r="S273">
            <v>0</v>
          </cell>
          <cell r="T273">
            <v>0</v>
          </cell>
          <cell r="U273">
            <v>0</v>
          </cell>
          <cell r="V273">
            <v>0</v>
          </cell>
          <cell r="W273">
            <v>0</v>
          </cell>
          <cell r="X273">
            <v>0</v>
          </cell>
          <cell r="Y273">
            <v>0</v>
          </cell>
          <cell r="Z273">
            <v>0</v>
          </cell>
          <cell r="AA273">
            <v>0</v>
          </cell>
          <cell r="AC273">
            <v>0</v>
          </cell>
          <cell r="AD273">
            <v>0</v>
          </cell>
        </row>
        <row r="274">
          <cell r="B274">
            <v>13611</v>
          </cell>
          <cell r="C274" t="str">
            <v>STAFF TRAINING (7480)</v>
          </cell>
          <cell r="D274">
            <v>55210</v>
          </cell>
          <cell r="E274">
            <v>0</v>
          </cell>
          <cell r="F274">
            <v>46798</v>
          </cell>
          <cell r="G274">
            <v>0</v>
          </cell>
          <cell r="H274">
            <v>0</v>
          </cell>
          <cell r="I274">
            <v>0</v>
          </cell>
          <cell r="J274">
            <v>0</v>
          </cell>
          <cell r="K274">
            <v>0</v>
          </cell>
          <cell r="L274">
            <v>27000</v>
          </cell>
          <cell r="M274">
            <v>0</v>
          </cell>
          <cell r="N274">
            <v>0</v>
          </cell>
          <cell r="O274">
            <v>0</v>
          </cell>
          <cell r="P274">
            <v>102008</v>
          </cell>
          <cell r="Q274">
            <v>0</v>
          </cell>
          <cell r="S274">
            <v>82210</v>
          </cell>
          <cell r="T274">
            <v>46798</v>
          </cell>
          <cell r="U274">
            <v>47000</v>
          </cell>
          <cell r="V274">
            <v>1798</v>
          </cell>
          <cell r="W274">
            <v>35210</v>
          </cell>
          <cell r="X274">
            <v>45000</v>
          </cell>
          <cell r="Y274">
            <v>35210</v>
          </cell>
          <cell r="Z274">
            <v>45000</v>
          </cell>
          <cell r="AA274">
            <v>80210</v>
          </cell>
          <cell r="AC274">
            <v>13611</v>
          </cell>
          <cell r="AD274">
            <v>0</v>
          </cell>
        </row>
        <row r="275">
          <cell r="S275">
            <v>0</v>
          </cell>
          <cell r="T275">
            <v>0</v>
          </cell>
          <cell r="U275">
            <v>0</v>
          </cell>
          <cell r="V275">
            <v>0</v>
          </cell>
          <cell r="W275">
            <v>0</v>
          </cell>
          <cell r="X275">
            <v>0</v>
          </cell>
          <cell r="Y275">
            <v>0</v>
          </cell>
          <cell r="Z275">
            <v>0</v>
          </cell>
          <cell r="AA275">
            <v>0</v>
          </cell>
          <cell r="AC275">
            <v>0</v>
          </cell>
          <cell r="AD275">
            <v>0</v>
          </cell>
        </row>
        <row r="276">
          <cell r="B276">
            <v>13612</v>
          </cell>
          <cell r="C276" t="str">
            <v>RECRUITMENT EXPENSES (7485)</v>
          </cell>
          <cell r="D276">
            <v>61100</v>
          </cell>
          <cell r="E276">
            <v>0</v>
          </cell>
          <cell r="F276">
            <v>111657</v>
          </cell>
          <cell r="G276">
            <v>0</v>
          </cell>
          <cell r="H276">
            <v>0</v>
          </cell>
          <cell r="I276">
            <v>0</v>
          </cell>
          <cell r="J276">
            <v>0</v>
          </cell>
          <cell r="K276">
            <v>0</v>
          </cell>
          <cell r="L276">
            <v>76007</v>
          </cell>
          <cell r="M276">
            <v>0</v>
          </cell>
          <cell r="N276">
            <v>0</v>
          </cell>
          <cell r="O276">
            <v>0</v>
          </cell>
          <cell r="P276">
            <v>172757</v>
          </cell>
          <cell r="Q276">
            <v>0</v>
          </cell>
          <cell r="S276">
            <v>137107</v>
          </cell>
          <cell r="T276">
            <v>111657</v>
          </cell>
          <cell r="U276">
            <v>21530</v>
          </cell>
          <cell r="V276">
            <v>110457</v>
          </cell>
          <cell r="W276">
            <v>115577</v>
          </cell>
          <cell r="X276">
            <v>1200</v>
          </cell>
          <cell r="Y276">
            <v>115577</v>
          </cell>
          <cell r="Z276">
            <v>1200</v>
          </cell>
          <cell r="AA276">
            <v>116777</v>
          </cell>
          <cell r="AC276">
            <v>13612</v>
          </cell>
          <cell r="AD276">
            <v>0</v>
          </cell>
        </row>
        <row r="277">
          <cell r="S277">
            <v>0</v>
          </cell>
          <cell r="T277">
            <v>0</v>
          </cell>
          <cell r="U277">
            <v>0</v>
          </cell>
          <cell r="V277">
            <v>0</v>
          </cell>
          <cell r="W277">
            <v>0</v>
          </cell>
          <cell r="X277">
            <v>0</v>
          </cell>
          <cell r="Y277">
            <v>0</v>
          </cell>
          <cell r="Z277">
            <v>0</v>
          </cell>
          <cell r="AA277">
            <v>0</v>
          </cell>
          <cell r="AC277">
            <v>0</v>
          </cell>
          <cell r="AD277">
            <v>0</v>
          </cell>
        </row>
        <row r="278">
          <cell r="B278">
            <v>13613</v>
          </cell>
          <cell r="C278" t="str">
            <v>COURSES &amp; CONFERENCE EXP (7490)</v>
          </cell>
          <cell r="D278">
            <v>34900</v>
          </cell>
          <cell r="E278">
            <v>0</v>
          </cell>
          <cell r="F278">
            <v>131976</v>
          </cell>
          <cell r="G278">
            <v>-56726</v>
          </cell>
          <cell r="H278">
            <v>0</v>
          </cell>
          <cell r="I278">
            <v>0</v>
          </cell>
          <cell r="J278">
            <v>0</v>
          </cell>
          <cell r="K278">
            <v>0</v>
          </cell>
          <cell r="L278">
            <v>20000</v>
          </cell>
          <cell r="M278">
            <v>0</v>
          </cell>
          <cell r="N278">
            <v>0</v>
          </cell>
          <cell r="O278">
            <v>0</v>
          </cell>
          <cell r="P278">
            <v>166876</v>
          </cell>
          <cell r="Q278">
            <v>-56726</v>
          </cell>
          <cell r="S278">
            <v>54900</v>
          </cell>
          <cell r="T278">
            <v>75250</v>
          </cell>
          <cell r="U278">
            <v>20000</v>
          </cell>
          <cell r="V278">
            <v>40400</v>
          </cell>
          <cell r="W278">
            <v>34900</v>
          </cell>
          <cell r="X278">
            <v>34850</v>
          </cell>
          <cell r="Y278">
            <v>34900</v>
          </cell>
          <cell r="Z278">
            <v>34850</v>
          </cell>
          <cell r="AA278">
            <v>69750</v>
          </cell>
          <cell r="AC278">
            <v>13613</v>
          </cell>
          <cell r="AD278">
            <v>0</v>
          </cell>
        </row>
        <row r="279">
          <cell r="S279">
            <v>0</v>
          </cell>
          <cell r="T279">
            <v>0</v>
          </cell>
          <cell r="U279">
            <v>0</v>
          </cell>
          <cell r="V279">
            <v>0</v>
          </cell>
          <cell r="W279">
            <v>0</v>
          </cell>
          <cell r="X279">
            <v>0</v>
          </cell>
          <cell r="Y279">
            <v>0</v>
          </cell>
          <cell r="Z279">
            <v>0</v>
          </cell>
          <cell r="AA279">
            <v>0</v>
          </cell>
          <cell r="AC279">
            <v>0</v>
          </cell>
          <cell r="AD279">
            <v>0</v>
          </cell>
        </row>
        <row r="280">
          <cell r="B280">
            <v>13639</v>
          </cell>
          <cell r="C280" t="str">
            <v>DONATIONS (7505)</v>
          </cell>
          <cell r="D280">
            <v>5000</v>
          </cell>
          <cell r="E280">
            <v>0</v>
          </cell>
          <cell r="F280">
            <v>0</v>
          </cell>
          <cell r="G280">
            <v>0</v>
          </cell>
          <cell r="H280">
            <v>0</v>
          </cell>
          <cell r="I280">
            <v>0</v>
          </cell>
          <cell r="J280">
            <v>0</v>
          </cell>
          <cell r="K280">
            <v>0</v>
          </cell>
          <cell r="L280">
            <v>30000</v>
          </cell>
          <cell r="M280">
            <v>0</v>
          </cell>
          <cell r="N280">
            <v>0</v>
          </cell>
          <cell r="O280">
            <v>0</v>
          </cell>
          <cell r="P280">
            <v>5000</v>
          </cell>
          <cell r="Q280">
            <v>0</v>
          </cell>
          <cell r="S280">
            <v>35000</v>
          </cell>
          <cell r="T280">
            <v>0</v>
          </cell>
          <cell r="U280">
            <v>15000</v>
          </cell>
          <cell r="V280">
            <v>0</v>
          </cell>
          <cell r="W280">
            <v>20000</v>
          </cell>
          <cell r="X280">
            <v>0</v>
          </cell>
          <cell r="Y280">
            <v>20000</v>
          </cell>
          <cell r="Z280">
            <v>0</v>
          </cell>
          <cell r="AA280">
            <v>20000</v>
          </cell>
          <cell r="AC280">
            <v>13639</v>
          </cell>
          <cell r="AD280">
            <v>0</v>
          </cell>
        </row>
        <row r="281">
          <cell r="S281">
            <v>0</v>
          </cell>
          <cell r="T281">
            <v>0</v>
          </cell>
          <cell r="U281">
            <v>0</v>
          </cell>
          <cell r="V281">
            <v>0</v>
          </cell>
          <cell r="W281">
            <v>0</v>
          </cell>
          <cell r="X281">
            <v>0</v>
          </cell>
          <cell r="Y281">
            <v>0</v>
          </cell>
          <cell r="Z281">
            <v>0</v>
          </cell>
          <cell r="AA281">
            <v>0</v>
          </cell>
          <cell r="AC281">
            <v>0</v>
          </cell>
          <cell r="AD281">
            <v>0</v>
          </cell>
        </row>
        <row r="282">
          <cell r="B282">
            <v>13672</v>
          </cell>
          <cell r="C282" t="str">
            <v>LOSS ON SALE OF ASSETS (7450)</v>
          </cell>
          <cell r="D282">
            <v>58381</v>
          </cell>
          <cell r="E282">
            <v>-43538</v>
          </cell>
          <cell r="F282">
            <v>7911</v>
          </cell>
          <cell r="G282">
            <v>0</v>
          </cell>
          <cell r="H282">
            <v>0</v>
          </cell>
          <cell r="I282">
            <v>0</v>
          </cell>
          <cell r="J282">
            <v>0</v>
          </cell>
          <cell r="K282">
            <v>0</v>
          </cell>
          <cell r="L282">
            <v>0</v>
          </cell>
          <cell r="M282">
            <v>0</v>
          </cell>
          <cell r="N282">
            <v>0</v>
          </cell>
          <cell r="O282">
            <v>0</v>
          </cell>
          <cell r="P282">
            <v>66292</v>
          </cell>
          <cell r="Q282">
            <v>-43538</v>
          </cell>
          <cell r="S282">
            <v>14843</v>
          </cell>
          <cell r="T282">
            <v>7911</v>
          </cell>
          <cell r="U282">
            <v>0</v>
          </cell>
          <cell r="V282">
            <v>0</v>
          </cell>
          <cell r="W282">
            <v>14843</v>
          </cell>
          <cell r="X282">
            <v>7911</v>
          </cell>
          <cell r="Y282">
            <v>14843</v>
          </cell>
          <cell r="Z282">
            <v>7911</v>
          </cell>
          <cell r="AA282">
            <v>22754</v>
          </cell>
          <cell r="AC282">
            <v>13672</v>
          </cell>
          <cell r="AD282">
            <v>0</v>
          </cell>
        </row>
        <row r="283">
          <cell r="S283">
            <v>0</v>
          </cell>
          <cell r="T283">
            <v>0</v>
          </cell>
          <cell r="U283">
            <v>0</v>
          </cell>
          <cell r="V283">
            <v>0</v>
          </cell>
          <cell r="W283">
            <v>0</v>
          </cell>
          <cell r="X283">
            <v>0</v>
          </cell>
          <cell r="Y283">
            <v>0</v>
          </cell>
          <cell r="Z283">
            <v>0</v>
          </cell>
          <cell r="AA283">
            <v>0</v>
          </cell>
          <cell r="AC283">
            <v>0</v>
          </cell>
          <cell r="AD283">
            <v>0</v>
          </cell>
        </row>
        <row r="284">
          <cell r="B284">
            <v>13704</v>
          </cell>
          <cell r="C284" t="str">
            <v>SCREEN PRINTING CHARGES (6230)</v>
          </cell>
          <cell r="D284">
            <v>0</v>
          </cell>
          <cell r="E284">
            <v>0</v>
          </cell>
          <cell r="F284">
            <v>23912261.98</v>
          </cell>
          <cell r="G284">
            <v>-1113035</v>
          </cell>
          <cell r="H284">
            <v>0</v>
          </cell>
          <cell r="I284">
            <v>0</v>
          </cell>
          <cell r="J284">
            <v>0</v>
          </cell>
          <cell r="K284">
            <v>0</v>
          </cell>
          <cell r="L284">
            <v>0</v>
          </cell>
          <cell r="M284">
            <v>0</v>
          </cell>
          <cell r="N284">
            <v>0</v>
          </cell>
          <cell r="O284">
            <v>0</v>
          </cell>
          <cell r="P284">
            <v>23912261.98</v>
          </cell>
          <cell r="Q284">
            <v>-1113035</v>
          </cell>
          <cell r="S284">
            <v>0</v>
          </cell>
          <cell r="T284">
            <v>22799226.98</v>
          </cell>
          <cell r="U284">
            <v>0</v>
          </cell>
          <cell r="V284">
            <v>12991371</v>
          </cell>
          <cell r="W284">
            <v>0</v>
          </cell>
          <cell r="X284">
            <v>9807855.9800000004</v>
          </cell>
          <cell r="Y284">
            <v>0</v>
          </cell>
          <cell r="Z284">
            <v>9807855.9800000004</v>
          </cell>
          <cell r="AA284">
            <v>9807855.9800000004</v>
          </cell>
          <cell r="AC284">
            <v>13704</v>
          </cell>
          <cell r="AD284">
            <v>0</v>
          </cell>
        </row>
        <row r="285">
          <cell r="S285">
            <v>0</v>
          </cell>
          <cell r="T285">
            <v>0</v>
          </cell>
          <cell r="U285">
            <v>0</v>
          </cell>
          <cell r="V285">
            <v>0</v>
          </cell>
          <cell r="W285">
            <v>0</v>
          </cell>
          <cell r="X285">
            <v>0</v>
          </cell>
          <cell r="Y285">
            <v>0</v>
          </cell>
          <cell r="Z285">
            <v>0</v>
          </cell>
          <cell r="AA285">
            <v>0</v>
          </cell>
          <cell r="AC285">
            <v>0</v>
          </cell>
          <cell r="AD285">
            <v>0</v>
          </cell>
        </row>
        <row r="286">
          <cell r="B286">
            <v>13738</v>
          </cell>
          <cell r="C286" t="str">
            <v>REALISED GAIN/LOSS ON EXCHANGE (5195)</v>
          </cell>
          <cell r="D286">
            <v>4776423038455370</v>
          </cell>
          <cell r="E286">
            <v>-4776423043897620</v>
          </cell>
          <cell r="F286">
            <v>64534256.659999996</v>
          </cell>
          <cell r="G286">
            <v>-28741153.239999998</v>
          </cell>
          <cell r="H286">
            <v>0</v>
          </cell>
          <cell r="I286">
            <v>-728</v>
          </cell>
          <cell r="J286">
            <v>113111.6</v>
          </cell>
          <cell r="K286">
            <v>-113111.6</v>
          </cell>
          <cell r="L286">
            <v>391143.48</v>
          </cell>
          <cell r="M286">
            <v>0</v>
          </cell>
          <cell r="N286">
            <v>0</v>
          </cell>
          <cell r="O286">
            <v>0</v>
          </cell>
          <cell r="P286">
            <v>4776423103102740</v>
          </cell>
          <cell r="Q286">
            <v>-4776423072752610</v>
          </cell>
          <cell r="S286">
            <v>-5051106.5199999996</v>
          </cell>
          <cell r="T286">
            <v>35792375.420000002</v>
          </cell>
          <cell r="U286">
            <v>62333.48</v>
          </cell>
          <cell r="V286">
            <v>11676765.92</v>
          </cell>
          <cell r="W286">
            <v>-5113440</v>
          </cell>
          <cell r="X286">
            <v>24115609.5</v>
          </cell>
          <cell r="Y286">
            <v>-5113440</v>
          </cell>
          <cell r="Z286">
            <v>24115609.5</v>
          </cell>
          <cell r="AA286">
            <v>19002169.5</v>
          </cell>
          <cell r="AC286">
            <v>13738</v>
          </cell>
          <cell r="AD286">
            <v>0</v>
          </cell>
        </row>
        <row r="287">
          <cell r="S287">
            <v>0</v>
          </cell>
          <cell r="T287">
            <v>0</v>
          </cell>
          <cell r="U287">
            <v>0</v>
          </cell>
          <cell r="V287">
            <v>0</v>
          </cell>
          <cell r="W287">
            <v>0</v>
          </cell>
          <cell r="X287">
            <v>0</v>
          </cell>
          <cell r="Y287">
            <v>0</v>
          </cell>
          <cell r="Z287">
            <v>0</v>
          </cell>
          <cell r="AA287">
            <v>0</v>
          </cell>
          <cell r="AC287">
            <v>0</v>
          </cell>
          <cell r="AD287">
            <v>0</v>
          </cell>
        </row>
        <row r="288">
          <cell r="B288">
            <v>13739</v>
          </cell>
          <cell r="C288" t="str">
            <v>UNREALISED GAIN/LOSS ON EXCHANGE (5200)</v>
          </cell>
          <cell r="D288">
            <v>721826.49</v>
          </cell>
          <cell r="E288">
            <v>-1377659.31</v>
          </cell>
          <cell r="F288">
            <v>2812886.32</v>
          </cell>
          <cell r="G288">
            <v>-2936732.18</v>
          </cell>
          <cell r="H288">
            <v>0</v>
          </cell>
          <cell r="I288">
            <v>0</v>
          </cell>
          <cell r="J288">
            <v>0</v>
          </cell>
          <cell r="K288">
            <v>0</v>
          </cell>
          <cell r="L288">
            <v>0</v>
          </cell>
          <cell r="M288">
            <v>0</v>
          </cell>
          <cell r="N288">
            <v>0</v>
          </cell>
          <cell r="O288">
            <v>0</v>
          </cell>
          <cell r="P288">
            <v>3534712.81</v>
          </cell>
          <cell r="Q288">
            <v>-4314391.49</v>
          </cell>
          <cell r="S288">
            <v>-655832.82000000007</v>
          </cell>
          <cell r="T288">
            <v>-123845.86000000034</v>
          </cell>
          <cell r="U288">
            <v>-655832.81999999995</v>
          </cell>
          <cell r="V288">
            <v>-123845.86</v>
          </cell>
          <cell r="W288">
            <v>0</v>
          </cell>
          <cell r="X288">
            <v>-3.3469405025243759E-10</v>
          </cell>
          <cell r="Y288">
            <v>0</v>
          </cell>
          <cell r="Z288">
            <v>-3.3469405025243759E-10</v>
          </cell>
          <cell r="AA288">
            <v>-3.3469405025243759E-10</v>
          </cell>
          <cell r="AC288">
            <v>13739</v>
          </cell>
          <cell r="AD288">
            <v>0</v>
          </cell>
        </row>
        <row r="289">
          <cell r="S289">
            <v>0</v>
          </cell>
          <cell r="T289">
            <v>0</v>
          </cell>
          <cell r="U289">
            <v>0</v>
          </cell>
          <cell r="V289">
            <v>0</v>
          </cell>
          <cell r="W289">
            <v>0</v>
          </cell>
          <cell r="X289">
            <v>0</v>
          </cell>
          <cell r="Y289">
            <v>0</v>
          </cell>
          <cell r="Z289">
            <v>0</v>
          </cell>
          <cell r="AA289">
            <v>0</v>
          </cell>
          <cell r="AC289">
            <v>0</v>
          </cell>
          <cell r="AD289">
            <v>0</v>
          </cell>
        </row>
        <row r="290">
          <cell r="B290">
            <v>13740</v>
          </cell>
          <cell r="C290" t="str">
            <v>ROUND OFF DIFF IN F CURRENCY (SYS)</v>
          </cell>
          <cell r="D290">
            <v>23.06</v>
          </cell>
          <cell r="E290">
            <v>-108.86</v>
          </cell>
          <cell r="F290">
            <v>15.65</v>
          </cell>
          <cell r="G290">
            <v>-26.07</v>
          </cell>
          <cell r="H290">
            <v>0.03</v>
          </cell>
          <cell r="I290">
            <v>0</v>
          </cell>
          <cell r="J290">
            <v>0</v>
          </cell>
          <cell r="K290">
            <v>0</v>
          </cell>
          <cell r="L290">
            <v>1</v>
          </cell>
          <cell r="M290">
            <v>-0.5</v>
          </cell>
          <cell r="N290">
            <v>0</v>
          </cell>
          <cell r="O290">
            <v>0</v>
          </cell>
          <cell r="P290">
            <v>38.74</v>
          </cell>
          <cell r="Q290">
            <v>-134.93</v>
          </cell>
          <cell r="S290">
            <v>-85.3</v>
          </cell>
          <cell r="T290">
            <v>-10.39</v>
          </cell>
          <cell r="U290">
            <v>-3</v>
          </cell>
          <cell r="V290">
            <v>1.1000000000000001</v>
          </cell>
          <cell r="W290">
            <v>-82.3</v>
          </cell>
          <cell r="X290">
            <v>-11.49</v>
          </cell>
          <cell r="Y290">
            <v>-82.3</v>
          </cell>
          <cell r="Z290">
            <v>-11.49</v>
          </cell>
          <cell r="AA290">
            <v>-93.789999999999992</v>
          </cell>
          <cell r="AC290">
            <v>13740</v>
          </cell>
          <cell r="AD290">
            <v>0</v>
          </cell>
        </row>
        <row r="291">
          <cell r="S291">
            <v>0</v>
          </cell>
          <cell r="T291">
            <v>0</v>
          </cell>
          <cell r="U291">
            <v>0</v>
          </cell>
          <cell r="V291">
            <v>0</v>
          </cell>
          <cell r="W291">
            <v>0</v>
          </cell>
          <cell r="X291">
            <v>0</v>
          </cell>
          <cell r="Y291">
            <v>0</v>
          </cell>
          <cell r="Z291">
            <v>0</v>
          </cell>
          <cell r="AA291">
            <v>0</v>
          </cell>
          <cell r="AC291">
            <v>0</v>
          </cell>
          <cell r="AD291">
            <v>0</v>
          </cell>
        </row>
        <row r="292">
          <cell r="B292">
            <v>13752</v>
          </cell>
          <cell r="C292" t="str">
            <v>OPENING STOCK OF FINISHED GOODS</v>
          </cell>
          <cell r="D292">
            <v>33259021</v>
          </cell>
          <cell r="E292">
            <v>0</v>
          </cell>
          <cell r="F292">
            <v>16959103</v>
          </cell>
          <cell r="G292">
            <v>0</v>
          </cell>
          <cell r="H292">
            <v>0</v>
          </cell>
          <cell r="I292">
            <v>0</v>
          </cell>
          <cell r="J292">
            <v>0</v>
          </cell>
          <cell r="K292">
            <v>0</v>
          </cell>
          <cell r="L292">
            <v>0</v>
          </cell>
          <cell r="M292">
            <v>0</v>
          </cell>
          <cell r="N292">
            <v>0</v>
          </cell>
          <cell r="O292">
            <v>0</v>
          </cell>
          <cell r="P292">
            <v>50218124</v>
          </cell>
          <cell r="Q292">
            <v>0</v>
          </cell>
          <cell r="S292">
            <v>33259021</v>
          </cell>
          <cell r="T292">
            <v>16959103</v>
          </cell>
          <cell r="U292">
            <v>33259021</v>
          </cell>
          <cell r="V292">
            <v>16959103</v>
          </cell>
          <cell r="W292">
            <v>0</v>
          </cell>
          <cell r="X292">
            <v>0</v>
          </cell>
          <cell r="Y292">
            <v>0</v>
          </cell>
          <cell r="Z292">
            <v>0</v>
          </cell>
          <cell r="AA292">
            <v>0</v>
          </cell>
          <cell r="AC292">
            <v>13752</v>
          </cell>
          <cell r="AD292">
            <v>0</v>
          </cell>
        </row>
        <row r="293">
          <cell r="S293">
            <v>0</v>
          </cell>
          <cell r="T293">
            <v>0</v>
          </cell>
          <cell r="U293">
            <v>0</v>
          </cell>
          <cell r="V293">
            <v>0</v>
          </cell>
          <cell r="W293">
            <v>0</v>
          </cell>
          <cell r="X293">
            <v>0</v>
          </cell>
          <cell r="Y293">
            <v>0</v>
          </cell>
          <cell r="Z293">
            <v>0</v>
          </cell>
          <cell r="AA293">
            <v>0</v>
          </cell>
          <cell r="AC293">
            <v>0</v>
          </cell>
          <cell r="AD293">
            <v>0</v>
          </cell>
        </row>
        <row r="294">
          <cell r="B294">
            <v>13753</v>
          </cell>
          <cell r="C294" t="str">
            <v>OPENING STOCKS OF WIP</v>
          </cell>
          <cell r="D294">
            <v>17610560</v>
          </cell>
          <cell r="E294">
            <v>0</v>
          </cell>
          <cell r="F294">
            <v>20062837.75</v>
          </cell>
          <cell r="G294">
            <v>0</v>
          </cell>
          <cell r="H294">
            <v>0</v>
          </cell>
          <cell r="I294">
            <v>0</v>
          </cell>
          <cell r="J294">
            <v>0</v>
          </cell>
          <cell r="K294">
            <v>0</v>
          </cell>
          <cell r="L294">
            <v>0</v>
          </cell>
          <cell r="M294">
            <v>0</v>
          </cell>
          <cell r="N294">
            <v>0</v>
          </cell>
          <cell r="O294">
            <v>0</v>
          </cell>
          <cell r="P294">
            <v>37673397.75</v>
          </cell>
          <cell r="Q294">
            <v>0</v>
          </cell>
          <cell r="S294">
            <v>17610560</v>
          </cell>
          <cell r="T294">
            <v>20062837.75</v>
          </cell>
          <cell r="U294">
            <v>17610560</v>
          </cell>
          <cell r="V294">
            <v>20062837.75</v>
          </cell>
          <cell r="W294">
            <v>0</v>
          </cell>
          <cell r="X294">
            <v>0</v>
          </cell>
          <cell r="Y294">
            <v>0</v>
          </cell>
          <cell r="Z294">
            <v>0</v>
          </cell>
          <cell r="AA294">
            <v>0</v>
          </cell>
          <cell r="AC294">
            <v>13753</v>
          </cell>
          <cell r="AD294">
            <v>0</v>
          </cell>
        </row>
        <row r="295">
          <cell r="S295">
            <v>0</v>
          </cell>
          <cell r="T295">
            <v>0</v>
          </cell>
          <cell r="U295">
            <v>0</v>
          </cell>
          <cell r="V295">
            <v>0</v>
          </cell>
          <cell r="W295">
            <v>0</v>
          </cell>
          <cell r="X295">
            <v>0</v>
          </cell>
          <cell r="Y295">
            <v>0</v>
          </cell>
          <cell r="Z295">
            <v>0</v>
          </cell>
          <cell r="AA295">
            <v>0</v>
          </cell>
          <cell r="AC295">
            <v>0</v>
          </cell>
          <cell r="AD295">
            <v>0</v>
          </cell>
        </row>
        <row r="296">
          <cell r="B296">
            <v>13756</v>
          </cell>
          <cell r="C296" t="str">
            <v>CLOSING STOCK OF FG (P&amp;L)</v>
          </cell>
          <cell r="D296">
            <v>8887516</v>
          </cell>
          <cell r="E296">
            <v>-24143068</v>
          </cell>
          <cell r="F296">
            <v>3340174.17</v>
          </cell>
          <cell r="G296">
            <v>-19719604</v>
          </cell>
          <cell r="H296">
            <v>0</v>
          </cell>
          <cell r="I296">
            <v>0</v>
          </cell>
          <cell r="J296">
            <v>0</v>
          </cell>
          <cell r="K296">
            <v>0</v>
          </cell>
          <cell r="L296">
            <v>0</v>
          </cell>
          <cell r="M296">
            <v>0</v>
          </cell>
          <cell r="N296">
            <v>0</v>
          </cell>
          <cell r="O296">
            <v>0</v>
          </cell>
          <cell r="P296">
            <v>12227690.17</v>
          </cell>
          <cell r="Q296">
            <v>-43862672</v>
          </cell>
          <cell r="S296">
            <v>-15255552</v>
          </cell>
          <cell r="T296">
            <v>-16379429.83</v>
          </cell>
          <cell r="U296">
            <v>-15255552</v>
          </cell>
          <cell r="V296">
            <v>-16379429.83</v>
          </cell>
          <cell r="W296">
            <v>0</v>
          </cell>
          <cell r="X296">
            <v>0</v>
          </cell>
          <cell r="Y296">
            <v>0</v>
          </cell>
          <cell r="Z296">
            <v>0</v>
          </cell>
          <cell r="AA296">
            <v>0</v>
          </cell>
          <cell r="AC296">
            <v>13756</v>
          </cell>
          <cell r="AD296">
            <v>0</v>
          </cell>
        </row>
        <row r="297">
          <cell r="S297">
            <v>0</v>
          </cell>
          <cell r="T297">
            <v>0</v>
          </cell>
          <cell r="U297">
            <v>0</v>
          </cell>
          <cell r="V297">
            <v>0</v>
          </cell>
          <cell r="W297">
            <v>0</v>
          </cell>
          <cell r="X297">
            <v>0</v>
          </cell>
          <cell r="Y297">
            <v>0</v>
          </cell>
          <cell r="Z297">
            <v>0</v>
          </cell>
          <cell r="AA297">
            <v>0</v>
          </cell>
          <cell r="AC297">
            <v>0</v>
          </cell>
          <cell r="AD297">
            <v>0</v>
          </cell>
        </row>
        <row r="298">
          <cell r="E298" t="str">
            <v>SDCT</v>
          </cell>
          <cell r="F298" t="str">
            <v>PCDT</v>
          </cell>
          <cell r="G298" t="str">
            <v>PCDC</v>
          </cell>
          <cell r="I298" t="str">
            <v>PCDN</v>
          </cell>
          <cell r="K298" t="str">
            <v>CORP</v>
          </cell>
          <cell r="M298" t="str">
            <v>OTHER</v>
          </cell>
          <cell r="O298" t="str">
            <v>TOTAL</v>
          </cell>
          <cell r="U298">
            <v>0</v>
          </cell>
          <cell r="V298">
            <v>0</v>
          </cell>
          <cell r="W298">
            <v>0</v>
          </cell>
          <cell r="X298">
            <v>0</v>
          </cell>
          <cell r="Y298">
            <v>0</v>
          </cell>
          <cell r="Z298">
            <v>0</v>
          </cell>
          <cell r="AA298">
            <v>0</v>
          </cell>
          <cell r="AC298">
            <v>0</v>
          </cell>
          <cell r="AD298">
            <v>0</v>
          </cell>
        </row>
        <row r="299">
          <cell r="B299" t="str">
            <v>GL CODE</v>
          </cell>
          <cell r="C299" t="str">
            <v>ACCOUNT HEAD</v>
          </cell>
          <cell r="S299">
            <v>0</v>
          </cell>
          <cell r="T299">
            <v>0</v>
          </cell>
          <cell r="U299" t="str">
            <v>SDCT</v>
          </cell>
          <cell r="V299" t="str">
            <v>PCDT</v>
          </cell>
          <cell r="Y299">
            <v>0</v>
          </cell>
          <cell r="Z299">
            <v>0</v>
          </cell>
          <cell r="AA299">
            <v>0</v>
          </cell>
          <cell r="AC299">
            <v>0</v>
          </cell>
          <cell r="AD299" t="e">
            <v>#VALUE!</v>
          </cell>
        </row>
        <row r="300">
          <cell r="S300">
            <v>0</v>
          </cell>
          <cell r="T300">
            <v>0</v>
          </cell>
          <cell r="U300">
            <v>0</v>
          </cell>
          <cell r="V300">
            <v>0</v>
          </cell>
          <cell r="W300">
            <v>0</v>
          </cell>
          <cell r="X300">
            <v>0</v>
          </cell>
          <cell r="Y300">
            <v>0</v>
          </cell>
          <cell r="Z300">
            <v>0</v>
          </cell>
          <cell r="AA300">
            <v>0</v>
          </cell>
          <cell r="AC300">
            <v>0</v>
          </cell>
          <cell r="AD300">
            <v>0</v>
          </cell>
        </row>
        <row r="301">
          <cell r="D301" t="str">
            <v>DR.</v>
          </cell>
          <cell r="E301" t="str">
            <v>CR.</v>
          </cell>
          <cell r="F301" t="str">
            <v>DR.</v>
          </cell>
          <cell r="G301" t="str">
            <v>CR.</v>
          </cell>
          <cell r="H301" t="str">
            <v>DR.</v>
          </cell>
          <cell r="I301" t="str">
            <v>CR.</v>
          </cell>
          <cell r="J301" t="str">
            <v>DR.</v>
          </cell>
          <cell r="K301" t="str">
            <v>CR.</v>
          </cell>
          <cell r="L301" t="str">
            <v>DR.</v>
          </cell>
          <cell r="M301" t="str">
            <v>CR.</v>
          </cell>
          <cell r="N301" t="str">
            <v>DR.</v>
          </cell>
          <cell r="O301" t="str">
            <v>CR.</v>
          </cell>
          <cell r="P301" t="str">
            <v>DR.</v>
          </cell>
          <cell r="Q301" t="str">
            <v>CR.</v>
          </cell>
          <cell r="U301">
            <v>0</v>
          </cell>
          <cell r="V301">
            <v>0</v>
          </cell>
          <cell r="W301">
            <v>0</v>
          </cell>
          <cell r="X301">
            <v>0</v>
          </cell>
          <cell r="Y301">
            <v>0</v>
          </cell>
          <cell r="Z301">
            <v>0</v>
          </cell>
          <cell r="AA301">
            <v>0</v>
          </cell>
          <cell r="AC301">
            <v>0</v>
          </cell>
          <cell r="AD301">
            <v>0</v>
          </cell>
        </row>
        <row r="302">
          <cell r="S302">
            <v>0</v>
          </cell>
          <cell r="T302">
            <v>0</v>
          </cell>
          <cell r="U302">
            <v>0</v>
          </cell>
          <cell r="V302">
            <v>0</v>
          </cell>
          <cell r="W302">
            <v>0</v>
          </cell>
          <cell r="X302">
            <v>0</v>
          </cell>
          <cell r="Y302">
            <v>0</v>
          </cell>
          <cell r="Z302">
            <v>0</v>
          </cell>
          <cell r="AA302">
            <v>0</v>
          </cell>
          <cell r="AC302">
            <v>0</v>
          </cell>
          <cell r="AD302">
            <v>0</v>
          </cell>
        </row>
        <row r="303">
          <cell r="S303">
            <v>0</v>
          </cell>
          <cell r="T303">
            <v>0</v>
          </cell>
          <cell r="U303">
            <v>0</v>
          </cell>
          <cell r="V303">
            <v>0</v>
          </cell>
          <cell r="W303">
            <v>0</v>
          </cell>
          <cell r="X303">
            <v>0</v>
          </cell>
          <cell r="Y303">
            <v>0</v>
          </cell>
          <cell r="Z303">
            <v>0</v>
          </cell>
          <cell r="AA303">
            <v>0</v>
          </cell>
          <cell r="AC303">
            <v>0</v>
          </cell>
          <cell r="AD303">
            <v>0</v>
          </cell>
        </row>
        <row r="304">
          <cell r="B304">
            <v>13757</v>
          </cell>
          <cell r="C304" t="str">
            <v>CLOSING STOCK OF WIP (P&amp;L)</v>
          </cell>
          <cell r="D304">
            <v>2582822</v>
          </cell>
          <cell r="E304">
            <v>-17225913</v>
          </cell>
          <cell r="F304">
            <v>1615848.19</v>
          </cell>
          <cell r="G304">
            <v>-24732963</v>
          </cell>
          <cell r="H304">
            <v>0</v>
          </cell>
          <cell r="I304">
            <v>0</v>
          </cell>
          <cell r="J304">
            <v>0</v>
          </cell>
          <cell r="K304">
            <v>0</v>
          </cell>
          <cell r="L304">
            <v>0</v>
          </cell>
          <cell r="M304">
            <v>0</v>
          </cell>
          <cell r="N304">
            <v>0</v>
          </cell>
          <cell r="O304">
            <v>0</v>
          </cell>
          <cell r="P304">
            <v>4198670.1900000004</v>
          </cell>
          <cell r="Q304">
            <v>-41958876</v>
          </cell>
          <cell r="S304">
            <v>-14643091</v>
          </cell>
          <cell r="T304">
            <v>-23117114.809999999</v>
          </cell>
          <cell r="U304">
            <v>-14643091</v>
          </cell>
          <cell r="V304">
            <v>-23117114.809999999</v>
          </cell>
          <cell r="W304">
            <v>0</v>
          </cell>
          <cell r="X304">
            <v>0</v>
          </cell>
          <cell r="Y304">
            <v>0</v>
          </cell>
          <cell r="Z304">
            <v>0</v>
          </cell>
          <cell r="AA304">
            <v>0</v>
          </cell>
          <cell r="AC304">
            <v>13757</v>
          </cell>
          <cell r="AD304">
            <v>0</v>
          </cell>
        </row>
        <row r="305">
          <cell r="S305">
            <v>0</v>
          </cell>
          <cell r="T305">
            <v>0</v>
          </cell>
          <cell r="U305">
            <v>0</v>
          </cell>
          <cell r="V305">
            <v>0</v>
          </cell>
          <cell r="W305">
            <v>0</v>
          </cell>
          <cell r="X305">
            <v>0</v>
          </cell>
          <cell r="Y305">
            <v>0</v>
          </cell>
          <cell r="Z305">
            <v>0</v>
          </cell>
          <cell r="AA305">
            <v>0</v>
          </cell>
          <cell r="AC305">
            <v>0</v>
          </cell>
          <cell r="AD305">
            <v>0</v>
          </cell>
        </row>
        <row r="306">
          <cell r="B306">
            <v>13773</v>
          </cell>
          <cell r="C306" t="str">
            <v>BANK CHARGES (7520-22)</v>
          </cell>
          <cell r="D306">
            <v>4764428.8</v>
          </cell>
          <cell r="E306">
            <v>-3531331.03</v>
          </cell>
          <cell r="F306">
            <v>9440735.3599999994</v>
          </cell>
          <cell r="G306">
            <v>-83664.160000000003</v>
          </cell>
          <cell r="H306">
            <v>43702.69</v>
          </cell>
          <cell r="I306">
            <v>-43702.69</v>
          </cell>
          <cell r="J306">
            <v>0</v>
          </cell>
          <cell r="K306">
            <v>0</v>
          </cell>
          <cell r="L306">
            <v>4059134.51</v>
          </cell>
          <cell r="M306">
            <v>-1664822.02</v>
          </cell>
          <cell r="N306">
            <v>0</v>
          </cell>
          <cell r="O306">
            <v>0</v>
          </cell>
          <cell r="P306">
            <v>14248866.85</v>
          </cell>
          <cell r="Q306">
            <v>-3658697.88</v>
          </cell>
          <cell r="S306">
            <v>3627410.2599999993</v>
          </cell>
          <cell r="T306">
            <v>9357071.1999999993</v>
          </cell>
          <cell r="U306">
            <v>1926378.77</v>
          </cell>
          <cell r="V306">
            <v>5246943.8</v>
          </cell>
          <cell r="W306">
            <v>1701031.4899999993</v>
          </cell>
          <cell r="X306">
            <v>4110127.3999999994</v>
          </cell>
          <cell r="Y306">
            <v>1701031.4899999993</v>
          </cell>
          <cell r="Z306">
            <v>4110127.3999999994</v>
          </cell>
          <cell r="AA306">
            <v>5811158.8899999987</v>
          </cell>
          <cell r="AC306">
            <v>13773</v>
          </cell>
          <cell r="AD306">
            <v>0</v>
          </cell>
        </row>
        <row r="307">
          <cell r="S307">
            <v>0</v>
          </cell>
          <cell r="T307">
            <v>0</v>
          </cell>
          <cell r="U307">
            <v>0</v>
          </cell>
          <cell r="V307">
            <v>0</v>
          </cell>
          <cell r="W307">
            <v>0</v>
          </cell>
          <cell r="X307">
            <v>0</v>
          </cell>
          <cell r="Y307">
            <v>0</v>
          </cell>
          <cell r="Z307">
            <v>0</v>
          </cell>
          <cell r="AA307">
            <v>0</v>
          </cell>
          <cell r="AC307">
            <v>0</v>
          </cell>
          <cell r="AD307">
            <v>0</v>
          </cell>
        </row>
        <row r="308">
          <cell r="B308">
            <v>13853</v>
          </cell>
          <cell r="C308" t="str">
            <v>INTEREST ON WORKING CAPITAL (7610,15,20,25)</v>
          </cell>
          <cell r="D308">
            <v>46175753.210000001</v>
          </cell>
          <cell r="E308">
            <v>-10236912.880000001</v>
          </cell>
          <cell r="F308">
            <v>0</v>
          </cell>
          <cell r="G308">
            <v>0</v>
          </cell>
          <cell r="H308">
            <v>0</v>
          </cell>
          <cell r="I308">
            <v>0</v>
          </cell>
          <cell r="J308">
            <v>0</v>
          </cell>
          <cell r="K308">
            <v>0</v>
          </cell>
          <cell r="L308">
            <v>110040.74</v>
          </cell>
          <cell r="M308">
            <v>-702649.61</v>
          </cell>
          <cell r="N308">
            <v>0</v>
          </cell>
          <cell r="O308">
            <v>0</v>
          </cell>
          <cell r="P308">
            <v>46175753.210000001</v>
          </cell>
          <cell r="Q308">
            <v>-10236912.880000001</v>
          </cell>
          <cell r="S308">
            <v>35346231.460000001</v>
          </cell>
          <cell r="T308">
            <v>0</v>
          </cell>
          <cell r="U308">
            <v>19657942.84</v>
          </cell>
          <cell r="V308">
            <v>0</v>
          </cell>
          <cell r="W308">
            <v>15688288.620000001</v>
          </cell>
          <cell r="X308">
            <v>0</v>
          </cell>
          <cell r="Y308">
            <v>15688288.620000001</v>
          </cell>
          <cell r="Z308">
            <v>0</v>
          </cell>
          <cell r="AA308">
            <v>15688288.620000001</v>
          </cell>
          <cell r="AC308">
            <v>13853</v>
          </cell>
          <cell r="AD308">
            <v>0</v>
          </cell>
        </row>
        <row r="309">
          <cell r="S309">
            <v>0</v>
          </cell>
          <cell r="T309">
            <v>0</v>
          </cell>
          <cell r="U309">
            <v>0</v>
          </cell>
          <cell r="V309">
            <v>0</v>
          </cell>
          <cell r="W309">
            <v>0</v>
          </cell>
          <cell r="X309">
            <v>0</v>
          </cell>
          <cell r="Y309">
            <v>0</v>
          </cell>
          <cell r="Z309">
            <v>0</v>
          </cell>
          <cell r="AA309">
            <v>0</v>
          </cell>
          <cell r="AC309">
            <v>0</v>
          </cell>
          <cell r="AD309">
            <v>0</v>
          </cell>
        </row>
        <row r="310">
          <cell r="B310">
            <v>13854</v>
          </cell>
          <cell r="C310" t="str">
            <v>INTEREST ON TERM LOAN (7630)</v>
          </cell>
          <cell r="D310">
            <v>16099584.6</v>
          </cell>
          <cell r="E310">
            <v>-870611.14</v>
          </cell>
          <cell r="F310">
            <v>0</v>
          </cell>
          <cell r="G310">
            <v>0</v>
          </cell>
          <cell r="H310">
            <v>0</v>
          </cell>
          <cell r="I310">
            <v>0</v>
          </cell>
          <cell r="J310">
            <v>0</v>
          </cell>
          <cell r="K310">
            <v>0</v>
          </cell>
          <cell r="L310">
            <v>295890.40999999997</v>
          </cell>
          <cell r="M310">
            <v>-21982</v>
          </cell>
          <cell r="N310">
            <v>0</v>
          </cell>
          <cell r="O310">
            <v>0</v>
          </cell>
          <cell r="P310">
            <v>16099584.6</v>
          </cell>
          <cell r="Q310">
            <v>-870611.14</v>
          </cell>
          <cell r="S310">
            <v>15502881.869999999</v>
          </cell>
          <cell r="T310">
            <v>0</v>
          </cell>
          <cell r="U310">
            <v>12098316.859999999</v>
          </cell>
          <cell r="V310">
            <v>0</v>
          </cell>
          <cell r="W310">
            <v>3404565.01</v>
          </cell>
          <cell r="X310">
            <v>0</v>
          </cell>
          <cell r="Y310">
            <v>3404565.01</v>
          </cell>
          <cell r="Z310">
            <v>0</v>
          </cell>
          <cell r="AA310">
            <v>3404565.01</v>
          </cell>
          <cell r="AC310">
            <v>13854</v>
          </cell>
          <cell r="AD310">
            <v>0</v>
          </cell>
        </row>
        <row r="311">
          <cell r="S311">
            <v>0</v>
          </cell>
          <cell r="T311">
            <v>0</v>
          </cell>
          <cell r="U311">
            <v>0</v>
          </cell>
          <cell r="V311">
            <v>0</v>
          </cell>
          <cell r="W311">
            <v>0</v>
          </cell>
          <cell r="X311">
            <v>0</v>
          </cell>
          <cell r="Y311">
            <v>0</v>
          </cell>
          <cell r="Z311">
            <v>0</v>
          </cell>
          <cell r="AA311">
            <v>0</v>
          </cell>
          <cell r="AC311">
            <v>0</v>
          </cell>
          <cell r="AD311">
            <v>0</v>
          </cell>
        </row>
        <row r="312">
          <cell r="B312">
            <v>13855</v>
          </cell>
          <cell r="C312" t="str">
            <v>OTHER INTEREST (7640)</v>
          </cell>
          <cell r="D312">
            <v>3073841.42</v>
          </cell>
          <cell r="E312">
            <v>-1365612.42</v>
          </cell>
          <cell r="F312">
            <v>494027</v>
          </cell>
          <cell r="G312">
            <v>-352717</v>
          </cell>
          <cell r="H312">
            <v>0</v>
          </cell>
          <cell r="I312">
            <v>0</v>
          </cell>
          <cell r="J312">
            <v>0</v>
          </cell>
          <cell r="K312">
            <v>0</v>
          </cell>
          <cell r="L312">
            <v>1272003.0900000001</v>
          </cell>
          <cell r="M312">
            <v>-47784</v>
          </cell>
          <cell r="N312">
            <v>0</v>
          </cell>
          <cell r="O312">
            <v>0</v>
          </cell>
          <cell r="P312">
            <v>3567868.42</v>
          </cell>
          <cell r="Q312">
            <v>-1718329.42</v>
          </cell>
          <cell r="S312">
            <v>2932448.09</v>
          </cell>
          <cell r="T312">
            <v>141310</v>
          </cell>
          <cell r="U312">
            <v>1938183.62</v>
          </cell>
          <cell r="V312">
            <v>-11144</v>
          </cell>
          <cell r="W312">
            <v>994264.46999999974</v>
          </cell>
          <cell r="X312">
            <v>152454</v>
          </cell>
          <cell r="Y312">
            <v>994264.46999999974</v>
          </cell>
          <cell r="Z312">
            <v>152454</v>
          </cell>
          <cell r="AA312">
            <v>1146718.4699999997</v>
          </cell>
          <cell r="AC312">
            <v>13855</v>
          </cell>
          <cell r="AD312">
            <v>0</v>
          </cell>
        </row>
        <row r="313">
          <cell r="S313">
            <v>0</v>
          </cell>
          <cell r="T313">
            <v>0</v>
          </cell>
          <cell r="U313">
            <v>0</v>
          </cell>
          <cell r="V313">
            <v>0</v>
          </cell>
          <cell r="W313">
            <v>0</v>
          </cell>
          <cell r="X313">
            <v>0</v>
          </cell>
          <cell r="Y313">
            <v>0</v>
          </cell>
          <cell r="Z313">
            <v>0</v>
          </cell>
          <cell r="AA313">
            <v>0</v>
          </cell>
          <cell r="AC313">
            <v>0</v>
          </cell>
          <cell r="AD313">
            <v>0</v>
          </cell>
        </row>
        <row r="314">
          <cell r="B314">
            <v>13858</v>
          </cell>
          <cell r="C314" t="str">
            <v>INTEREST ON CURRENT ACCOUNTS (7645)</v>
          </cell>
          <cell r="D314">
            <v>0</v>
          </cell>
          <cell r="E314">
            <v>-19995000</v>
          </cell>
          <cell r="F314">
            <v>13200000</v>
          </cell>
          <cell r="G314">
            <v>0</v>
          </cell>
          <cell r="H314">
            <v>0</v>
          </cell>
          <cell r="I314">
            <v>0</v>
          </cell>
          <cell r="J314">
            <v>0</v>
          </cell>
          <cell r="K314">
            <v>0</v>
          </cell>
          <cell r="L314">
            <v>0</v>
          </cell>
          <cell r="M314">
            <v>0</v>
          </cell>
          <cell r="N314">
            <v>0</v>
          </cell>
          <cell r="O314">
            <v>0</v>
          </cell>
          <cell r="P314">
            <v>13200000</v>
          </cell>
          <cell r="Q314">
            <v>-19995000</v>
          </cell>
          <cell r="S314">
            <v>-19995000</v>
          </cell>
          <cell r="T314">
            <v>13200000</v>
          </cell>
          <cell r="U314">
            <v>-19995000</v>
          </cell>
          <cell r="V314">
            <v>13200000</v>
          </cell>
          <cell r="W314">
            <v>0</v>
          </cell>
          <cell r="X314">
            <v>0</v>
          </cell>
          <cell r="Y314">
            <v>0</v>
          </cell>
          <cell r="Z314">
            <v>0</v>
          </cell>
          <cell r="AA314">
            <v>0</v>
          </cell>
          <cell r="AC314">
            <v>13858</v>
          </cell>
          <cell r="AD314">
            <v>0</v>
          </cell>
        </row>
        <row r="315">
          <cell r="S315">
            <v>0</v>
          </cell>
          <cell r="T315">
            <v>0</v>
          </cell>
          <cell r="U315">
            <v>0</v>
          </cell>
          <cell r="V315">
            <v>0</v>
          </cell>
          <cell r="W315">
            <v>0</v>
          </cell>
          <cell r="X315">
            <v>0</v>
          </cell>
          <cell r="Y315">
            <v>0</v>
          </cell>
          <cell r="Z315">
            <v>0</v>
          </cell>
          <cell r="AA315">
            <v>0</v>
          </cell>
          <cell r="AC315">
            <v>0</v>
          </cell>
          <cell r="AD315">
            <v>0</v>
          </cell>
        </row>
        <row r="316">
          <cell r="B316">
            <v>13887</v>
          </cell>
          <cell r="C316" t="str">
            <v>DEPRECIATION - ENABLING ASSETS (7700)</v>
          </cell>
          <cell r="D316">
            <v>28400524</v>
          </cell>
          <cell r="E316">
            <v>0</v>
          </cell>
          <cell r="F316">
            <v>62662920</v>
          </cell>
          <cell r="G316">
            <v>-31331460</v>
          </cell>
          <cell r="H316">
            <v>0</v>
          </cell>
          <cell r="I316">
            <v>0</v>
          </cell>
          <cell r="J316">
            <v>0</v>
          </cell>
          <cell r="K316">
            <v>0</v>
          </cell>
          <cell r="L316">
            <v>0</v>
          </cell>
          <cell r="M316">
            <v>0</v>
          </cell>
          <cell r="N316">
            <v>0</v>
          </cell>
          <cell r="O316">
            <v>0</v>
          </cell>
          <cell r="P316">
            <v>91063444</v>
          </cell>
          <cell r="Q316">
            <v>-31331460</v>
          </cell>
          <cell r="S316">
            <v>28400524</v>
          </cell>
          <cell r="T316">
            <v>31331460</v>
          </cell>
          <cell r="U316">
            <v>28400524</v>
          </cell>
          <cell r="V316">
            <v>31331460</v>
          </cell>
          <cell r="W316">
            <v>0</v>
          </cell>
          <cell r="X316">
            <v>0</v>
          </cell>
          <cell r="Y316">
            <v>0</v>
          </cell>
          <cell r="Z316">
            <v>0</v>
          </cell>
          <cell r="AA316">
            <v>0</v>
          </cell>
          <cell r="AC316">
            <v>13887</v>
          </cell>
          <cell r="AD316">
            <v>0</v>
          </cell>
        </row>
        <row r="317">
          <cell r="S317">
            <v>0</v>
          </cell>
          <cell r="T317">
            <v>0</v>
          </cell>
          <cell r="U317">
            <v>0</v>
          </cell>
          <cell r="V317">
            <v>0</v>
          </cell>
          <cell r="W317">
            <v>0</v>
          </cell>
          <cell r="X317">
            <v>0</v>
          </cell>
          <cell r="Y317">
            <v>0</v>
          </cell>
          <cell r="Z317">
            <v>0</v>
          </cell>
          <cell r="AA317">
            <v>0</v>
          </cell>
          <cell r="AC317">
            <v>0</v>
          </cell>
          <cell r="AD317">
            <v>0</v>
          </cell>
        </row>
        <row r="318">
          <cell r="B318">
            <v>13920</v>
          </cell>
          <cell r="C318" t="str">
            <v>INCOME TAX (8910)</v>
          </cell>
          <cell r="D318">
            <v>0</v>
          </cell>
          <cell r="E318">
            <v>0</v>
          </cell>
          <cell r="F318">
            <v>0</v>
          </cell>
          <cell r="G318">
            <v>0</v>
          </cell>
          <cell r="H318">
            <v>0</v>
          </cell>
          <cell r="I318">
            <v>0</v>
          </cell>
          <cell r="J318">
            <v>0</v>
          </cell>
          <cell r="K318">
            <v>0</v>
          </cell>
          <cell r="L318">
            <v>49900278</v>
          </cell>
          <cell r="M318">
            <v>-278</v>
          </cell>
          <cell r="N318">
            <v>0</v>
          </cell>
          <cell r="O318">
            <v>0</v>
          </cell>
          <cell r="P318">
            <v>0</v>
          </cell>
          <cell r="Q318">
            <v>0</v>
          </cell>
          <cell r="S318">
            <v>49900000</v>
          </cell>
          <cell r="T318">
            <v>0</v>
          </cell>
          <cell r="U318">
            <v>24700000</v>
          </cell>
          <cell r="V318">
            <v>0</v>
          </cell>
          <cell r="W318">
            <v>25200000</v>
          </cell>
          <cell r="X318">
            <v>0</v>
          </cell>
          <cell r="Y318">
            <v>25200000</v>
          </cell>
          <cell r="Z318">
            <v>0</v>
          </cell>
          <cell r="AA318">
            <v>25200000</v>
          </cell>
          <cell r="AC318">
            <v>13920</v>
          </cell>
          <cell r="AD318">
            <v>0</v>
          </cell>
        </row>
        <row r="319">
          <cell r="S319">
            <v>0</v>
          </cell>
          <cell r="T319">
            <v>0</v>
          </cell>
          <cell r="U319">
            <v>0</v>
          </cell>
          <cell r="V319">
            <v>0</v>
          </cell>
          <cell r="W319">
            <v>0</v>
          </cell>
          <cell r="X319">
            <v>0</v>
          </cell>
          <cell r="Y319">
            <v>0</v>
          </cell>
          <cell r="Z319">
            <v>0</v>
          </cell>
          <cell r="AA319">
            <v>0</v>
          </cell>
          <cell r="AC319">
            <v>0</v>
          </cell>
          <cell r="AD319">
            <v>0</v>
          </cell>
        </row>
        <row r="320">
          <cell r="B320">
            <v>13929</v>
          </cell>
          <cell r="C320" t="str">
            <v>DEFFERED TAX (P&amp;L) (8912)</v>
          </cell>
          <cell r="D320">
            <v>0</v>
          </cell>
          <cell r="E320">
            <v>0</v>
          </cell>
          <cell r="F320">
            <v>0</v>
          </cell>
          <cell r="G320">
            <v>0</v>
          </cell>
          <cell r="H320">
            <v>0</v>
          </cell>
          <cell r="I320">
            <v>0</v>
          </cell>
          <cell r="J320">
            <v>0</v>
          </cell>
          <cell r="K320">
            <v>0</v>
          </cell>
          <cell r="L320">
            <v>6735966</v>
          </cell>
          <cell r="M320">
            <v>-6735967</v>
          </cell>
          <cell r="N320">
            <v>0</v>
          </cell>
          <cell r="O320">
            <v>0</v>
          </cell>
          <cell r="P320">
            <v>0</v>
          </cell>
          <cell r="Q320">
            <v>0</v>
          </cell>
          <cell r="S320">
            <v>-1</v>
          </cell>
          <cell r="T320">
            <v>0</v>
          </cell>
          <cell r="U320">
            <v>-6735967</v>
          </cell>
          <cell r="V320">
            <v>0</v>
          </cell>
          <cell r="W320">
            <v>6735966</v>
          </cell>
          <cell r="X320">
            <v>0</v>
          </cell>
          <cell r="Y320">
            <v>6735966</v>
          </cell>
          <cell r="Z320">
            <v>0</v>
          </cell>
          <cell r="AA320">
            <v>6735966</v>
          </cell>
          <cell r="AC320">
            <v>13929</v>
          </cell>
          <cell r="AD320">
            <v>0</v>
          </cell>
        </row>
        <row r="321">
          <cell r="S321">
            <v>0</v>
          </cell>
          <cell r="T321">
            <v>0</v>
          </cell>
          <cell r="U321">
            <v>0</v>
          </cell>
          <cell r="V321">
            <v>0</v>
          </cell>
          <cell r="W321">
            <v>0</v>
          </cell>
          <cell r="X321">
            <v>0</v>
          </cell>
          <cell r="Y321">
            <v>0</v>
          </cell>
          <cell r="Z321">
            <v>0</v>
          </cell>
          <cell r="AA321">
            <v>0</v>
          </cell>
          <cell r="AC321">
            <v>0</v>
          </cell>
          <cell r="AD321">
            <v>0</v>
          </cell>
        </row>
        <row r="322">
          <cell r="B322">
            <v>13962</v>
          </cell>
          <cell r="C322" t="str">
            <v>PROPOSED DIVIDEND (8000)</v>
          </cell>
          <cell r="D322">
            <v>0</v>
          </cell>
          <cell r="E322">
            <v>0</v>
          </cell>
          <cell r="F322">
            <v>0</v>
          </cell>
          <cell r="G322">
            <v>0</v>
          </cell>
          <cell r="H322">
            <v>0</v>
          </cell>
          <cell r="I322">
            <v>0</v>
          </cell>
          <cell r="J322">
            <v>0</v>
          </cell>
          <cell r="K322">
            <v>0</v>
          </cell>
          <cell r="L322">
            <v>69224904</v>
          </cell>
          <cell r="M322">
            <v>-21968862</v>
          </cell>
          <cell r="N322">
            <v>0</v>
          </cell>
          <cell r="O322">
            <v>0</v>
          </cell>
          <cell r="P322">
            <v>0</v>
          </cell>
          <cell r="Q322">
            <v>0</v>
          </cell>
          <cell r="S322">
            <v>47256042</v>
          </cell>
          <cell r="T322">
            <v>0</v>
          </cell>
          <cell r="U322">
            <v>0</v>
          </cell>
          <cell r="V322">
            <v>0</v>
          </cell>
          <cell r="W322">
            <v>47256042</v>
          </cell>
          <cell r="X322">
            <v>0</v>
          </cell>
          <cell r="Y322">
            <v>47256042</v>
          </cell>
          <cell r="Z322">
            <v>0</v>
          </cell>
          <cell r="AA322">
            <v>47256042</v>
          </cell>
          <cell r="AC322">
            <v>13962</v>
          </cell>
          <cell r="AD322">
            <v>0</v>
          </cell>
        </row>
        <row r="323">
          <cell r="S323">
            <v>0</v>
          </cell>
          <cell r="T323">
            <v>0</v>
          </cell>
          <cell r="U323">
            <v>0</v>
          </cell>
          <cell r="V323">
            <v>0</v>
          </cell>
          <cell r="W323">
            <v>0</v>
          </cell>
          <cell r="X323">
            <v>0</v>
          </cell>
          <cell r="Y323">
            <v>0</v>
          </cell>
          <cell r="Z323">
            <v>0</v>
          </cell>
          <cell r="AA323">
            <v>0</v>
          </cell>
          <cell r="AC323">
            <v>0</v>
          </cell>
          <cell r="AD323">
            <v>0</v>
          </cell>
        </row>
        <row r="324">
          <cell r="B324">
            <v>13963</v>
          </cell>
          <cell r="C324" t="str">
            <v>DISTRIBUTION TAX (8050)</v>
          </cell>
          <cell r="D324">
            <v>0</v>
          </cell>
          <cell r="E324">
            <v>0</v>
          </cell>
          <cell r="F324">
            <v>0</v>
          </cell>
          <cell r="G324">
            <v>0</v>
          </cell>
          <cell r="H324">
            <v>0</v>
          </cell>
          <cell r="I324">
            <v>0</v>
          </cell>
          <cell r="J324">
            <v>0</v>
          </cell>
          <cell r="K324">
            <v>0</v>
          </cell>
          <cell r="L324">
            <v>10732556</v>
          </cell>
          <cell r="M324">
            <v>-3066445</v>
          </cell>
          <cell r="N324">
            <v>0</v>
          </cell>
          <cell r="O324">
            <v>0</v>
          </cell>
          <cell r="P324">
            <v>0</v>
          </cell>
          <cell r="Q324">
            <v>0</v>
          </cell>
          <cell r="S324">
            <v>7666111</v>
          </cell>
          <cell r="T324">
            <v>0</v>
          </cell>
          <cell r="U324">
            <v>0</v>
          </cell>
          <cell r="V324">
            <v>0</v>
          </cell>
          <cell r="W324">
            <v>7666111</v>
          </cell>
          <cell r="X324">
            <v>0</v>
          </cell>
          <cell r="Y324">
            <v>7666111</v>
          </cell>
          <cell r="Z324">
            <v>0</v>
          </cell>
          <cell r="AA324">
            <v>7666111</v>
          </cell>
          <cell r="AC324">
            <v>13963</v>
          </cell>
          <cell r="AD324">
            <v>0</v>
          </cell>
        </row>
        <row r="325">
          <cell r="S325">
            <v>0</v>
          </cell>
          <cell r="T325">
            <v>0</v>
          </cell>
          <cell r="U325">
            <v>0</v>
          </cell>
          <cell r="V325">
            <v>0</v>
          </cell>
          <cell r="W325">
            <v>0</v>
          </cell>
          <cell r="X325">
            <v>0</v>
          </cell>
          <cell r="AA325">
            <v>0</v>
          </cell>
          <cell r="AC325">
            <v>0</v>
          </cell>
          <cell r="AD325">
            <v>0</v>
          </cell>
        </row>
        <row r="326">
          <cell r="B326">
            <v>14005</v>
          </cell>
          <cell r="C326" t="str">
            <v>SHARE CAPITAL (1000)</v>
          </cell>
          <cell r="D326">
            <v>0</v>
          </cell>
          <cell r="E326">
            <v>0</v>
          </cell>
          <cell r="F326">
            <v>0</v>
          </cell>
          <cell r="G326">
            <v>0</v>
          </cell>
          <cell r="H326">
            <v>0</v>
          </cell>
          <cell r="I326">
            <v>0</v>
          </cell>
          <cell r="J326">
            <v>0</v>
          </cell>
          <cell r="K326">
            <v>0</v>
          </cell>
          <cell r="L326">
            <v>0</v>
          </cell>
          <cell r="M326">
            <v>-157520140</v>
          </cell>
          <cell r="N326">
            <v>0</v>
          </cell>
          <cell r="O326">
            <v>0</v>
          </cell>
          <cell r="P326">
            <v>0</v>
          </cell>
          <cell r="Q326">
            <v>0</v>
          </cell>
          <cell r="S326">
            <v>-157520140</v>
          </cell>
          <cell r="T326">
            <v>0</v>
          </cell>
          <cell r="U326">
            <v>-157520140</v>
          </cell>
          <cell r="V326">
            <v>0</v>
          </cell>
          <cell r="W326">
            <v>0</v>
          </cell>
          <cell r="X326">
            <v>0</v>
          </cell>
          <cell r="Y326">
            <v>-157520140</v>
          </cell>
          <cell r="Z326">
            <v>0</v>
          </cell>
          <cell r="AA326">
            <v>-157520140</v>
          </cell>
          <cell r="AC326">
            <v>14005</v>
          </cell>
          <cell r="AD326">
            <v>0</v>
          </cell>
        </row>
        <row r="327">
          <cell r="S327">
            <v>0</v>
          </cell>
          <cell r="T327">
            <v>0</v>
          </cell>
          <cell r="U327">
            <v>0</v>
          </cell>
          <cell r="V327">
            <v>0</v>
          </cell>
          <cell r="W327">
            <v>0</v>
          </cell>
          <cell r="X327">
            <v>0</v>
          </cell>
          <cell r="Y327">
            <v>0</v>
          </cell>
          <cell r="Z327">
            <v>0</v>
          </cell>
          <cell r="AA327">
            <v>0</v>
          </cell>
          <cell r="AC327">
            <v>0</v>
          </cell>
          <cell r="AD327">
            <v>0</v>
          </cell>
        </row>
        <row r="328">
          <cell r="B328">
            <v>14006</v>
          </cell>
          <cell r="C328" t="str">
            <v>FOREFITED SHARES (1004)</v>
          </cell>
          <cell r="D328">
            <v>0</v>
          </cell>
          <cell r="E328">
            <v>0</v>
          </cell>
          <cell r="F328">
            <v>0</v>
          </cell>
          <cell r="G328">
            <v>0</v>
          </cell>
          <cell r="H328">
            <v>0</v>
          </cell>
          <cell r="I328">
            <v>0</v>
          </cell>
          <cell r="J328">
            <v>0</v>
          </cell>
          <cell r="K328">
            <v>0</v>
          </cell>
          <cell r="L328">
            <v>0</v>
          </cell>
          <cell r="M328">
            <v>-114000</v>
          </cell>
          <cell r="N328">
            <v>0</v>
          </cell>
          <cell r="O328">
            <v>0</v>
          </cell>
          <cell r="P328">
            <v>0</v>
          </cell>
          <cell r="Q328">
            <v>0</v>
          </cell>
          <cell r="S328">
            <v>-114000</v>
          </cell>
          <cell r="T328">
            <v>0</v>
          </cell>
          <cell r="U328">
            <v>-114000</v>
          </cell>
          <cell r="V328">
            <v>0</v>
          </cell>
          <cell r="W328">
            <v>0</v>
          </cell>
          <cell r="X328">
            <v>0</v>
          </cell>
          <cell r="Y328">
            <v>-114000</v>
          </cell>
          <cell r="Z328">
            <v>0</v>
          </cell>
          <cell r="AA328">
            <v>-114000</v>
          </cell>
          <cell r="AC328">
            <v>14006</v>
          </cell>
          <cell r="AD328">
            <v>0</v>
          </cell>
        </row>
        <row r="329">
          <cell r="S329">
            <v>0</v>
          </cell>
          <cell r="T329">
            <v>0</v>
          </cell>
          <cell r="U329">
            <v>0</v>
          </cell>
          <cell r="V329">
            <v>0</v>
          </cell>
          <cell r="W329">
            <v>0</v>
          </cell>
          <cell r="X329">
            <v>0</v>
          </cell>
          <cell r="Y329">
            <v>0</v>
          </cell>
          <cell r="Z329">
            <v>0</v>
          </cell>
          <cell r="AA329">
            <v>0</v>
          </cell>
          <cell r="AC329">
            <v>0</v>
          </cell>
          <cell r="AD329">
            <v>0</v>
          </cell>
        </row>
        <row r="330">
          <cell r="B330">
            <v>14015</v>
          </cell>
          <cell r="C330" t="str">
            <v>CAPITAL RESERVE (1015)</v>
          </cell>
          <cell r="D330">
            <v>0</v>
          </cell>
          <cell r="E330">
            <v>0</v>
          </cell>
          <cell r="F330">
            <v>0</v>
          </cell>
          <cell r="G330">
            <v>0</v>
          </cell>
          <cell r="H330">
            <v>0</v>
          </cell>
          <cell r="I330">
            <v>0</v>
          </cell>
          <cell r="J330">
            <v>0</v>
          </cell>
          <cell r="K330">
            <v>0</v>
          </cell>
          <cell r="L330">
            <v>0</v>
          </cell>
          <cell r="M330">
            <v>-720125</v>
          </cell>
          <cell r="N330">
            <v>0</v>
          </cell>
          <cell r="O330">
            <v>0</v>
          </cell>
          <cell r="P330">
            <v>0</v>
          </cell>
          <cell r="Q330">
            <v>0</v>
          </cell>
          <cell r="S330">
            <v>-720125</v>
          </cell>
          <cell r="T330">
            <v>0</v>
          </cell>
          <cell r="U330">
            <v>-720125</v>
          </cell>
          <cell r="V330">
            <v>0</v>
          </cell>
          <cell r="W330">
            <v>0</v>
          </cell>
          <cell r="X330">
            <v>0</v>
          </cell>
          <cell r="Y330">
            <v>-720125</v>
          </cell>
          <cell r="Z330">
            <v>0</v>
          </cell>
          <cell r="AA330">
            <v>-720125</v>
          </cell>
          <cell r="AC330">
            <v>14015</v>
          </cell>
          <cell r="AD330">
            <v>0</v>
          </cell>
        </row>
        <row r="331">
          <cell r="S331">
            <v>0</v>
          </cell>
          <cell r="T331">
            <v>0</v>
          </cell>
          <cell r="U331">
            <v>0</v>
          </cell>
          <cell r="V331">
            <v>0</v>
          </cell>
          <cell r="W331">
            <v>0</v>
          </cell>
          <cell r="X331">
            <v>0</v>
          </cell>
          <cell r="Y331">
            <v>0</v>
          </cell>
          <cell r="Z331">
            <v>0</v>
          </cell>
          <cell r="AA331">
            <v>0</v>
          </cell>
          <cell r="AC331">
            <v>0</v>
          </cell>
          <cell r="AD331">
            <v>0</v>
          </cell>
        </row>
        <row r="332">
          <cell r="B332">
            <v>14018</v>
          </cell>
          <cell r="C332" t="str">
            <v>SHARE PREMIUM (1030)</v>
          </cell>
          <cell r="D332">
            <v>0</v>
          </cell>
          <cell r="E332">
            <v>0</v>
          </cell>
          <cell r="F332">
            <v>0</v>
          </cell>
          <cell r="G332">
            <v>0</v>
          </cell>
          <cell r="H332">
            <v>0</v>
          </cell>
          <cell r="I332">
            <v>0</v>
          </cell>
          <cell r="J332">
            <v>0</v>
          </cell>
          <cell r="K332">
            <v>0</v>
          </cell>
          <cell r="L332">
            <v>0</v>
          </cell>
          <cell r="M332">
            <v>-123591974.56</v>
          </cell>
          <cell r="N332">
            <v>0</v>
          </cell>
          <cell r="O332">
            <v>0</v>
          </cell>
          <cell r="P332">
            <v>0</v>
          </cell>
          <cell r="Q332">
            <v>0</v>
          </cell>
          <cell r="S332">
            <v>-123591974.56</v>
          </cell>
          <cell r="T332">
            <v>0</v>
          </cell>
          <cell r="U332">
            <v>-123591974.56</v>
          </cell>
          <cell r="V332">
            <v>0</v>
          </cell>
          <cell r="W332">
            <v>0</v>
          </cell>
          <cell r="X332">
            <v>0</v>
          </cell>
          <cell r="Y332">
            <v>-123591974.56</v>
          </cell>
          <cell r="Z332">
            <v>0</v>
          </cell>
          <cell r="AA332">
            <v>-123591974.56</v>
          </cell>
          <cell r="AC332">
            <v>14018</v>
          </cell>
          <cell r="AD332">
            <v>0</v>
          </cell>
        </row>
        <row r="333">
          <cell r="S333">
            <v>0</v>
          </cell>
          <cell r="T333">
            <v>0</v>
          </cell>
          <cell r="U333">
            <v>0</v>
          </cell>
          <cell r="V333">
            <v>0</v>
          </cell>
          <cell r="W333">
            <v>0</v>
          </cell>
          <cell r="X333">
            <v>0</v>
          </cell>
          <cell r="Y333">
            <v>0</v>
          </cell>
          <cell r="Z333">
            <v>0</v>
          </cell>
          <cell r="AA333">
            <v>0</v>
          </cell>
          <cell r="AC333">
            <v>0</v>
          </cell>
          <cell r="AD333">
            <v>0</v>
          </cell>
        </row>
        <row r="334">
          <cell r="B334">
            <v>14019</v>
          </cell>
          <cell r="C334" t="str">
            <v>FOREFITED SHARE PREMIUM ACCOUNT (1032)</v>
          </cell>
          <cell r="D334">
            <v>0</v>
          </cell>
          <cell r="E334">
            <v>0</v>
          </cell>
          <cell r="F334">
            <v>0</v>
          </cell>
          <cell r="G334">
            <v>0</v>
          </cell>
          <cell r="H334">
            <v>0</v>
          </cell>
          <cell r="I334">
            <v>0</v>
          </cell>
          <cell r="J334">
            <v>0</v>
          </cell>
          <cell r="K334">
            <v>0</v>
          </cell>
          <cell r="L334">
            <v>0</v>
          </cell>
          <cell r="M334">
            <v>-171000</v>
          </cell>
          <cell r="N334">
            <v>0</v>
          </cell>
          <cell r="O334">
            <v>0</v>
          </cell>
          <cell r="P334">
            <v>0</v>
          </cell>
          <cell r="Q334">
            <v>0</v>
          </cell>
          <cell r="S334">
            <v>-171000</v>
          </cell>
          <cell r="T334">
            <v>0</v>
          </cell>
          <cell r="U334">
            <v>-171000</v>
          </cell>
          <cell r="V334">
            <v>0</v>
          </cell>
          <cell r="W334">
            <v>0</v>
          </cell>
          <cell r="X334">
            <v>0</v>
          </cell>
          <cell r="Y334">
            <v>-171000</v>
          </cell>
          <cell r="Z334">
            <v>0</v>
          </cell>
          <cell r="AA334">
            <v>-171000</v>
          </cell>
          <cell r="AC334">
            <v>14019</v>
          </cell>
          <cell r="AD334">
            <v>0</v>
          </cell>
        </row>
        <row r="335">
          <cell r="S335">
            <v>0</v>
          </cell>
          <cell r="T335">
            <v>0</v>
          </cell>
          <cell r="U335">
            <v>0</v>
          </cell>
          <cell r="V335">
            <v>0</v>
          </cell>
          <cell r="W335">
            <v>0</v>
          </cell>
          <cell r="X335">
            <v>0</v>
          </cell>
          <cell r="Y335">
            <v>0</v>
          </cell>
          <cell r="Z335">
            <v>0</v>
          </cell>
          <cell r="AA335">
            <v>0</v>
          </cell>
          <cell r="AC335">
            <v>0</v>
          </cell>
          <cell r="AD335">
            <v>0</v>
          </cell>
        </row>
        <row r="336">
          <cell r="B336">
            <v>14026</v>
          </cell>
          <cell r="C336" t="str">
            <v>GENERAL RESERVE (1010)</v>
          </cell>
          <cell r="D336">
            <v>0</v>
          </cell>
          <cell r="E336">
            <v>0</v>
          </cell>
          <cell r="F336">
            <v>0</v>
          </cell>
          <cell r="G336">
            <v>0</v>
          </cell>
          <cell r="H336">
            <v>0</v>
          </cell>
          <cell r="I336">
            <v>0</v>
          </cell>
          <cell r="J336">
            <v>0</v>
          </cell>
          <cell r="K336">
            <v>0</v>
          </cell>
          <cell r="L336">
            <v>0</v>
          </cell>
          <cell r="M336">
            <v>-27390480.300000001</v>
          </cell>
          <cell r="N336">
            <v>0</v>
          </cell>
          <cell r="O336">
            <v>0</v>
          </cell>
          <cell r="P336">
            <v>0</v>
          </cell>
          <cell r="Q336">
            <v>0</v>
          </cell>
          <cell r="S336">
            <v>-27390480.300000001</v>
          </cell>
          <cell r="T336">
            <v>0</v>
          </cell>
          <cell r="U336">
            <v>-20863582.300000001</v>
          </cell>
          <cell r="V336">
            <v>0</v>
          </cell>
          <cell r="W336">
            <v>-6526898</v>
          </cell>
          <cell r="X336">
            <v>0</v>
          </cell>
          <cell r="Y336">
            <v>-27390480.300000001</v>
          </cell>
          <cell r="Z336">
            <v>0</v>
          </cell>
          <cell r="AA336">
            <v>-27390480.300000001</v>
          </cell>
          <cell r="AC336">
            <v>14026</v>
          </cell>
          <cell r="AD336">
            <v>0</v>
          </cell>
        </row>
        <row r="337">
          <cell r="S337">
            <v>0</v>
          </cell>
          <cell r="T337">
            <v>0</v>
          </cell>
          <cell r="U337">
            <v>0</v>
          </cell>
          <cell r="V337">
            <v>0</v>
          </cell>
          <cell r="W337">
            <v>0</v>
          </cell>
          <cell r="X337">
            <v>0</v>
          </cell>
          <cell r="Y337">
            <v>0</v>
          </cell>
          <cell r="Z337">
            <v>0</v>
          </cell>
          <cell r="AA337">
            <v>0</v>
          </cell>
          <cell r="AC337">
            <v>0</v>
          </cell>
          <cell r="AD337">
            <v>0</v>
          </cell>
        </row>
        <row r="338">
          <cell r="B338">
            <v>14033</v>
          </cell>
          <cell r="C338" t="str">
            <v>PROFIT AND LOSS ACCOUNT (1050)</v>
          </cell>
          <cell r="D338">
            <v>132041.79</v>
          </cell>
          <cell r="E338">
            <v>-264083.58</v>
          </cell>
          <cell r="F338">
            <v>0</v>
          </cell>
          <cell r="G338">
            <v>-191686773</v>
          </cell>
          <cell r="H338">
            <v>0</v>
          </cell>
          <cell r="I338">
            <v>0</v>
          </cell>
          <cell r="J338">
            <v>0</v>
          </cell>
          <cell r="K338">
            <v>0</v>
          </cell>
          <cell r="L338">
            <v>266237972</v>
          </cell>
          <cell r="M338">
            <v>-480562126.20999998</v>
          </cell>
          <cell r="N338">
            <v>0</v>
          </cell>
          <cell r="O338">
            <v>0</v>
          </cell>
          <cell r="P338">
            <v>132041.79</v>
          </cell>
          <cell r="Q338">
            <v>-191950856.58000001</v>
          </cell>
          <cell r="S338">
            <v>-214456195.99999997</v>
          </cell>
          <cell r="T338">
            <v>-191686773</v>
          </cell>
          <cell r="U338">
            <v>-220983094</v>
          </cell>
          <cell r="V338">
            <v>-191686773</v>
          </cell>
          <cell r="W338">
            <v>6526898.0000000298</v>
          </cell>
          <cell r="X338">
            <v>0</v>
          </cell>
          <cell r="Y338">
            <v>-267835009.38999999</v>
          </cell>
          <cell r="Z338">
            <v>-214196992.30000001</v>
          </cell>
          <cell r="AA338">
            <v>-482032001.69</v>
          </cell>
          <cell r="AC338">
            <v>14033</v>
          </cell>
          <cell r="AD338">
            <v>0</v>
          </cell>
        </row>
        <row r="339">
          <cell r="S339">
            <v>0</v>
          </cell>
          <cell r="T339">
            <v>0</v>
          </cell>
          <cell r="U339">
            <v>0</v>
          </cell>
          <cell r="V339">
            <v>0</v>
          </cell>
          <cell r="W339">
            <v>0</v>
          </cell>
          <cell r="X339">
            <v>0</v>
          </cell>
          <cell r="Y339">
            <v>0</v>
          </cell>
          <cell r="Z339">
            <v>0</v>
          </cell>
          <cell r="AA339">
            <v>0</v>
          </cell>
          <cell r="AC339">
            <v>0</v>
          </cell>
          <cell r="AD339">
            <v>0</v>
          </cell>
        </row>
        <row r="340">
          <cell r="B340">
            <v>14034</v>
          </cell>
          <cell r="D340">
            <v>517173903.74000001</v>
          </cell>
          <cell r="E340">
            <v>-517173903.74000001</v>
          </cell>
          <cell r="F340">
            <v>581486042.38</v>
          </cell>
          <cell r="G340">
            <v>-581486042.38</v>
          </cell>
          <cell r="H340">
            <v>139100</v>
          </cell>
          <cell r="I340">
            <v>-139100</v>
          </cell>
          <cell r="J340">
            <v>7732076</v>
          </cell>
          <cell r="K340">
            <v>-7732076</v>
          </cell>
          <cell r="L340">
            <v>112464103.25</v>
          </cell>
          <cell r="M340">
            <v>-111705183</v>
          </cell>
          <cell r="N340">
            <v>0</v>
          </cell>
          <cell r="O340">
            <v>-758920.25</v>
          </cell>
          <cell r="P340">
            <v>1106531122.1199999</v>
          </cell>
          <cell r="Q340">
            <v>-1107290042.3699999</v>
          </cell>
          <cell r="S340">
            <v>0</v>
          </cell>
          <cell r="T340">
            <v>0</v>
          </cell>
          <cell r="U340">
            <v>0</v>
          </cell>
          <cell r="V340">
            <v>0</v>
          </cell>
          <cell r="W340">
            <v>0</v>
          </cell>
          <cell r="X340">
            <v>0</v>
          </cell>
          <cell r="Y340">
            <v>0</v>
          </cell>
          <cell r="Z340">
            <v>0</v>
          </cell>
          <cell r="AA340">
            <v>0</v>
          </cell>
          <cell r="AC340">
            <v>14034</v>
          </cell>
          <cell r="AD340">
            <v>0</v>
          </cell>
        </row>
        <row r="341">
          <cell r="S341">
            <v>0</v>
          </cell>
          <cell r="T341">
            <v>0</v>
          </cell>
          <cell r="U341">
            <v>0</v>
          </cell>
          <cell r="V341">
            <v>0</v>
          </cell>
          <cell r="W341">
            <v>0</v>
          </cell>
          <cell r="X341">
            <v>0</v>
          </cell>
          <cell r="Y341">
            <v>0</v>
          </cell>
          <cell r="Z341">
            <v>0</v>
          </cell>
          <cell r="AA341">
            <v>0</v>
          </cell>
          <cell r="AC341">
            <v>0</v>
          </cell>
          <cell r="AD341">
            <v>0</v>
          </cell>
        </row>
        <row r="342">
          <cell r="B342">
            <v>14070</v>
          </cell>
          <cell r="C342" t="str">
            <v>CASH CREDIT - BOI (21049) (0510)</v>
          </cell>
          <cell r="D342">
            <v>1804615863.4000001</v>
          </cell>
          <cell r="E342">
            <v>-1652121519.9000001</v>
          </cell>
          <cell r="F342">
            <v>7729304</v>
          </cell>
          <cell r="G342">
            <v>-181381183</v>
          </cell>
          <cell r="H342">
            <v>0</v>
          </cell>
          <cell r="I342">
            <v>0</v>
          </cell>
          <cell r="J342">
            <v>0</v>
          </cell>
          <cell r="K342">
            <v>-1158235</v>
          </cell>
          <cell r="L342">
            <v>37929853.490000002</v>
          </cell>
          <cell r="M342">
            <v>-64504644</v>
          </cell>
          <cell r="N342">
            <v>38955471.479999997</v>
          </cell>
          <cell r="O342">
            <v>-38955471.479999997</v>
          </cell>
          <cell r="P342">
            <v>1851300638.8800001</v>
          </cell>
          <cell r="Q342">
            <v>-1873616409.3800001</v>
          </cell>
          <cell r="S342">
            <v>125919552.99000001</v>
          </cell>
          <cell r="T342">
            <v>-174810114</v>
          </cell>
          <cell r="U342">
            <v>-70871361.510000005</v>
          </cell>
          <cell r="V342">
            <v>-30565</v>
          </cell>
          <cell r="W342">
            <v>196790914.5</v>
          </cell>
          <cell r="X342">
            <v>-174779549</v>
          </cell>
          <cell r="Y342">
            <v>125919552.98999999</v>
          </cell>
          <cell r="Z342">
            <v>-174810114</v>
          </cell>
          <cell r="AA342">
            <v>-48890561.010000005</v>
          </cell>
          <cell r="AC342">
            <v>14070</v>
          </cell>
          <cell r="AD342">
            <v>0</v>
          </cell>
        </row>
        <row r="343">
          <cell r="S343">
            <v>0</v>
          </cell>
          <cell r="T343">
            <v>0</v>
          </cell>
          <cell r="U343">
            <v>0</v>
          </cell>
          <cell r="V343">
            <v>0</v>
          </cell>
          <cell r="W343">
            <v>0</v>
          </cell>
          <cell r="X343">
            <v>0</v>
          </cell>
          <cell r="Y343">
            <v>0</v>
          </cell>
          <cell r="Z343">
            <v>0</v>
          </cell>
          <cell r="AA343">
            <v>0</v>
          </cell>
          <cell r="AC343">
            <v>0</v>
          </cell>
          <cell r="AD343">
            <v>0</v>
          </cell>
        </row>
        <row r="344">
          <cell r="B344">
            <v>14072</v>
          </cell>
          <cell r="C344" t="str">
            <v>PACKING CREDIT [BOI] (0520)</v>
          </cell>
          <cell r="D344">
            <v>71681125.650000006</v>
          </cell>
          <cell r="E344">
            <v>-85681125.650000006</v>
          </cell>
          <cell r="F344">
            <v>0</v>
          </cell>
          <cell r="G344">
            <v>0</v>
          </cell>
          <cell r="H344">
            <v>0</v>
          </cell>
          <cell r="I344">
            <v>0</v>
          </cell>
          <cell r="J344">
            <v>0</v>
          </cell>
          <cell r="K344">
            <v>0</v>
          </cell>
          <cell r="L344">
            <v>0</v>
          </cell>
          <cell r="M344">
            <v>0</v>
          </cell>
          <cell r="N344">
            <v>0</v>
          </cell>
          <cell r="O344">
            <v>0</v>
          </cell>
          <cell r="P344">
            <v>71681125.650000006</v>
          </cell>
          <cell r="Q344">
            <v>-85681125.650000006</v>
          </cell>
          <cell r="S344">
            <v>-14000000</v>
          </cell>
          <cell r="T344">
            <v>0</v>
          </cell>
          <cell r="U344">
            <v>-18000000</v>
          </cell>
          <cell r="V344">
            <v>0</v>
          </cell>
          <cell r="W344">
            <v>4000000</v>
          </cell>
          <cell r="X344">
            <v>0</v>
          </cell>
          <cell r="Y344">
            <v>-14000000</v>
          </cell>
          <cell r="Z344">
            <v>0</v>
          </cell>
          <cell r="AA344">
            <v>-14000000</v>
          </cell>
          <cell r="AC344">
            <v>14072</v>
          </cell>
          <cell r="AD344">
            <v>0</v>
          </cell>
        </row>
        <row r="345">
          <cell r="S345">
            <v>0</v>
          </cell>
          <cell r="T345">
            <v>0</v>
          </cell>
          <cell r="U345">
            <v>0</v>
          </cell>
          <cell r="V345">
            <v>0</v>
          </cell>
          <cell r="W345">
            <v>0</v>
          </cell>
          <cell r="X345">
            <v>0</v>
          </cell>
          <cell r="Y345">
            <v>0</v>
          </cell>
          <cell r="Z345">
            <v>0</v>
          </cell>
          <cell r="AA345">
            <v>0</v>
          </cell>
          <cell r="AC345">
            <v>0</v>
          </cell>
          <cell r="AD345">
            <v>0</v>
          </cell>
        </row>
        <row r="346">
          <cell r="B346">
            <v>14079</v>
          </cell>
          <cell r="C346" t="str">
            <v>CASH CREDIT - HSBC (005-464698-001) (0600)</v>
          </cell>
          <cell r="D346">
            <v>2388216041192860</v>
          </cell>
          <cell r="E346">
            <v>-2388216061920700</v>
          </cell>
          <cell r="F346">
            <v>0</v>
          </cell>
          <cell r="G346">
            <v>0</v>
          </cell>
          <cell r="H346">
            <v>0</v>
          </cell>
          <cell r="I346">
            <v>0</v>
          </cell>
          <cell r="J346">
            <v>0</v>
          </cell>
          <cell r="K346">
            <v>0</v>
          </cell>
          <cell r="L346">
            <v>0</v>
          </cell>
          <cell r="M346">
            <v>0</v>
          </cell>
          <cell r="N346">
            <v>14351556.199999999</v>
          </cell>
          <cell r="O346">
            <v>-14351556.199999999</v>
          </cell>
          <cell r="P346">
            <v>2388216055544420</v>
          </cell>
          <cell r="Q346">
            <v>-2388216076272250</v>
          </cell>
          <cell r="S346">
            <v>-20727840</v>
          </cell>
          <cell r="T346">
            <v>0</v>
          </cell>
          <cell r="U346">
            <v>2226310</v>
          </cell>
          <cell r="V346">
            <v>0</v>
          </cell>
          <cell r="W346">
            <v>-22954150</v>
          </cell>
          <cell r="X346">
            <v>0</v>
          </cell>
          <cell r="Y346">
            <v>-20727840</v>
          </cell>
          <cell r="Z346">
            <v>0</v>
          </cell>
          <cell r="AA346">
            <v>-20727840</v>
          </cell>
          <cell r="AC346">
            <v>14079</v>
          </cell>
          <cell r="AD346">
            <v>0</v>
          </cell>
        </row>
        <row r="347">
          <cell r="S347">
            <v>0</v>
          </cell>
          <cell r="T347">
            <v>0</v>
          </cell>
          <cell r="U347">
            <v>0</v>
          </cell>
          <cell r="V347">
            <v>0</v>
          </cell>
          <cell r="W347">
            <v>0</v>
          </cell>
          <cell r="X347">
            <v>0</v>
          </cell>
          <cell r="Y347">
            <v>0</v>
          </cell>
          <cell r="Z347">
            <v>0</v>
          </cell>
          <cell r="AA347">
            <v>0</v>
          </cell>
          <cell r="AC347">
            <v>0</v>
          </cell>
          <cell r="AD347">
            <v>0</v>
          </cell>
        </row>
        <row r="348">
          <cell r="B348">
            <v>14080</v>
          </cell>
          <cell r="C348" t="str">
            <v>CASH CREDIT - HSBC (005-464698-002)</v>
          </cell>
          <cell r="D348">
            <v>1058343.7</v>
          </cell>
          <cell r="E348">
            <v>-5908267.7800000003</v>
          </cell>
          <cell r="F348">
            <v>3060617647.3099999</v>
          </cell>
          <cell r="G348">
            <v>-3033100389.4000001</v>
          </cell>
          <cell r="H348">
            <v>13096</v>
          </cell>
          <cell r="I348">
            <v>-147908.70000000001</v>
          </cell>
          <cell r="J348">
            <v>0</v>
          </cell>
          <cell r="K348">
            <v>0</v>
          </cell>
          <cell r="L348">
            <v>59122768</v>
          </cell>
          <cell r="M348">
            <v>-76538.039999999994</v>
          </cell>
          <cell r="N348">
            <v>564828730.84000003</v>
          </cell>
          <cell r="O348">
            <v>-605005739.49000001</v>
          </cell>
          <cell r="P348">
            <v>3626517817.8499999</v>
          </cell>
          <cell r="Q348">
            <v>-3644162305.3699999</v>
          </cell>
          <cell r="S348">
            <v>14019297.230000019</v>
          </cell>
          <cell r="T348">
            <v>27382445.209999848</v>
          </cell>
          <cell r="U348">
            <v>1465622.05</v>
          </cell>
          <cell r="V348">
            <v>-991073.2</v>
          </cell>
          <cell r="W348">
            <v>12553675.180000018</v>
          </cell>
          <cell r="X348">
            <v>28373518.409999847</v>
          </cell>
          <cell r="Y348">
            <v>14019297.230000019</v>
          </cell>
          <cell r="Z348">
            <v>27382445.209999848</v>
          </cell>
          <cell r="AA348">
            <v>41401742.439999864</v>
          </cell>
          <cell r="AC348">
            <v>14080</v>
          </cell>
          <cell r="AD348">
            <v>0</v>
          </cell>
        </row>
        <row r="349">
          <cell r="S349">
            <v>0</v>
          </cell>
          <cell r="T349">
            <v>0</v>
          </cell>
          <cell r="U349">
            <v>0</v>
          </cell>
          <cell r="V349">
            <v>0</v>
          </cell>
          <cell r="W349">
            <v>0</v>
          </cell>
          <cell r="X349">
            <v>0</v>
          </cell>
          <cell r="Y349">
            <v>0</v>
          </cell>
          <cell r="Z349">
            <v>0</v>
          </cell>
          <cell r="AA349">
            <v>0</v>
          </cell>
          <cell r="AC349">
            <v>0</v>
          </cell>
          <cell r="AD349">
            <v>0</v>
          </cell>
        </row>
        <row r="350">
          <cell r="B350">
            <v>14082</v>
          </cell>
          <cell r="C350" t="str">
            <v>DEMAND LOAN - HSBC (0630)</v>
          </cell>
          <cell r="D350">
            <v>815085040.98000002</v>
          </cell>
          <cell r="E350">
            <v>-820085040.98000002</v>
          </cell>
          <cell r="F350">
            <v>0</v>
          </cell>
          <cell r="G350">
            <v>0</v>
          </cell>
          <cell r="H350">
            <v>0</v>
          </cell>
          <cell r="I350">
            <v>0</v>
          </cell>
          <cell r="J350">
            <v>0</v>
          </cell>
          <cell r="K350">
            <v>0</v>
          </cell>
          <cell r="L350">
            <v>20000000</v>
          </cell>
          <cell r="M350">
            <v>-110000000</v>
          </cell>
          <cell r="N350">
            <v>0</v>
          </cell>
          <cell r="O350">
            <v>0</v>
          </cell>
          <cell r="P350">
            <v>815085040.98000002</v>
          </cell>
          <cell r="Q350">
            <v>-820085040.98000002</v>
          </cell>
          <cell r="S350">
            <v>-95000000</v>
          </cell>
          <cell r="T350">
            <v>0</v>
          </cell>
          <cell r="U350">
            <v>-100000000</v>
          </cell>
          <cell r="V350">
            <v>0</v>
          </cell>
          <cell r="W350">
            <v>5000000</v>
          </cell>
          <cell r="X350">
            <v>0</v>
          </cell>
          <cell r="Y350">
            <v>-95000000</v>
          </cell>
          <cell r="Z350">
            <v>0</v>
          </cell>
          <cell r="AA350">
            <v>-95000000</v>
          </cell>
          <cell r="AC350">
            <v>14082</v>
          </cell>
          <cell r="AD350">
            <v>0</v>
          </cell>
        </row>
        <row r="351">
          <cell r="S351">
            <v>0</v>
          </cell>
          <cell r="T351">
            <v>0</v>
          </cell>
          <cell r="U351">
            <v>0</v>
          </cell>
          <cell r="V351">
            <v>0</v>
          </cell>
          <cell r="W351">
            <v>0</v>
          </cell>
          <cell r="X351">
            <v>0</v>
          </cell>
          <cell r="Y351">
            <v>0</v>
          </cell>
          <cell r="Z351">
            <v>0</v>
          </cell>
          <cell r="AA351">
            <v>0</v>
          </cell>
          <cell r="AC351">
            <v>0</v>
          </cell>
          <cell r="AD351">
            <v>0</v>
          </cell>
        </row>
        <row r="352">
          <cell r="B352">
            <v>14083</v>
          </cell>
          <cell r="C352" t="str">
            <v>PACKING CREDIT - HSBC (0610)</v>
          </cell>
          <cell r="D352">
            <v>144015740</v>
          </cell>
          <cell r="E352">
            <v>-178906133.21000001</v>
          </cell>
          <cell r="F352">
            <v>0</v>
          </cell>
          <cell r="G352">
            <v>0</v>
          </cell>
          <cell r="H352">
            <v>0</v>
          </cell>
          <cell r="I352">
            <v>0</v>
          </cell>
          <cell r="J352">
            <v>0</v>
          </cell>
          <cell r="K352">
            <v>0</v>
          </cell>
          <cell r="L352">
            <v>0</v>
          </cell>
          <cell r="M352">
            <v>0</v>
          </cell>
          <cell r="N352">
            <v>0</v>
          </cell>
          <cell r="O352">
            <v>0</v>
          </cell>
          <cell r="P352">
            <v>144015740</v>
          </cell>
          <cell r="Q352">
            <v>-178906133.21000001</v>
          </cell>
          <cell r="S352">
            <v>-34890393.210000008</v>
          </cell>
          <cell r="T352">
            <v>0</v>
          </cell>
          <cell r="U352">
            <v>-21655260</v>
          </cell>
          <cell r="V352">
            <v>0</v>
          </cell>
          <cell r="W352">
            <v>-13235133.210000008</v>
          </cell>
          <cell r="X352">
            <v>0</v>
          </cell>
          <cell r="Y352">
            <v>-34890393.210000008</v>
          </cell>
          <cell r="Z352">
            <v>0</v>
          </cell>
          <cell r="AA352">
            <v>-34890393.210000008</v>
          </cell>
          <cell r="AC352">
            <v>14083</v>
          </cell>
          <cell r="AD352">
            <v>0</v>
          </cell>
        </row>
        <row r="353">
          <cell r="S353">
            <v>0</v>
          </cell>
          <cell r="T353">
            <v>0</v>
          </cell>
          <cell r="U353">
            <v>0</v>
          </cell>
          <cell r="V353">
            <v>0</v>
          </cell>
          <cell r="W353">
            <v>0</v>
          </cell>
          <cell r="X353">
            <v>0</v>
          </cell>
          <cell r="Y353">
            <v>0</v>
          </cell>
          <cell r="Z353">
            <v>0</v>
          </cell>
          <cell r="AA353">
            <v>0</v>
          </cell>
          <cell r="AC353">
            <v>0</v>
          </cell>
          <cell r="AD353">
            <v>0</v>
          </cell>
        </row>
        <row r="354">
          <cell r="B354">
            <v>14114</v>
          </cell>
          <cell r="C354" t="str">
            <v>TERM LOAN (0810, 0815)</v>
          </cell>
          <cell r="D354">
            <v>146487881.90000001</v>
          </cell>
          <cell r="E354">
            <v>-155121436.19</v>
          </cell>
          <cell r="F354">
            <v>10714288.16</v>
          </cell>
          <cell r="G354">
            <v>-10714286.109999999</v>
          </cell>
          <cell r="H354">
            <v>0</v>
          </cell>
          <cell r="I354">
            <v>0</v>
          </cell>
          <cell r="J354">
            <v>0</v>
          </cell>
          <cell r="K354">
            <v>0</v>
          </cell>
          <cell r="L354">
            <v>0</v>
          </cell>
          <cell r="M354">
            <v>-10714288.16</v>
          </cell>
          <cell r="N354">
            <v>0</v>
          </cell>
          <cell r="O354">
            <v>0</v>
          </cell>
          <cell r="P354">
            <v>157202170.06</v>
          </cell>
          <cell r="Q354">
            <v>-165835722.30000001</v>
          </cell>
          <cell r="S354">
            <v>-19347842.449999992</v>
          </cell>
          <cell r="T354">
            <v>2.0500000007450581</v>
          </cell>
          <cell r="U354">
            <v>-26584802.449999999</v>
          </cell>
          <cell r="V354">
            <v>2.0499999999999998</v>
          </cell>
          <cell r="W354">
            <v>7236960.0000000075</v>
          </cell>
          <cell r="X354">
            <v>7.4505823732806675E-10</v>
          </cell>
          <cell r="Y354">
            <v>-19347842.449999992</v>
          </cell>
          <cell r="Z354">
            <v>2.0500000007450581</v>
          </cell>
          <cell r="AA354">
            <v>-19347840.399999991</v>
          </cell>
          <cell r="AC354">
            <v>14114</v>
          </cell>
          <cell r="AD354">
            <v>0</v>
          </cell>
        </row>
        <row r="355">
          <cell r="S355">
            <v>0</v>
          </cell>
          <cell r="T355">
            <v>0</v>
          </cell>
          <cell r="U355">
            <v>0</v>
          </cell>
          <cell r="V355">
            <v>0</v>
          </cell>
          <cell r="W355">
            <v>0</v>
          </cell>
          <cell r="X355">
            <v>0</v>
          </cell>
          <cell r="Y355">
            <v>0</v>
          </cell>
          <cell r="Z355">
            <v>0</v>
          </cell>
          <cell r="AA355">
            <v>0</v>
          </cell>
          <cell r="AC355">
            <v>0</v>
          </cell>
          <cell r="AD355">
            <v>0</v>
          </cell>
        </row>
        <row r="356">
          <cell r="B356">
            <v>14126</v>
          </cell>
          <cell r="C356" t="str">
            <v>LOAN FROM - BL &amp; CO. (1225)</v>
          </cell>
          <cell r="D356">
            <v>0</v>
          </cell>
          <cell r="E356">
            <v>0</v>
          </cell>
          <cell r="F356">
            <v>0</v>
          </cell>
          <cell r="G356">
            <v>0</v>
          </cell>
          <cell r="H356">
            <v>0</v>
          </cell>
          <cell r="I356">
            <v>0</v>
          </cell>
          <cell r="J356">
            <v>0</v>
          </cell>
          <cell r="K356">
            <v>0</v>
          </cell>
          <cell r="L356">
            <v>135000000</v>
          </cell>
          <cell r="M356">
            <v>-336791984</v>
          </cell>
          <cell r="N356">
            <v>0</v>
          </cell>
          <cell r="O356">
            <v>0</v>
          </cell>
          <cell r="P356">
            <v>0</v>
          </cell>
          <cell r="Q356">
            <v>0</v>
          </cell>
          <cell r="S356">
            <v>-201791984</v>
          </cell>
          <cell r="T356">
            <v>0</v>
          </cell>
          <cell r="U356">
            <v>-181791984</v>
          </cell>
          <cell r="V356">
            <v>0</v>
          </cell>
          <cell r="W356">
            <v>-20000000</v>
          </cell>
          <cell r="X356">
            <v>0</v>
          </cell>
          <cell r="Y356">
            <v>-201791984</v>
          </cell>
          <cell r="Z356">
            <v>0</v>
          </cell>
          <cell r="AA356">
            <v>-201791984</v>
          </cell>
          <cell r="AC356">
            <v>14126</v>
          </cell>
          <cell r="AD356">
            <v>0</v>
          </cell>
        </row>
        <row r="357">
          <cell r="S357">
            <v>0</v>
          </cell>
          <cell r="T357">
            <v>0</v>
          </cell>
          <cell r="U357">
            <v>0</v>
          </cell>
          <cell r="V357">
            <v>0</v>
          </cell>
          <cell r="W357">
            <v>0</v>
          </cell>
          <cell r="X357">
            <v>0</v>
          </cell>
          <cell r="Y357">
            <v>0</v>
          </cell>
          <cell r="Z357">
            <v>0</v>
          </cell>
          <cell r="AA357">
            <v>0</v>
          </cell>
          <cell r="AC357">
            <v>0</v>
          </cell>
          <cell r="AD357">
            <v>0</v>
          </cell>
        </row>
        <row r="358">
          <cell r="B358">
            <v>14142</v>
          </cell>
          <cell r="C358" t="str">
            <v>VEHICLE LOAN FROM BANK (0813)</v>
          </cell>
          <cell r="D358">
            <v>3072276</v>
          </cell>
          <cell r="E358">
            <v>-2296906</v>
          </cell>
          <cell r="F358">
            <v>72985</v>
          </cell>
          <cell r="G358">
            <v>0</v>
          </cell>
          <cell r="H358">
            <v>0</v>
          </cell>
          <cell r="I358">
            <v>0</v>
          </cell>
          <cell r="J358">
            <v>0</v>
          </cell>
          <cell r="K358">
            <v>0</v>
          </cell>
          <cell r="L358">
            <v>459618</v>
          </cell>
          <cell r="M358">
            <v>-3013633</v>
          </cell>
          <cell r="N358">
            <v>0</v>
          </cell>
          <cell r="O358">
            <v>0</v>
          </cell>
          <cell r="P358">
            <v>3145261</v>
          </cell>
          <cell r="Q358">
            <v>-2296906</v>
          </cell>
          <cell r="S358">
            <v>-1778645</v>
          </cell>
          <cell r="T358">
            <v>72985</v>
          </cell>
          <cell r="U358">
            <v>-2253151</v>
          </cell>
          <cell r="V358">
            <v>0</v>
          </cell>
          <cell r="W358">
            <v>474506</v>
          </cell>
          <cell r="X358">
            <v>72985</v>
          </cell>
          <cell r="Y358">
            <v>-1778645</v>
          </cell>
          <cell r="Z358">
            <v>72985</v>
          </cell>
          <cell r="AA358">
            <v>-1705660</v>
          </cell>
          <cell r="AC358">
            <v>14142</v>
          </cell>
          <cell r="AD358">
            <v>0</v>
          </cell>
        </row>
        <row r="359">
          <cell r="S359">
            <v>0</v>
          </cell>
          <cell r="T359">
            <v>0</v>
          </cell>
          <cell r="U359">
            <v>0</v>
          </cell>
          <cell r="V359">
            <v>0</v>
          </cell>
          <cell r="W359">
            <v>0</v>
          </cell>
          <cell r="X359">
            <v>0</v>
          </cell>
          <cell r="Y359">
            <v>0</v>
          </cell>
          <cell r="Z359">
            <v>0</v>
          </cell>
          <cell r="AA359">
            <v>0</v>
          </cell>
          <cell r="AC359">
            <v>0</v>
          </cell>
          <cell r="AD359">
            <v>0</v>
          </cell>
        </row>
        <row r="360">
          <cell r="B360">
            <v>14143</v>
          </cell>
          <cell r="C360" t="str">
            <v>INTEREST ACCRUED &amp; DUE ON LOAN</v>
          </cell>
          <cell r="D360">
            <v>9839</v>
          </cell>
          <cell r="E360">
            <v>0</v>
          </cell>
          <cell r="F360">
            <v>0</v>
          </cell>
          <cell r="G360">
            <v>0</v>
          </cell>
          <cell r="H360">
            <v>0</v>
          </cell>
          <cell r="I360">
            <v>0</v>
          </cell>
          <cell r="J360">
            <v>0</v>
          </cell>
          <cell r="K360">
            <v>0</v>
          </cell>
          <cell r="L360">
            <v>0</v>
          </cell>
          <cell r="M360">
            <v>-9839</v>
          </cell>
          <cell r="N360">
            <v>0</v>
          </cell>
          <cell r="O360">
            <v>0</v>
          </cell>
          <cell r="P360">
            <v>9839</v>
          </cell>
          <cell r="Q360">
            <v>0</v>
          </cell>
          <cell r="S360">
            <v>0</v>
          </cell>
          <cell r="T360">
            <v>0</v>
          </cell>
          <cell r="U360">
            <v>0</v>
          </cell>
          <cell r="V360">
            <v>0</v>
          </cell>
          <cell r="W360">
            <v>0</v>
          </cell>
          <cell r="X360">
            <v>0</v>
          </cell>
          <cell r="Y360">
            <v>0</v>
          </cell>
          <cell r="Z360">
            <v>0</v>
          </cell>
          <cell r="AA360">
            <v>0</v>
          </cell>
          <cell r="AC360">
            <v>14143</v>
          </cell>
          <cell r="AD360">
            <v>0</v>
          </cell>
        </row>
        <row r="361">
          <cell r="S361">
            <v>0</v>
          </cell>
          <cell r="T361">
            <v>0</v>
          </cell>
          <cell r="U361">
            <v>0</v>
          </cell>
          <cell r="V361">
            <v>0</v>
          </cell>
          <cell r="W361">
            <v>0</v>
          </cell>
          <cell r="X361">
            <v>0</v>
          </cell>
          <cell r="Y361">
            <v>0</v>
          </cell>
          <cell r="Z361">
            <v>0</v>
          </cell>
          <cell r="AA361">
            <v>0</v>
          </cell>
          <cell r="AC361">
            <v>0</v>
          </cell>
          <cell r="AD361">
            <v>0</v>
          </cell>
        </row>
        <row r="362">
          <cell r="B362">
            <v>14233</v>
          </cell>
          <cell r="C362" t="str">
            <v>LOAN FROM -GREIF (1220)</v>
          </cell>
          <cell r="D362">
            <v>0</v>
          </cell>
          <cell r="E362">
            <v>0</v>
          </cell>
          <cell r="F362">
            <v>0</v>
          </cell>
          <cell r="G362">
            <v>0</v>
          </cell>
          <cell r="H362">
            <v>0</v>
          </cell>
          <cell r="I362">
            <v>0</v>
          </cell>
          <cell r="J362">
            <v>0</v>
          </cell>
          <cell r="K362">
            <v>0</v>
          </cell>
          <cell r="L362">
            <v>0</v>
          </cell>
          <cell r="M362">
            <v>-26250000</v>
          </cell>
          <cell r="N362">
            <v>0</v>
          </cell>
          <cell r="O362">
            <v>0</v>
          </cell>
          <cell r="P362">
            <v>0</v>
          </cell>
          <cell r="Q362">
            <v>0</v>
          </cell>
          <cell r="S362">
            <v>-26250000</v>
          </cell>
          <cell r="T362">
            <v>0</v>
          </cell>
          <cell r="U362">
            <v>-26250000</v>
          </cell>
          <cell r="V362">
            <v>0</v>
          </cell>
          <cell r="W362">
            <v>0</v>
          </cell>
          <cell r="X362">
            <v>0</v>
          </cell>
          <cell r="Y362">
            <v>-26250000</v>
          </cell>
          <cell r="Z362">
            <v>0</v>
          </cell>
          <cell r="AA362">
            <v>-26250000</v>
          </cell>
          <cell r="AC362">
            <v>14233</v>
          </cell>
          <cell r="AD362">
            <v>0</v>
          </cell>
        </row>
        <row r="363">
          <cell r="S363">
            <v>0</v>
          </cell>
          <cell r="T363">
            <v>0</v>
          </cell>
          <cell r="U363">
            <v>0</v>
          </cell>
          <cell r="V363">
            <v>0</v>
          </cell>
          <cell r="W363">
            <v>0</v>
          </cell>
          <cell r="X363">
            <v>0</v>
          </cell>
          <cell r="Y363">
            <v>0</v>
          </cell>
          <cell r="Z363">
            <v>0</v>
          </cell>
          <cell r="AA363">
            <v>0</v>
          </cell>
          <cell r="AC363">
            <v>0</v>
          </cell>
          <cell r="AD363">
            <v>0</v>
          </cell>
        </row>
        <row r="364">
          <cell r="B364">
            <v>14235</v>
          </cell>
          <cell r="C364" t="str">
            <v>LOAN FROM BANKS (UNSECURED-RBS) (1226)</v>
          </cell>
          <cell r="D364">
            <v>35000000</v>
          </cell>
          <cell r="E364">
            <v>-50000000</v>
          </cell>
          <cell r="F364">
            <v>0</v>
          </cell>
          <cell r="G364">
            <v>0</v>
          </cell>
          <cell r="H364">
            <v>0</v>
          </cell>
          <cell r="I364">
            <v>0</v>
          </cell>
          <cell r="J364">
            <v>0</v>
          </cell>
          <cell r="K364">
            <v>0</v>
          </cell>
          <cell r="L364">
            <v>0</v>
          </cell>
          <cell r="M364">
            <v>-75037397</v>
          </cell>
          <cell r="N364">
            <v>0</v>
          </cell>
          <cell r="O364">
            <v>0</v>
          </cell>
          <cell r="P364">
            <v>35000000</v>
          </cell>
          <cell r="Q364">
            <v>-50000000</v>
          </cell>
          <cell r="S364">
            <v>-90037397</v>
          </cell>
          <cell r="T364">
            <v>0</v>
          </cell>
          <cell r="U364">
            <v>-60037397</v>
          </cell>
          <cell r="V364">
            <v>0</v>
          </cell>
          <cell r="W364">
            <v>-30000000</v>
          </cell>
          <cell r="X364">
            <v>0</v>
          </cell>
          <cell r="Y364">
            <v>-90037397</v>
          </cell>
          <cell r="Z364">
            <v>0</v>
          </cell>
          <cell r="AA364">
            <v>-90037397</v>
          </cell>
          <cell r="AC364">
            <v>14235</v>
          </cell>
          <cell r="AD364">
            <v>0</v>
          </cell>
        </row>
        <row r="365">
          <cell r="S365">
            <v>0</v>
          </cell>
          <cell r="T365">
            <v>0</v>
          </cell>
          <cell r="U365">
            <v>0</v>
          </cell>
          <cell r="V365">
            <v>0</v>
          </cell>
          <cell r="W365">
            <v>0</v>
          </cell>
          <cell r="X365">
            <v>0</v>
          </cell>
          <cell r="Y365">
            <v>0</v>
          </cell>
          <cell r="Z365">
            <v>0</v>
          </cell>
          <cell r="AA365">
            <v>0</v>
          </cell>
          <cell r="AC365">
            <v>0</v>
          </cell>
          <cell r="AD365">
            <v>0</v>
          </cell>
        </row>
        <row r="366">
          <cell r="B366">
            <v>14236</v>
          </cell>
          <cell r="C366" t="str">
            <v>LOAN FROM OTHERS (UNSECURED)</v>
          </cell>
          <cell r="D366">
            <v>0</v>
          </cell>
          <cell r="E366">
            <v>-10000000</v>
          </cell>
          <cell r="F366">
            <v>0</v>
          </cell>
          <cell r="G366">
            <v>0</v>
          </cell>
          <cell r="H366">
            <v>0</v>
          </cell>
          <cell r="I366">
            <v>0</v>
          </cell>
          <cell r="J366">
            <v>0</v>
          </cell>
          <cell r="K366">
            <v>0</v>
          </cell>
          <cell r="L366">
            <v>0</v>
          </cell>
          <cell r="M366">
            <v>0</v>
          </cell>
          <cell r="N366">
            <v>0</v>
          </cell>
          <cell r="O366">
            <v>0</v>
          </cell>
          <cell r="P366">
            <v>0</v>
          </cell>
          <cell r="Q366">
            <v>-10000000</v>
          </cell>
          <cell r="S366">
            <v>-10000000</v>
          </cell>
          <cell r="T366">
            <v>0</v>
          </cell>
          <cell r="U366">
            <v>0</v>
          </cell>
          <cell r="V366">
            <v>0</v>
          </cell>
          <cell r="W366">
            <v>-10000000</v>
          </cell>
          <cell r="X366">
            <v>0</v>
          </cell>
          <cell r="Y366">
            <v>-10000000</v>
          </cell>
          <cell r="Z366">
            <v>0</v>
          </cell>
          <cell r="AA366">
            <v>-10000000</v>
          </cell>
          <cell r="AC366">
            <v>14236</v>
          </cell>
          <cell r="AD366">
            <v>0</v>
          </cell>
        </row>
        <row r="367">
          <cell r="S367">
            <v>0</v>
          </cell>
          <cell r="T367">
            <v>0</v>
          </cell>
          <cell r="U367">
            <v>0</v>
          </cell>
          <cell r="V367">
            <v>0</v>
          </cell>
          <cell r="W367">
            <v>0</v>
          </cell>
          <cell r="X367">
            <v>0</v>
          </cell>
          <cell r="Y367">
            <v>0</v>
          </cell>
          <cell r="Z367">
            <v>0</v>
          </cell>
          <cell r="AA367">
            <v>0</v>
          </cell>
          <cell r="AC367">
            <v>0</v>
          </cell>
          <cell r="AD367">
            <v>0</v>
          </cell>
        </row>
        <row r="368">
          <cell r="B368">
            <v>14274</v>
          </cell>
          <cell r="C368" t="str">
            <v>INTER UNIT A/C - (0200-206,0608,)</v>
          </cell>
          <cell r="D368">
            <v>7538906768.6099997</v>
          </cell>
          <cell r="E368">
            <v>-3704580481.8699999</v>
          </cell>
          <cell r="F368">
            <v>3639134152.9200001</v>
          </cell>
          <cell r="G368">
            <v>-7311033510.8900003</v>
          </cell>
          <cell r="H368">
            <v>543415861.16999996</v>
          </cell>
          <cell r="I368">
            <v>-543415861.16999996</v>
          </cell>
          <cell r="J368">
            <v>83037</v>
          </cell>
          <cell r="K368">
            <v>-83037</v>
          </cell>
          <cell r="L368">
            <v>2339431.94</v>
          </cell>
          <cell r="M368">
            <v>-25856309.25</v>
          </cell>
          <cell r="N368">
            <v>13774227.76</v>
          </cell>
          <cell r="O368">
            <v>-8766583.9000000004</v>
          </cell>
          <cell r="P368">
            <v>11735314047.459999</v>
          </cell>
          <cell r="Q368">
            <v>-11567879474.83</v>
          </cell>
          <cell r="S368">
            <v>3815817053.29</v>
          </cell>
          <cell r="T368">
            <v>-3671899357.9700003</v>
          </cell>
          <cell r="U368">
            <v>3415219735.6199999</v>
          </cell>
          <cell r="V368">
            <v>-3285818319.0300002</v>
          </cell>
          <cell r="W368">
            <v>400597317.67000008</v>
          </cell>
          <cell r="X368">
            <v>-386081038.94000006</v>
          </cell>
          <cell r="Y368">
            <v>3815817053.29</v>
          </cell>
          <cell r="Z368">
            <v>-3671899357.9700003</v>
          </cell>
          <cell r="AA368">
            <v>143917695.31999969</v>
          </cell>
          <cell r="AC368">
            <v>14274</v>
          </cell>
          <cell r="AD368">
            <v>0</v>
          </cell>
        </row>
        <row r="369">
          <cell r="S369">
            <v>0</v>
          </cell>
          <cell r="T369">
            <v>0</v>
          </cell>
          <cell r="U369">
            <v>0</v>
          </cell>
          <cell r="V369">
            <v>0</v>
          </cell>
          <cell r="W369">
            <v>0</v>
          </cell>
          <cell r="X369">
            <v>0</v>
          </cell>
          <cell r="Y369">
            <v>0</v>
          </cell>
          <cell r="Z369">
            <v>0</v>
          </cell>
          <cell r="AA369">
            <v>0</v>
          </cell>
          <cell r="AC369">
            <v>0</v>
          </cell>
          <cell r="AD369">
            <v>0</v>
          </cell>
        </row>
        <row r="370">
          <cell r="B370">
            <v>14275</v>
          </cell>
          <cell r="C370" t="str">
            <v>INTER UNIT A/C - PAyable</v>
          </cell>
          <cell r="D370">
            <v>141827.85999999999</v>
          </cell>
          <cell r="E370">
            <v>-3673721.49</v>
          </cell>
          <cell r="F370">
            <v>5053102.91</v>
          </cell>
          <cell r="G370">
            <v>-107502958.45999999</v>
          </cell>
          <cell r="H370">
            <v>0</v>
          </cell>
          <cell r="I370">
            <v>0</v>
          </cell>
          <cell r="J370">
            <v>0</v>
          </cell>
          <cell r="K370">
            <v>0</v>
          </cell>
          <cell r="L370">
            <v>0</v>
          </cell>
          <cell r="M370">
            <v>0</v>
          </cell>
          <cell r="N370">
            <v>8766583.9000000004</v>
          </cell>
          <cell r="O370">
            <v>-13774227.76</v>
          </cell>
          <cell r="P370">
            <v>13961514.67</v>
          </cell>
          <cell r="Q370">
            <v>-124950907.70999999</v>
          </cell>
          <cell r="S370">
            <v>-8539537.4900000002</v>
          </cell>
          <cell r="T370">
            <v>-102449855.55</v>
          </cell>
          <cell r="U370">
            <v>-868400.2</v>
          </cell>
          <cell r="V370">
            <v>-93625170.109999999</v>
          </cell>
          <cell r="W370">
            <v>-7671137.29</v>
          </cell>
          <cell r="X370">
            <v>-8824685.4399999976</v>
          </cell>
          <cell r="Y370">
            <v>-8539537.4900000002</v>
          </cell>
          <cell r="Z370">
            <v>-102449855.55</v>
          </cell>
          <cell r="AA370">
            <v>-110989393.03999999</v>
          </cell>
          <cell r="AC370">
            <v>14275</v>
          </cell>
          <cell r="AD370">
            <v>0</v>
          </cell>
        </row>
        <row r="371">
          <cell r="S371">
            <v>0</v>
          </cell>
          <cell r="T371">
            <v>0</v>
          </cell>
          <cell r="U371">
            <v>0</v>
          </cell>
          <cell r="V371">
            <v>0</v>
          </cell>
          <cell r="W371">
            <v>0</v>
          </cell>
          <cell r="X371">
            <v>0</v>
          </cell>
          <cell r="Y371">
            <v>0</v>
          </cell>
          <cell r="Z371">
            <v>0</v>
          </cell>
          <cell r="AA371">
            <v>0</v>
          </cell>
          <cell r="AC371">
            <v>0</v>
          </cell>
          <cell r="AD371">
            <v>0</v>
          </cell>
        </row>
        <row r="372">
          <cell r="E372" t="str">
            <v>SDCT</v>
          </cell>
          <cell r="F372" t="str">
            <v>PCDT</v>
          </cell>
          <cell r="G372" t="str">
            <v>PCDC</v>
          </cell>
          <cell r="I372" t="str">
            <v>PCDN</v>
          </cell>
          <cell r="K372" t="str">
            <v>CORP</v>
          </cell>
          <cell r="M372" t="str">
            <v>OTHER</v>
          </cell>
          <cell r="O372" t="str">
            <v>TOTAL</v>
          </cell>
          <cell r="U372">
            <v>0</v>
          </cell>
          <cell r="V372">
            <v>0</v>
          </cell>
          <cell r="W372">
            <v>0</v>
          </cell>
          <cell r="X372">
            <v>0</v>
          </cell>
          <cell r="Y372">
            <v>0</v>
          </cell>
          <cell r="Z372">
            <v>0</v>
          </cell>
          <cell r="AA372">
            <v>0</v>
          </cell>
          <cell r="AC372">
            <v>0</v>
          </cell>
          <cell r="AD372">
            <v>0</v>
          </cell>
        </row>
        <row r="373">
          <cell r="B373" t="str">
            <v>GL CODE</v>
          </cell>
          <cell r="C373" t="str">
            <v>ACCOUNT HEAD</v>
          </cell>
          <cell r="S373">
            <v>0</v>
          </cell>
          <cell r="T373">
            <v>0</v>
          </cell>
          <cell r="U373" t="str">
            <v>SDCT</v>
          </cell>
          <cell r="V373" t="str">
            <v>PCDT</v>
          </cell>
          <cell r="AA373">
            <v>0</v>
          </cell>
          <cell r="AC373">
            <v>0</v>
          </cell>
          <cell r="AD373" t="e">
            <v>#VALUE!</v>
          </cell>
        </row>
        <row r="374">
          <cell r="S374">
            <v>0</v>
          </cell>
          <cell r="T374">
            <v>0</v>
          </cell>
          <cell r="U374">
            <v>0</v>
          </cell>
          <cell r="V374">
            <v>0</v>
          </cell>
          <cell r="W374">
            <v>0</v>
          </cell>
          <cell r="X374">
            <v>0</v>
          </cell>
          <cell r="Y374">
            <v>0</v>
          </cell>
          <cell r="Z374">
            <v>0</v>
          </cell>
          <cell r="AA374">
            <v>0</v>
          </cell>
          <cell r="AC374">
            <v>0</v>
          </cell>
          <cell r="AD374">
            <v>0</v>
          </cell>
        </row>
        <row r="375">
          <cell r="D375" t="str">
            <v>DR.</v>
          </cell>
          <cell r="E375" t="str">
            <v>CR.</v>
          </cell>
          <cell r="F375" t="str">
            <v>DR.</v>
          </cell>
          <cell r="G375" t="str">
            <v>CR.</v>
          </cell>
          <cell r="H375" t="str">
            <v>DR.</v>
          </cell>
          <cell r="I375" t="str">
            <v>CR.</v>
          </cell>
          <cell r="J375" t="str">
            <v>DR.</v>
          </cell>
          <cell r="K375" t="str">
            <v>CR.</v>
          </cell>
          <cell r="L375" t="str">
            <v>DR.</v>
          </cell>
          <cell r="M375" t="str">
            <v>CR.</v>
          </cell>
          <cell r="N375" t="str">
            <v>DR.</v>
          </cell>
          <cell r="O375" t="str">
            <v>CR.</v>
          </cell>
          <cell r="P375" t="str">
            <v>DR.</v>
          </cell>
          <cell r="Q375" t="str">
            <v>CR.</v>
          </cell>
          <cell r="U375">
            <v>0</v>
          </cell>
          <cell r="V375">
            <v>0</v>
          </cell>
          <cell r="W375">
            <v>0</v>
          </cell>
          <cell r="X375">
            <v>0</v>
          </cell>
          <cell r="Y375">
            <v>0</v>
          </cell>
          <cell r="Z375">
            <v>0</v>
          </cell>
          <cell r="AA375">
            <v>0</v>
          </cell>
          <cell r="AC375">
            <v>0</v>
          </cell>
          <cell r="AD375">
            <v>0</v>
          </cell>
        </row>
        <row r="376">
          <cell r="S376">
            <v>0</v>
          </cell>
          <cell r="T376">
            <v>0</v>
          </cell>
          <cell r="U376">
            <v>0</v>
          </cell>
          <cell r="V376">
            <v>0</v>
          </cell>
          <cell r="W376">
            <v>0</v>
          </cell>
          <cell r="X376">
            <v>0</v>
          </cell>
          <cell r="Y376">
            <v>0</v>
          </cell>
          <cell r="Z376">
            <v>0</v>
          </cell>
          <cell r="AA376">
            <v>0</v>
          </cell>
          <cell r="AC376">
            <v>0</v>
          </cell>
          <cell r="AD376">
            <v>0</v>
          </cell>
        </row>
        <row r="377">
          <cell r="S377">
            <v>0</v>
          </cell>
          <cell r="T377">
            <v>0</v>
          </cell>
          <cell r="U377">
            <v>0</v>
          </cell>
          <cell r="V377">
            <v>0</v>
          </cell>
          <cell r="W377">
            <v>0</v>
          </cell>
          <cell r="X377">
            <v>0</v>
          </cell>
          <cell r="Y377">
            <v>0</v>
          </cell>
          <cell r="Z377">
            <v>0</v>
          </cell>
          <cell r="AA377">
            <v>0</v>
          </cell>
          <cell r="AC377">
            <v>0</v>
          </cell>
          <cell r="AD377">
            <v>0</v>
          </cell>
        </row>
        <row r="378">
          <cell r="B378">
            <v>14276</v>
          </cell>
          <cell r="C378" t="str">
            <v>INTER UNIT-CHENNAI DIVISION</v>
          </cell>
          <cell r="D378">
            <v>794255577.55999994</v>
          </cell>
          <cell r="E378">
            <v>-1266558839.3</v>
          </cell>
          <cell r="F378">
            <v>1154871990.53</v>
          </cell>
          <cell r="G378">
            <v>-558008723.85000002</v>
          </cell>
          <cell r="H378">
            <v>15209262.67</v>
          </cell>
          <cell r="I378">
            <v>-15209262.67</v>
          </cell>
          <cell r="J378">
            <v>0</v>
          </cell>
          <cell r="K378">
            <v>0</v>
          </cell>
          <cell r="L378">
            <v>73125</v>
          </cell>
          <cell r="M378">
            <v>0</v>
          </cell>
          <cell r="N378">
            <v>0</v>
          </cell>
          <cell r="O378">
            <v>0</v>
          </cell>
          <cell r="P378">
            <v>1964336830.76</v>
          </cell>
          <cell r="Q378">
            <v>-1839776825.8199999</v>
          </cell>
          <cell r="S378">
            <v>-472230136.74000001</v>
          </cell>
          <cell r="T378">
            <v>596863266.67999995</v>
          </cell>
          <cell r="U378">
            <v>-393775717.99000001</v>
          </cell>
          <cell r="V378">
            <v>565796777.28999996</v>
          </cell>
          <cell r="W378">
            <v>-78454418.75</v>
          </cell>
          <cell r="X378">
            <v>31066489.389999986</v>
          </cell>
          <cell r="Y378">
            <v>-472230136.74000001</v>
          </cell>
          <cell r="Z378">
            <v>596863266.67999995</v>
          </cell>
          <cell r="AA378">
            <v>124633129.93999994</v>
          </cell>
          <cell r="AC378">
            <v>14276</v>
          </cell>
          <cell r="AD378">
            <v>0</v>
          </cell>
        </row>
        <row r="379">
          <cell r="S379">
            <v>0</v>
          </cell>
          <cell r="T379">
            <v>0</v>
          </cell>
          <cell r="U379">
            <v>0</v>
          </cell>
          <cell r="V379">
            <v>0</v>
          </cell>
          <cell r="W379">
            <v>0</v>
          </cell>
          <cell r="X379">
            <v>0</v>
          </cell>
          <cell r="Y379">
            <v>0</v>
          </cell>
          <cell r="Z379">
            <v>0</v>
          </cell>
          <cell r="AA379">
            <v>0</v>
          </cell>
          <cell r="AC379">
            <v>0</v>
          </cell>
          <cell r="AD379">
            <v>0</v>
          </cell>
        </row>
        <row r="380">
          <cell r="B380">
            <v>14277</v>
          </cell>
          <cell r="C380" t="str">
            <v>INTER UNIT-DEHARADUN DIVISION</v>
          </cell>
          <cell r="D380">
            <v>150936645.09</v>
          </cell>
          <cell r="E380">
            <v>-174123717.84</v>
          </cell>
          <cell r="F380">
            <v>272876300.38999999</v>
          </cell>
          <cell r="G380">
            <v>-141995833.37</v>
          </cell>
          <cell r="H380">
            <v>0</v>
          </cell>
          <cell r="I380">
            <v>0</v>
          </cell>
          <cell r="J380">
            <v>1256125</v>
          </cell>
          <cell r="K380">
            <v>-97890</v>
          </cell>
          <cell r="L380">
            <v>59095</v>
          </cell>
          <cell r="M380">
            <v>0</v>
          </cell>
          <cell r="N380">
            <v>0</v>
          </cell>
          <cell r="O380">
            <v>0</v>
          </cell>
          <cell r="P380">
            <v>425069070.48000002</v>
          </cell>
          <cell r="Q380">
            <v>-316217441.20999998</v>
          </cell>
          <cell r="S380">
            <v>-23127977.75</v>
          </cell>
          <cell r="T380">
            <v>132038702.01999998</v>
          </cell>
          <cell r="U380">
            <v>-4989652.8899999997</v>
          </cell>
          <cell r="V380">
            <v>173628514.38999999</v>
          </cell>
          <cell r="W380">
            <v>-18138324.859999999</v>
          </cell>
          <cell r="X380">
            <v>-41589812.370000005</v>
          </cell>
          <cell r="Y380">
            <v>-23127977.75</v>
          </cell>
          <cell r="Z380">
            <v>132038702.01999998</v>
          </cell>
          <cell r="AA380">
            <v>108910724.26999998</v>
          </cell>
          <cell r="AC380">
            <v>14277</v>
          </cell>
          <cell r="AD380">
            <v>0</v>
          </cell>
        </row>
        <row r="381">
          <cell r="S381">
            <v>0</v>
          </cell>
          <cell r="T381">
            <v>0</v>
          </cell>
          <cell r="U381">
            <v>0</v>
          </cell>
          <cell r="V381">
            <v>0</v>
          </cell>
          <cell r="W381">
            <v>0</v>
          </cell>
          <cell r="X381">
            <v>0</v>
          </cell>
          <cell r="Y381">
            <v>0</v>
          </cell>
          <cell r="Z381">
            <v>0</v>
          </cell>
          <cell r="AA381">
            <v>0</v>
          </cell>
          <cell r="AC381">
            <v>0</v>
          </cell>
          <cell r="AD381">
            <v>0</v>
          </cell>
        </row>
        <row r="382">
          <cell r="B382">
            <v>14287</v>
          </cell>
          <cell r="C382" t="str">
            <v>DEFFERED TAX (LIAB) (</v>
          </cell>
          <cell r="D382">
            <v>0</v>
          </cell>
          <cell r="E382">
            <v>0</v>
          </cell>
          <cell r="F382">
            <v>0</v>
          </cell>
          <cell r="G382">
            <v>0</v>
          </cell>
          <cell r="H382">
            <v>0</v>
          </cell>
          <cell r="I382">
            <v>0</v>
          </cell>
          <cell r="J382">
            <v>0</v>
          </cell>
          <cell r="K382">
            <v>0</v>
          </cell>
          <cell r="L382">
            <v>6735967</v>
          </cell>
          <cell r="M382">
            <v>-59883833</v>
          </cell>
          <cell r="N382">
            <v>0</v>
          </cell>
          <cell r="O382">
            <v>0</v>
          </cell>
          <cell r="P382">
            <v>0</v>
          </cell>
          <cell r="Q382">
            <v>0</v>
          </cell>
          <cell r="S382">
            <v>-53147866</v>
          </cell>
          <cell r="T382">
            <v>0</v>
          </cell>
          <cell r="U382">
            <v>-46411900</v>
          </cell>
          <cell r="V382">
            <v>0</v>
          </cell>
          <cell r="W382">
            <v>-6735966</v>
          </cell>
          <cell r="X382">
            <v>0</v>
          </cell>
          <cell r="Y382">
            <v>-53147866</v>
          </cell>
          <cell r="Z382">
            <v>0</v>
          </cell>
          <cell r="AA382">
            <v>-53147866</v>
          </cell>
          <cell r="AC382">
            <v>14287</v>
          </cell>
          <cell r="AD382">
            <v>0</v>
          </cell>
        </row>
        <row r="383">
          <cell r="S383">
            <v>0</v>
          </cell>
          <cell r="T383">
            <v>0</v>
          </cell>
          <cell r="U383">
            <v>0</v>
          </cell>
          <cell r="V383">
            <v>0</v>
          </cell>
          <cell r="W383">
            <v>0</v>
          </cell>
          <cell r="X383">
            <v>0</v>
          </cell>
          <cell r="Y383">
            <v>0</v>
          </cell>
          <cell r="Z383">
            <v>0</v>
          </cell>
          <cell r="AA383">
            <v>0</v>
          </cell>
          <cell r="AC383">
            <v>0</v>
          </cell>
          <cell r="AD383">
            <v>0</v>
          </cell>
        </row>
        <row r="384">
          <cell r="B384">
            <v>14288</v>
          </cell>
          <cell r="C384" t="str">
            <v>DEFFERED TAX ASSETS</v>
          </cell>
          <cell r="D384">
            <v>0</v>
          </cell>
          <cell r="E384">
            <v>0</v>
          </cell>
          <cell r="F384">
            <v>0</v>
          </cell>
          <cell r="G384">
            <v>0</v>
          </cell>
          <cell r="H384">
            <v>0</v>
          </cell>
          <cell r="I384">
            <v>0</v>
          </cell>
          <cell r="J384">
            <v>0</v>
          </cell>
          <cell r="K384">
            <v>0</v>
          </cell>
          <cell r="L384">
            <v>11538994</v>
          </cell>
          <cell r="M384">
            <v>0</v>
          </cell>
          <cell r="N384">
            <v>0</v>
          </cell>
          <cell r="O384">
            <v>0</v>
          </cell>
          <cell r="P384">
            <v>0</v>
          </cell>
          <cell r="Q384">
            <v>0</v>
          </cell>
          <cell r="S384">
            <v>11538994</v>
          </cell>
          <cell r="T384">
            <v>0</v>
          </cell>
          <cell r="U384">
            <v>11538994</v>
          </cell>
          <cell r="V384">
            <v>0</v>
          </cell>
          <cell r="W384">
            <v>0</v>
          </cell>
          <cell r="X384">
            <v>0</v>
          </cell>
          <cell r="Y384">
            <v>11538994</v>
          </cell>
          <cell r="Z384">
            <v>0</v>
          </cell>
          <cell r="AA384">
            <v>11538994</v>
          </cell>
          <cell r="AC384">
            <v>14288</v>
          </cell>
          <cell r="AD384">
            <v>0</v>
          </cell>
        </row>
        <row r="385">
          <cell r="S385">
            <v>0</v>
          </cell>
          <cell r="T385">
            <v>0</v>
          </cell>
          <cell r="U385">
            <v>0</v>
          </cell>
          <cell r="V385">
            <v>0</v>
          </cell>
          <cell r="W385">
            <v>0</v>
          </cell>
          <cell r="X385">
            <v>0</v>
          </cell>
          <cell r="Y385">
            <v>0</v>
          </cell>
          <cell r="Z385">
            <v>0</v>
          </cell>
          <cell r="AA385">
            <v>0</v>
          </cell>
          <cell r="AC385">
            <v>0</v>
          </cell>
          <cell r="AD385">
            <v>0</v>
          </cell>
        </row>
        <row r="386">
          <cell r="B386">
            <v>15001</v>
          </cell>
          <cell r="C386" t="str">
            <v>FIXED ASSETS: ()</v>
          </cell>
          <cell r="D386">
            <v>778001</v>
          </cell>
          <cell r="E386">
            <v>-748001</v>
          </cell>
          <cell r="F386">
            <v>361019.35</v>
          </cell>
          <cell r="G386">
            <v>-361019.35</v>
          </cell>
          <cell r="H386">
            <v>0</v>
          </cell>
          <cell r="I386">
            <v>0</v>
          </cell>
          <cell r="J386">
            <v>0</v>
          </cell>
          <cell r="K386">
            <v>0</v>
          </cell>
          <cell r="L386">
            <v>2348546.19</v>
          </cell>
          <cell r="M386">
            <v>-2226446.19</v>
          </cell>
          <cell r="N386">
            <v>0</v>
          </cell>
          <cell r="O386">
            <v>0</v>
          </cell>
          <cell r="P386">
            <v>1139020.3500000001</v>
          </cell>
          <cell r="Q386">
            <v>-1109020.3500000001</v>
          </cell>
          <cell r="S386">
            <v>152100</v>
          </cell>
          <cell r="T386">
            <v>0</v>
          </cell>
          <cell r="U386">
            <v>0</v>
          </cell>
          <cell r="V386">
            <v>0</v>
          </cell>
          <cell r="W386">
            <v>152100</v>
          </cell>
          <cell r="X386">
            <v>0</v>
          </cell>
          <cell r="Y386">
            <v>152100</v>
          </cell>
          <cell r="Z386">
            <v>0</v>
          </cell>
          <cell r="AA386">
            <v>152100</v>
          </cell>
          <cell r="AC386">
            <v>15001</v>
          </cell>
          <cell r="AD386">
            <v>0</v>
          </cell>
        </row>
        <row r="387">
          <cell r="S387">
            <v>0</v>
          </cell>
          <cell r="T387">
            <v>0</v>
          </cell>
          <cell r="U387">
            <v>0</v>
          </cell>
          <cell r="V387">
            <v>0</v>
          </cell>
          <cell r="W387">
            <v>0</v>
          </cell>
          <cell r="X387">
            <v>0</v>
          </cell>
          <cell r="Y387">
            <v>0</v>
          </cell>
          <cell r="Z387">
            <v>0</v>
          </cell>
          <cell r="AA387">
            <v>0</v>
          </cell>
          <cell r="AC387">
            <v>0</v>
          </cell>
          <cell r="AD387">
            <v>0</v>
          </cell>
        </row>
        <row r="388">
          <cell r="B388">
            <v>15008</v>
          </cell>
          <cell r="C388" t="str">
            <v>COMPUTERS (GB)</v>
          </cell>
          <cell r="D388">
            <v>90000</v>
          </cell>
          <cell r="E388">
            <v>-60000</v>
          </cell>
          <cell r="F388">
            <v>30000</v>
          </cell>
          <cell r="G388">
            <v>-30000</v>
          </cell>
          <cell r="H388">
            <v>0</v>
          </cell>
          <cell r="I388">
            <v>0</v>
          </cell>
          <cell r="J388">
            <v>0</v>
          </cell>
          <cell r="K388">
            <v>0</v>
          </cell>
          <cell r="L388">
            <v>0</v>
          </cell>
          <cell r="M388">
            <v>0</v>
          </cell>
          <cell r="N388">
            <v>0</v>
          </cell>
          <cell r="O388">
            <v>0</v>
          </cell>
          <cell r="P388">
            <v>120000</v>
          </cell>
          <cell r="Q388">
            <v>-90000</v>
          </cell>
          <cell r="S388">
            <v>30000</v>
          </cell>
          <cell r="T388">
            <v>0</v>
          </cell>
          <cell r="U388">
            <v>0</v>
          </cell>
          <cell r="V388">
            <v>0</v>
          </cell>
          <cell r="W388">
            <v>30000</v>
          </cell>
          <cell r="X388">
            <v>0</v>
          </cell>
          <cell r="Y388">
            <v>30000</v>
          </cell>
          <cell r="Z388">
            <v>0</v>
          </cell>
          <cell r="AA388">
            <v>30000</v>
          </cell>
          <cell r="AC388">
            <v>15008</v>
          </cell>
          <cell r="AD388">
            <v>0</v>
          </cell>
        </row>
        <row r="389">
          <cell r="S389">
            <v>0</v>
          </cell>
          <cell r="T389">
            <v>0</v>
          </cell>
          <cell r="U389">
            <v>0</v>
          </cell>
          <cell r="V389">
            <v>0</v>
          </cell>
          <cell r="W389">
            <v>0</v>
          </cell>
          <cell r="X389">
            <v>0</v>
          </cell>
          <cell r="Y389">
            <v>0</v>
          </cell>
          <cell r="Z389">
            <v>0</v>
          </cell>
          <cell r="AA389">
            <v>0</v>
          </cell>
          <cell r="AC389">
            <v>0</v>
          </cell>
          <cell r="AD389">
            <v>0</v>
          </cell>
        </row>
        <row r="390">
          <cell r="B390">
            <v>15012</v>
          </cell>
          <cell r="C390" t="str">
            <v>FIXED ASSETS- GROSS BLOCK</v>
          </cell>
          <cell r="D390">
            <v>538321821.90999997</v>
          </cell>
          <cell r="E390">
            <v>-781591.71</v>
          </cell>
          <cell r="F390">
            <v>644591824.71000004</v>
          </cell>
          <cell r="G390">
            <v>-371598.5</v>
          </cell>
          <cell r="H390">
            <v>0</v>
          </cell>
          <cell r="I390">
            <v>0</v>
          </cell>
          <cell r="J390">
            <v>0</v>
          </cell>
          <cell r="K390">
            <v>0</v>
          </cell>
          <cell r="L390">
            <v>2181790.5099999998</v>
          </cell>
          <cell r="M390">
            <v>-1022902.43</v>
          </cell>
          <cell r="N390">
            <v>0</v>
          </cell>
          <cell r="O390">
            <v>0</v>
          </cell>
          <cell r="P390">
            <v>1182913646.6199999</v>
          </cell>
          <cell r="Q390">
            <v>-1153190.21</v>
          </cell>
          <cell r="S390">
            <v>538699118.27999997</v>
          </cell>
          <cell r="T390">
            <v>644220226.21000004</v>
          </cell>
          <cell r="U390">
            <v>538789118.27999997</v>
          </cell>
          <cell r="V390">
            <v>644250226.21000004</v>
          </cell>
          <cell r="W390">
            <v>-90000</v>
          </cell>
          <cell r="X390">
            <v>-30000</v>
          </cell>
          <cell r="Y390">
            <v>538699118.27999997</v>
          </cell>
          <cell r="Z390">
            <v>644220226.21000004</v>
          </cell>
          <cell r="AA390">
            <v>1182919344.49</v>
          </cell>
          <cell r="AC390">
            <v>15012</v>
          </cell>
          <cell r="AD390">
            <v>0</v>
          </cell>
        </row>
        <row r="391">
          <cell r="S391">
            <v>0</v>
          </cell>
          <cell r="T391">
            <v>0</v>
          </cell>
          <cell r="U391">
            <v>0</v>
          </cell>
          <cell r="V391">
            <v>0</v>
          </cell>
          <cell r="W391">
            <v>0</v>
          </cell>
          <cell r="X391">
            <v>0</v>
          </cell>
          <cell r="Y391">
            <v>0</v>
          </cell>
          <cell r="Z391">
            <v>0</v>
          </cell>
          <cell r="AA391">
            <v>0</v>
          </cell>
          <cell r="AC391">
            <v>0</v>
          </cell>
          <cell r="AD391">
            <v>0</v>
          </cell>
        </row>
        <row r="392">
          <cell r="B392">
            <v>15027</v>
          </cell>
          <cell r="C392" t="str">
            <v>ACCUMLATED DEPRECIATION COMPUTERS</v>
          </cell>
          <cell r="D392">
            <v>73271</v>
          </cell>
          <cell r="E392">
            <v>-73271</v>
          </cell>
          <cell r="F392">
            <v>0</v>
          </cell>
          <cell r="G392">
            <v>0</v>
          </cell>
          <cell r="H392">
            <v>0</v>
          </cell>
          <cell r="I392">
            <v>0</v>
          </cell>
          <cell r="J392">
            <v>0</v>
          </cell>
          <cell r="K392">
            <v>0</v>
          </cell>
          <cell r="L392">
            <v>0</v>
          </cell>
          <cell r="M392">
            <v>0</v>
          </cell>
          <cell r="N392">
            <v>0</v>
          </cell>
          <cell r="O392">
            <v>0</v>
          </cell>
          <cell r="P392">
            <v>73271</v>
          </cell>
          <cell r="Q392">
            <v>-73271</v>
          </cell>
          <cell r="S392">
            <v>0</v>
          </cell>
          <cell r="T392">
            <v>0</v>
          </cell>
          <cell r="U392">
            <v>0</v>
          </cell>
          <cell r="V392">
            <v>0</v>
          </cell>
          <cell r="W392">
            <v>0</v>
          </cell>
          <cell r="X392">
            <v>0</v>
          </cell>
          <cell r="Y392">
            <v>0</v>
          </cell>
          <cell r="Z392">
            <v>0</v>
          </cell>
          <cell r="AA392">
            <v>0</v>
          </cell>
          <cell r="AC392">
            <v>15027</v>
          </cell>
          <cell r="AD392">
            <v>0</v>
          </cell>
        </row>
        <row r="393">
          <cell r="S393">
            <v>0</v>
          </cell>
          <cell r="T393">
            <v>0</v>
          </cell>
          <cell r="U393">
            <v>0</v>
          </cell>
          <cell r="V393">
            <v>0</v>
          </cell>
          <cell r="W393">
            <v>0</v>
          </cell>
          <cell r="X393">
            <v>0</v>
          </cell>
          <cell r="Y393">
            <v>0</v>
          </cell>
          <cell r="Z393">
            <v>0</v>
          </cell>
          <cell r="AA393">
            <v>0</v>
          </cell>
          <cell r="AC393">
            <v>0</v>
          </cell>
          <cell r="AD393">
            <v>0</v>
          </cell>
        </row>
        <row r="394">
          <cell r="B394">
            <v>15028</v>
          </cell>
          <cell r="C394" t="str">
            <v>ACCUMLATED DEPRECIATION FURNITURE &amp; FITTINGS</v>
          </cell>
          <cell r="D394">
            <v>18809</v>
          </cell>
          <cell r="E394">
            <v>-18809</v>
          </cell>
          <cell r="F394">
            <v>0</v>
          </cell>
          <cell r="G394">
            <v>0</v>
          </cell>
          <cell r="H394">
            <v>0</v>
          </cell>
          <cell r="I394">
            <v>0</v>
          </cell>
          <cell r="J394">
            <v>0</v>
          </cell>
          <cell r="K394">
            <v>0</v>
          </cell>
          <cell r="L394">
            <v>0</v>
          </cell>
          <cell r="M394">
            <v>0</v>
          </cell>
          <cell r="N394">
            <v>0</v>
          </cell>
          <cell r="O394">
            <v>0</v>
          </cell>
          <cell r="P394">
            <v>18809</v>
          </cell>
          <cell r="Q394">
            <v>-18809</v>
          </cell>
          <cell r="S394">
            <v>0</v>
          </cell>
          <cell r="T394">
            <v>0</v>
          </cell>
          <cell r="U394">
            <v>0</v>
          </cell>
          <cell r="V394">
            <v>0</v>
          </cell>
          <cell r="W394">
            <v>0</v>
          </cell>
          <cell r="X394">
            <v>0</v>
          </cell>
          <cell r="Y394">
            <v>0</v>
          </cell>
          <cell r="Z394">
            <v>0</v>
          </cell>
          <cell r="AA394">
            <v>0</v>
          </cell>
          <cell r="AC394">
            <v>15028</v>
          </cell>
          <cell r="AD394">
            <v>0</v>
          </cell>
        </row>
        <row r="395">
          <cell r="S395">
            <v>0</v>
          </cell>
          <cell r="T395">
            <v>0</v>
          </cell>
          <cell r="U395">
            <v>0</v>
          </cell>
          <cell r="V395">
            <v>0</v>
          </cell>
          <cell r="W395">
            <v>0</v>
          </cell>
          <cell r="X395">
            <v>0</v>
          </cell>
          <cell r="Y395">
            <v>0</v>
          </cell>
          <cell r="Z395">
            <v>0</v>
          </cell>
          <cell r="AA395">
            <v>0</v>
          </cell>
          <cell r="AC395">
            <v>0</v>
          </cell>
          <cell r="AD395">
            <v>0</v>
          </cell>
        </row>
        <row r="396">
          <cell r="B396">
            <v>15031</v>
          </cell>
          <cell r="C396" t="str">
            <v>ACCUMLATED DEPRECIATION</v>
          </cell>
          <cell r="D396">
            <v>702824</v>
          </cell>
          <cell r="E396">
            <v>-237509444.05000001</v>
          </cell>
          <cell r="F396">
            <v>14589</v>
          </cell>
          <cell r="G396">
            <v>-483713021.37</v>
          </cell>
          <cell r="H396">
            <v>0</v>
          </cell>
          <cell r="I396">
            <v>0</v>
          </cell>
          <cell r="J396">
            <v>0</v>
          </cell>
          <cell r="K396">
            <v>0</v>
          </cell>
          <cell r="L396">
            <v>0</v>
          </cell>
          <cell r="M396">
            <v>0</v>
          </cell>
          <cell r="N396">
            <v>0</v>
          </cell>
          <cell r="O396">
            <v>0</v>
          </cell>
          <cell r="P396">
            <v>717413</v>
          </cell>
          <cell r="Q396">
            <v>-721222465.41999996</v>
          </cell>
          <cell r="S396">
            <v>-236806620.05000001</v>
          </cell>
          <cell r="T396">
            <v>-483698432.37</v>
          </cell>
          <cell r="U396">
            <v>-236878777.05000001</v>
          </cell>
          <cell r="V396">
            <v>-483713021.37</v>
          </cell>
          <cell r="W396">
            <v>72157</v>
          </cell>
          <cell r="X396">
            <v>14589</v>
          </cell>
          <cell r="Y396">
            <v>-236806620.05000001</v>
          </cell>
          <cell r="Z396">
            <v>-483698432.37</v>
          </cell>
          <cell r="AA396">
            <v>-720505052.42000008</v>
          </cell>
          <cell r="AC396">
            <v>15031</v>
          </cell>
          <cell r="AD396">
            <v>0</v>
          </cell>
        </row>
        <row r="397">
          <cell r="S397">
            <v>0</v>
          </cell>
          <cell r="T397">
            <v>0</v>
          </cell>
          <cell r="U397">
            <v>0</v>
          </cell>
          <cell r="V397">
            <v>0</v>
          </cell>
          <cell r="W397">
            <v>0</v>
          </cell>
          <cell r="X397">
            <v>0</v>
          </cell>
          <cell r="Y397">
            <v>0</v>
          </cell>
          <cell r="Z397">
            <v>0</v>
          </cell>
          <cell r="AA397">
            <v>0</v>
          </cell>
          <cell r="AC397">
            <v>0</v>
          </cell>
          <cell r="AD397">
            <v>0</v>
          </cell>
        </row>
        <row r="398">
          <cell r="B398">
            <v>15044</v>
          </cell>
          <cell r="C398" t="str">
            <v>CWIP - BUILDLING</v>
          </cell>
          <cell r="D398">
            <v>6085611.9699999997</v>
          </cell>
          <cell r="E398">
            <v>-450000</v>
          </cell>
          <cell r="F398">
            <v>3384992.54</v>
          </cell>
          <cell r="G398">
            <v>-149971.60999999999</v>
          </cell>
          <cell r="H398">
            <v>0</v>
          </cell>
          <cell r="I398">
            <v>0</v>
          </cell>
          <cell r="J398">
            <v>0</v>
          </cell>
          <cell r="K398">
            <v>0</v>
          </cell>
          <cell r="L398">
            <v>0</v>
          </cell>
          <cell r="M398">
            <v>0</v>
          </cell>
          <cell r="N398">
            <v>1235.17</v>
          </cell>
          <cell r="O398">
            <v>-107264.74</v>
          </cell>
          <cell r="P398">
            <v>9471839.6799999997</v>
          </cell>
          <cell r="Q398">
            <v>-707236.35</v>
          </cell>
          <cell r="S398">
            <v>5529582.3999999994</v>
          </cell>
          <cell r="T398">
            <v>3235020.93</v>
          </cell>
          <cell r="U398">
            <v>4680479.97</v>
          </cell>
          <cell r="V398">
            <v>3051700.99</v>
          </cell>
          <cell r="W398">
            <v>849102.4299999997</v>
          </cell>
          <cell r="X398">
            <v>183319.93999999994</v>
          </cell>
          <cell r="Y398">
            <v>5529582.3999999994</v>
          </cell>
          <cell r="Z398">
            <v>3235020.93</v>
          </cell>
          <cell r="AA398">
            <v>8764603.3300000001</v>
          </cell>
          <cell r="AC398">
            <v>15044</v>
          </cell>
          <cell r="AD398">
            <v>0</v>
          </cell>
        </row>
        <row r="399">
          <cell r="S399">
            <v>0</v>
          </cell>
          <cell r="T399">
            <v>0</v>
          </cell>
          <cell r="U399">
            <v>0</v>
          </cell>
          <cell r="V399">
            <v>0</v>
          </cell>
          <cell r="W399">
            <v>0</v>
          </cell>
          <cell r="X399">
            <v>0</v>
          </cell>
          <cell r="Y399">
            <v>0</v>
          </cell>
          <cell r="Z399">
            <v>0</v>
          </cell>
          <cell r="AA399">
            <v>0</v>
          </cell>
          <cell r="AC399">
            <v>0</v>
          </cell>
          <cell r="AD399">
            <v>0</v>
          </cell>
        </row>
        <row r="400">
          <cell r="B400">
            <v>15045</v>
          </cell>
          <cell r="C400" t="str">
            <v>CWIP - PLANT &amp; MACHINERY</v>
          </cell>
          <cell r="D400">
            <v>31310292.530000001</v>
          </cell>
          <cell r="E400">
            <v>-20145185.920000002</v>
          </cell>
          <cell r="F400">
            <v>49937801.32</v>
          </cell>
          <cell r="G400">
            <v>-47812869.399999999</v>
          </cell>
          <cell r="H400">
            <v>0</v>
          </cell>
          <cell r="I400">
            <v>0</v>
          </cell>
          <cell r="J400">
            <v>0</v>
          </cell>
          <cell r="K400">
            <v>0</v>
          </cell>
          <cell r="L400">
            <v>270875</v>
          </cell>
          <cell r="M400">
            <v>-58475</v>
          </cell>
          <cell r="N400">
            <v>104252.38</v>
          </cell>
          <cell r="O400">
            <v>-32758114.890000001</v>
          </cell>
          <cell r="P400">
            <v>81352346.230000004</v>
          </cell>
          <cell r="Q400">
            <v>-100716170.20999999</v>
          </cell>
          <cell r="S400">
            <v>-21276355.899999999</v>
          </cell>
          <cell r="T400">
            <v>2124931.9200000018</v>
          </cell>
          <cell r="U400">
            <v>-200</v>
          </cell>
          <cell r="V400">
            <v>400.17</v>
          </cell>
          <cell r="W400">
            <v>-21276155.899999999</v>
          </cell>
          <cell r="X400">
            <v>2124531.7500000019</v>
          </cell>
          <cell r="Y400">
            <v>-21276355.899999999</v>
          </cell>
          <cell r="Z400">
            <v>2124931.9200000018</v>
          </cell>
          <cell r="AA400">
            <v>-19151423.979999997</v>
          </cell>
          <cell r="AC400">
            <v>15045</v>
          </cell>
          <cell r="AD400">
            <v>0</v>
          </cell>
        </row>
        <row r="401">
          <cell r="S401">
            <v>0</v>
          </cell>
          <cell r="T401">
            <v>0</v>
          </cell>
          <cell r="U401">
            <v>0</v>
          </cell>
          <cell r="V401">
            <v>0</v>
          </cell>
          <cell r="W401">
            <v>0</v>
          </cell>
          <cell r="X401">
            <v>0</v>
          </cell>
          <cell r="Y401">
            <v>0</v>
          </cell>
          <cell r="Z401">
            <v>0</v>
          </cell>
          <cell r="AA401">
            <v>0</v>
          </cell>
          <cell r="AC401">
            <v>0</v>
          </cell>
          <cell r="AD401">
            <v>0</v>
          </cell>
        </row>
        <row r="402">
          <cell r="B402">
            <v>15046</v>
          </cell>
          <cell r="C402" t="str">
            <v>CWIP - COMPUTERS</v>
          </cell>
          <cell r="D402">
            <v>860830.5</v>
          </cell>
          <cell r="E402">
            <v>-291060</v>
          </cell>
          <cell r="F402">
            <v>60393.88</v>
          </cell>
          <cell r="G402">
            <v>0</v>
          </cell>
          <cell r="H402">
            <v>0</v>
          </cell>
          <cell r="I402">
            <v>0</v>
          </cell>
          <cell r="J402">
            <v>0</v>
          </cell>
          <cell r="K402">
            <v>0</v>
          </cell>
          <cell r="L402">
            <v>342401.25</v>
          </cell>
          <cell r="M402">
            <v>-68587.5</v>
          </cell>
          <cell r="N402">
            <v>0</v>
          </cell>
          <cell r="O402">
            <v>-7111.11</v>
          </cell>
          <cell r="P402">
            <v>921224.38</v>
          </cell>
          <cell r="Q402">
            <v>-298171.11</v>
          </cell>
          <cell r="S402">
            <v>836473.14</v>
          </cell>
          <cell r="T402">
            <v>60393.88</v>
          </cell>
          <cell r="U402">
            <v>278870</v>
          </cell>
          <cell r="V402">
            <v>0</v>
          </cell>
          <cell r="W402">
            <v>557603.14</v>
          </cell>
          <cell r="X402">
            <v>60393.88</v>
          </cell>
          <cell r="Y402">
            <v>836473.14</v>
          </cell>
          <cell r="Z402">
            <v>60393.88</v>
          </cell>
          <cell r="AA402">
            <v>896867.02</v>
          </cell>
          <cell r="AC402">
            <v>15046</v>
          </cell>
          <cell r="AD402">
            <v>0</v>
          </cell>
        </row>
        <row r="403">
          <cell r="S403">
            <v>0</v>
          </cell>
          <cell r="T403">
            <v>0</v>
          </cell>
          <cell r="U403">
            <v>0</v>
          </cell>
          <cell r="V403">
            <v>0</v>
          </cell>
          <cell r="W403">
            <v>0</v>
          </cell>
          <cell r="X403">
            <v>0</v>
          </cell>
          <cell r="Y403">
            <v>0</v>
          </cell>
          <cell r="Z403">
            <v>0</v>
          </cell>
          <cell r="AA403">
            <v>0</v>
          </cell>
          <cell r="AC403">
            <v>0</v>
          </cell>
          <cell r="AD403">
            <v>0</v>
          </cell>
        </row>
        <row r="404">
          <cell r="B404">
            <v>15049</v>
          </cell>
          <cell r="C404" t="str">
            <v>CAPITAL ADVANCES</v>
          </cell>
          <cell r="D404">
            <v>1212000</v>
          </cell>
          <cell r="E404">
            <v>-1212000</v>
          </cell>
          <cell r="F404">
            <v>4676295</v>
          </cell>
          <cell r="G404">
            <v>-4541295</v>
          </cell>
          <cell r="H404">
            <v>0</v>
          </cell>
          <cell r="I404">
            <v>0</v>
          </cell>
          <cell r="J404">
            <v>0</v>
          </cell>
          <cell r="K404">
            <v>0</v>
          </cell>
          <cell r="L404">
            <v>0</v>
          </cell>
          <cell r="M404">
            <v>0</v>
          </cell>
          <cell r="N404">
            <v>0</v>
          </cell>
          <cell r="O404">
            <v>0</v>
          </cell>
          <cell r="P404">
            <v>5888295</v>
          </cell>
          <cell r="Q404">
            <v>-5753295</v>
          </cell>
          <cell r="S404">
            <v>0</v>
          </cell>
          <cell r="T404">
            <v>135000</v>
          </cell>
          <cell r="U404">
            <v>1212000</v>
          </cell>
          <cell r="V404">
            <v>4676295</v>
          </cell>
          <cell r="W404">
            <v>-1212000</v>
          </cell>
          <cell r="X404">
            <v>-4541295</v>
          </cell>
          <cell r="Y404">
            <v>0</v>
          </cell>
          <cell r="Z404">
            <v>135000</v>
          </cell>
          <cell r="AA404">
            <v>135000</v>
          </cell>
          <cell r="AC404">
            <v>15049</v>
          </cell>
          <cell r="AD404">
            <v>0</v>
          </cell>
        </row>
        <row r="405">
          <cell r="S405">
            <v>0</v>
          </cell>
          <cell r="T405">
            <v>0</v>
          </cell>
          <cell r="U405">
            <v>0</v>
          </cell>
          <cell r="V405">
            <v>0</v>
          </cell>
          <cell r="W405">
            <v>0</v>
          </cell>
          <cell r="X405">
            <v>0</v>
          </cell>
          <cell r="Y405">
            <v>0</v>
          </cell>
          <cell r="Z405">
            <v>0</v>
          </cell>
          <cell r="AA405">
            <v>0</v>
          </cell>
          <cell r="AC405">
            <v>0</v>
          </cell>
          <cell r="AD405">
            <v>0</v>
          </cell>
        </row>
        <row r="406">
          <cell r="B406">
            <v>15050</v>
          </cell>
          <cell r="C406" t="str">
            <v>CWIP</v>
          </cell>
          <cell r="D406">
            <v>192000</v>
          </cell>
          <cell r="E406">
            <v>-698500</v>
          </cell>
          <cell r="F406">
            <v>14288420.42</v>
          </cell>
          <cell r="G406">
            <v>0</v>
          </cell>
          <cell r="H406">
            <v>0</v>
          </cell>
          <cell r="I406">
            <v>0</v>
          </cell>
          <cell r="J406">
            <v>0</v>
          </cell>
          <cell r="K406">
            <v>0</v>
          </cell>
          <cell r="L406">
            <v>0</v>
          </cell>
          <cell r="M406">
            <v>0</v>
          </cell>
          <cell r="N406">
            <v>0</v>
          </cell>
          <cell r="O406">
            <v>0</v>
          </cell>
          <cell r="P406">
            <v>14480420.42</v>
          </cell>
          <cell r="Q406">
            <v>-698500</v>
          </cell>
          <cell r="S406">
            <v>-506500</v>
          </cell>
          <cell r="T406">
            <v>14288420.42</v>
          </cell>
          <cell r="U406">
            <v>0</v>
          </cell>
          <cell r="V406">
            <v>14227745.42</v>
          </cell>
          <cell r="W406">
            <v>-506500</v>
          </cell>
          <cell r="X406">
            <v>60675</v>
          </cell>
          <cell r="Y406">
            <v>-506500</v>
          </cell>
          <cell r="Z406">
            <v>14288420.42</v>
          </cell>
          <cell r="AA406">
            <v>13781920.42</v>
          </cell>
          <cell r="AC406">
            <v>15050</v>
          </cell>
          <cell r="AD406">
            <v>0</v>
          </cell>
        </row>
        <row r="407">
          <cell r="S407">
            <v>0</v>
          </cell>
          <cell r="T407">
            <v>0</v>
          </cell>
          <cell r="U407">
            <v>0</v>
          </cell>
          <cell r="V407">
            <v>0</v>
          </cell>
          <cell r="W407">
            <v>0</v>
          </cell>
          <cell r="X407">
            <v>0</v>
          </cell>
          <cell r="Y407">
            <v>0</v>
          </cell>
          <cell r="Z407">
            <v>0</v>
          </cell>
          <cell r="AA407">
            <v>0</v>
          </cell>
          <cell r="AC407">
            <v>0</v>
          </cell>
          <cell r="AD407">
            <v>0</v>
          </cell>
        </row>
        <row r="408">
          <cell r="B408">
            <v>15062</v>
          </cell>
          <cell r="C408" t="str">
            <v>INVESTMENTS</v>
          </cell>
          <cell r="D408">
            <v>0</v>
          </cell>
          <cell r="E408">
            <v>0</v>
          </cell>
          <cell r="F408">
            <v>0</v>
          </cell>
          <cell r="G408">
            <v>0</v>
          </cell>
          <cell r="H408">
            <v>0</v>
          </cell>
          <cell r="I408">
            <v>0</v>
          </cell>
          <cell r="J408">
            <v>0</v>
          </cell>
          <cell r="K408">
            <v>0</v>
          </cell>
          <cell r="L408">
            <v>224291975</v>
          </cell>
          <cell r="M408">
            <v>0</v>
          </cell>
          <cell r="N408">
            <v>0</v>
          </cell>
          <cell r="O408">
            <v>0</v>
          </cell>
          <cell r="P408">
            <v>0</v>
          </cell>
          <cell r="Q408">
            <v>0</v>
          </cell>
          <cell r="S408">
            <v>224291975</v>
          </cell>
          <cell r="T408">
            <v>0</v>
          </cell>
          <cell r="U408">
            <v>224291975</v>
          </cell>
          <cell r="V408">
            <v>0</v>
          </cell>
          <cell r="W408">
            <v>0</v>
          </cell>
          <cell r="X408">
            <v>0</v>
          </cell>
          <cell r="Y408">
            <v>224291975</v>
          </cell>
          <cell r="Z408">
            <v>0</v>
          </cell>
          <cell r="AA408">
            <v>224291975</v>
          </cell>
          <cell r="AC408">
            <v>15062</v>
          </cell>
          <cell r="AD408">
            <v>0</v>
          </cell>
        </row>
        <row r="409">
          <cell r="S409">
            <v>0</v>
          </cell>
          <cell r="T409">
            <v>0</v>
          </cell>
          <cell r="U409">
            <v>0</v>
          </cell>
          <cell r="V409">
            <v>0</v>
          </cell>
          <cell r="W409">
            <v>0</v>
          </cell>
          <cell r="X409">
            <v>0</v>
          </cell>
          <cell r="Y409">
            <v>0</v>
          </cell>
          <cell r="Z409">
            <v>0</v>
          </cell>
          <cell r="AA409">
            <v>0</v>
          </cell>
          <cell r="AC409">
            <v>0</v>
          </cell>
          <cell r="AD409">
            <v>0</v>
          </cell>
        </row>
        <row r="410">
          <cell r="B410">
            <v>15071</v>
          </cell>
          <cell r="C410" t="str">
            <v>PURCHASE A/C - STORES, SPARES CONSUMABLES STOCK (BS)</v>
          </cell>
          <cell r="D410">
            <v>133267629.18000001</v>
          </cell>
          <cell r="E410">
            <v>-97432528.040000007</v>
          </cell>
          <cell r="F410">
            <v>66189750.549999997</v>
          </cell>
          <cell r="G410">
            <v>-37954588.100000001</v>
          </cell>
          <cell r="H410">
            <v>1282644</v>
          </cell>
          <cell r="I410">
            <v>-992645.97</v>
          </cell>
          <cell r="J410">
            <v>500308.16</v>
          </cell>
          <cell r="K410">
            <v>-648242.06000000006</v>
          </cell>
          <cell r="L410">
            <v>18531.68</v>
          </cell>
          <cell r="M410">
            <v>0</v>
          </cell>
          <cell r="N410">
            <v>19763801.789999999</v>
          </cell>
          <cell r="O410">
            <v>-26192660.629999999</v>
          </cell>
          <cell r="P410">
            <v>221004133.68000001</v>
          </cell>
          <cell r="Q410">
            <v>-163220664.80000001</v>
          </cell>
          <cell r="S410">
            <v>29424773.98</v>
          </cell>
          <cell r="T410">
            <v>28377226.579999998</v>
          </cell>
          <cell r="U410">
            <v>39270856.079999998</v>
          </cell>
          <cell r="V410">
            <v>17107808.280000001</v>
          </cell>
          <cell r="W410">
            <v>-9846082.0999999978</v>
          </cell>
          <cell r="X410">
            <v>11269418.299999997</v>
          </cell>
          <cell r="Y410">
            <v>-9846082.0999999978</v>
          </cell>
          <cell r="Z410">
            <v>11269418.299999997</v>
          </cell>
          <cell r="AA410">
            <v>1423336.1999999993</v>
          </cell>
          <cell r="AC410">
            <v>15071</v>
          </cell>
          <cell r="AD410">
            <v>0</v>
          </cell>
        </row>
        <row r="411">
          <cell r="S411">
            <v>0</v>
          </cell>
          <cell r="T411">
            <v>0</v>
          </cell>
          <cell r="U411">
            <v>0</v>
          </cell>
          <cell r="V411">
            <v>0</v>
          </cell>
          <cell r="W411">
            <v>0</v>
          </cell>
          <cell r="X411">
            <v>0</v>
          </cell>
          <cell r="Y411">
            <v>0</v>
          </cell>
          <cell r="Z411">
            <v>0</v>
          </cell>
          <cell r="AA411">
            <v>0</v>
          </cell>
          <cell r="AC411">
            <v>0</v>
          </cell>
          <cell r="AD411">
            <v>0</v>
          </cell>
        </row>
        <row r="412">
          <cell r="B412" t="str">
            <v>15071-1</v>
          </cell>
          <cell r="C412" t="str">
            <v>CLOSING STOCK OF STORES SPARES BS (2012-13)</v>
          </cell>
          <cell r="D412">
            <v>40161102</v>
          </cell>
          <cell r="E412">
            <v>-14500226</v>
          </cell>
          <cell r="F412">
            <v>12248982.93</v>
          </cell>
          <cell r="G412">
            <v>-1309337.08</v>
          </cell>
          <cell r="H412">
            <v>0</v>
          </cell>
          <cell r="I412">
            <v>0</v>
          </cell>
          <cell r="J412">
            <v>0</v>
          </cell>
          <cell r="K412">
            <v>0</v>
          </cell>
          <cell r="L412">
            <v>0</v>
          </cell>
          <cell r="M412">
            <v>0</v>
          </cell>
          <cell r="N412">
            <v>0</v>
          </cell>
          <cell r="O412">
            <v>0</v>
          </cell>
          <cell r="P412">
            <v>52410084.93</v>
          </cell>
          <cell r="Q412">
            <v>-15809563.08</v>
          </cell>
          <cell r="S412">
            <v>25660876</v>
          </cell>
          <cell r="T412">
            <v>10939645.85</v>
          </cell>
          <cell r="U412">
            <v>25660876</v>
          </cell>
          <cell r="V412">
            <v>10939645.85</v>
          </cell>
          <cell r="W412">
            <v>0</v>
          </cell>
          <cell r="X412">
            <v>0</v>
          </cell>
          <cell r="Y412">
            <v>25660876</v>
          </cell>
          <cell r="Z412">
            <v>10939645.85</v>
          </cell>
          <cell r="AA412">
            <v>36600521.850000001</v>
          </cell>
          <cell r="AC412" t="str">
            <v>15071-1</v>
          </cell>
          <cell r="AD412" t="e">
            <v>#VALUE!</v>
          </cell>
        </row>
        <row r="413">
          <cell r="S413">
            <v>0</v>
          </cell>
          <cell r="T413">
            <v>0</v>
          </cell>
          <cell r="U413">
            <v>0</v>
          </cell>
          <cell r="V413">
            <v>0</v>
          </cell>
          <cell r="W413">
            <v>0</v>
          </cell>
          <cell r="X413">
            <v>0</v>
          </cell>
          <cell r="Y413">
            <v>0</v>
          </cell>
          <cell r="Z413">
            <v>0</v>
          </cell>
          <cell r="AA413">
            <v>0</v>
          </cell>
          <cell r="AC413">
            <v>0</v>
          </cell>
          <cell r="AD413">
            <v>0</v>
          </cell>
        </row>
        <row r="414">
          <cell r="B414">
            <v>15072</v>
          </cell>
          <cell r="C414" t="str">
            <v>STORES SPARES NOT W/OFF</v>
          </cell>
          <cell r="D414">
            <v>0</v>
          </cell>
          <cell r="E414">
            <v>0</v>
          </cell>
          <cell r="F414">
            <v>257177</v>
          </cell>
          <cell r="G414">
            <v>-90836</v>
          </cell>
          <cell r="H414">
            <v>0</v>
          </cell>
          <cell r="I414">
            <v>0</v>
          </cell>
          <cell r="J414">
            <v>0</v>
          </cell>
          <cell r="K414">
            <v>0</v>
          </cell>
          <cell r="L414">
            <v>0</v>
          </cell>
          <cell r="M414">
            <v>0</v>
          </cell>
          <cell r="N414">
            <v>0</v>
          </cell>
          <cell r="O414">
            <v>0</v>
          </cell>
          <cell r="P414">
            <v>257177</v>
          </cell>
          <cell r="Q414">
            <v>-90836</v>
          </cell>
          <cell r="S414">
            <v>0</v>
          </cell>
          <cell r="T414">
            <v>166341</v>
          </cell>
          <cell r="U414">
            <v>0</v>
          </cell>
          <cell r="V414">
            <v>166341</v>
          </cell>
          <cell r="W414">
            <v>0</v>
          </cell>
          <cell r="X414">
            <v>0</v>
          </cell>
          <cell r="Y414">
            <v>0</v>
          </cell>
          <cell r="Z414">
            <v>166341</v>
          </cell>
          <cell r="AA414">
            <v>166341</v>
          </cell>
          <cell r="AC414">
            <v>15072</v>
          </cell>
          <cell r="AD414">
            <v>0</v>
          </cell>
        </row>
        <row r="415">
          <cell r="S415">
            <v>0</v>
          </cell>
          <cell r="T415">
            <v>0</v>
          </cell>
          <cell r="U415">
            <v>0</v>
          </cell>
          <cell r="V415">
            <v>0</v>
          </cell>
          <cell r="W415">
            <v>0</v>
          </cell>
          <cell r="X415">
            <v>0</v>
          </cell>
          <cell r="Y415">
            <v>0</v>
          </cell>
          <cell r="Z415">
            <v>0</v>
          </cell>
          <cell r="AA415">
            <v>0</v>
          </cell>
          <cell r="AC415">
            <v>0</v>
          </cell>
          <cell r="AD415">
            <v>0</v>
          </cell>
        </row>
        <row r="416">
          <cell r="B416">
            <v>15075</v>
          </cell>
          <cell r="C416" t="str">
            <v>PURCHASE A/C - RAW MATERIALS (BS)</v>
          </cell>
          <cell r="D416">
            <v>687470.36</v>
          </cell>
          <cell r="E416">
            <v>-1146250.04</v>
          </cell>
          <cell r="F416">
            <v>3255393.89</v>
          </cell>
          <cell r="G416">
            <v>0</v>
          </cell>
          <cell r="H416">
            <v>0</v>
          </cell>
          <cell r="I416">
            <v>0</v>
          </cell>
          <cell r="J416">
            <v>0</v>
          </cell>
          <cell r="K416">
            <v>0</v>
          </cell>
          <cell r="L416">
            <v>0</v>
          </cell>
          <cell r="M416">
            <v>0</v>
          </cell>
          <cell r="N416">
            <v>0</v>
          </cell>
          <cell r="O416">
            <v>0</v>
          </cell>
          <cell r="P416">
            <v>3942864.25</v>
          </cell>
          <cell r="Q416">
            <v>-1146250.04</v>
          </cell>
          <cell r="S416">
            <v>-458779.68000000005</v>
          </cell>
          <cell r="T416">
            <v>3255393.89</v>
          </cell>
          <cell r="U416">
            <v>0</v>
          </cell>
          <cell r="V416">
            <v>3140332.97</v>
          </cell>
          <cell r="W416">
            <v>-458779.68000000005</v>
          </cell>
          <cell r="X416">
            <v>115060.91999999993</v>
          </cell>
          <cell r="Y416">
            <v>-458779.68000000005</v>
          </cell>
          <cell r="Z416">
            <v>115060.91999999993</v>
          </cell>
          <cell r="AA416">
            <v>-343718.76000000013</v>
          </cell>
          <cell r="AC416">
            <v>15075</v>
          </cell>
          <cell r="AD416">
            <v>0</v>
          </cell>
        </row>
        <row r="417">
          <cell r="S417">
            <v>0</v>
          </cell>
          <cell r="T417">
            <v>0</v>
          </cell>
          <cell r="U417">
            <v>0</v>
          </cell>
          <cell r="V417">
            <v>0</v>
          </cell>
          <cell r="W417">
            <v>0</v>
          </cell>
          <cell r="X417">
            <v>0</v>
          </cell>
          <cell r="Y417">
            <v>0</v>
          </cell>
          <cell r="Z417">
            <v>0</v>
          </cell>
          <cell r="AA417">
            <v>0</v>
          </cell>
          <cell r="AC417">
            <v>0</v>
          </cell>
          <cell r="AD417">
            <v>0</v>
          </cell>
        </row>
        <row r="418">
          <cell r="B418" t="str">
            <v>15075-1</v>
          </cell>
          <cell r="C418" t="str">
            <v>PURCHASE A/C - RM (STEEL / HDPE ) - BS</v>
          </cell>
          <cell r="D418">
            <v>538677832.26999998</v>
          </cell>
          <cell r="E418">
            <v>-20046502.399999999</v>
          </cell>
          <cell r="F418">
            <v>62090315811.879997</v>
          </cell>
          <cell r="G418">
            <v>-60629597401.32</v>
          </cell>
          <cell r="H418">
            <v>0</v>
          </cell>
          <cell r="I418">
            <v>0</v>
          </cell>
          <cell r="J418">
            <v>47715622.75</v>
          </cell>
          <cell r="K418">
            <v>-47638423.600000001</v>
          </cell>
          <cell r="L418">
            <v>0</v>
          </cell>
          <cell r="M418">
            <v>0</v>
          </cell>
          <cell r="N418">
            <v>138651040.06999999</v>
          </cell>
          <cell r="O418">
            <v>-138548913.15000001</v>
          </cell>
          <cell r="P418">
            <v>62815360306.970001</v>
          </cell>
          <cell r="Q418">
            <v>-60835831240.470001</v>
          </cell>
          <cell r="S418">
            <v>518733456.79000008</v>
          </cell>
          <cell r="T418">
            <v>1460795609.7099977</v>
          </cell>
          <cell r="U418">
            <v>270736485.23000002</v>
          </cell>
          <cell r="V418">
            <v>697411716.70000005</v>
          </cell>
          <cell r="W418">
            <v>247996971.56000006</v>
          </cell>
          <cell r="X418">
            <v>763383893.00999761</v>
          </cell>
          <cell r="Y418">
            <v>247996971.56000006</v>
          </cell>
          <cell r="Z418">
            <v>763383893.00999761</v>
          </cell>
          <cell r="AA418">
            <v>1011380864.5699977</v>
          </cell>
          <cell r="AC418" t="str">
            <v>15075-1</v>
          </cell>
          <cell r="AD418" t="e">
            <v>#VALUE!</v>
          </cell>
        </row>
        <row r="419">
          <cell r="S419">
            <v>0</v>
          </cell>
          <cell r="T419">
            <v>0</v>
          </cell>
          <cell r="U419">
            <v>0</v>
          </cell>
          <cell r="V419">
            <v>0</v>
          </cell>
          <cell r="W419">
            <v>0</v>
          </cell>
          <cell r="X419">
            <v>0</v>
          </cell>
          <cell r="Y419">
            <v>0</v>
          </cell>
          <cell r="Z419">
            <v>0</v>
          </cell>
          <cell r="AA419">
            <v>0</v>
          </cell>
          <cell r="AC419">
            <v>0</v>
          </cell>
          <cell r="AD419">
            <v>0</v>
          </cell>
        </row>
        <row r="420">
          <cell r="B420" t="str">
            <v>15075-2</v>
          </cell>
          <cell r="C420" t="str">
            <v>PURCHASE A/C - RM (GASKET TUBE / MASTER BATCH) - BS</v>
          </cell>
          <cell r="D420">
            <v>12264135.699999999</v>
          </cell>
          <cell r="E420">
            <v>-12264135.699999999</v>
          </cell>
          <cell r="F420">
            <v>28716611.699999999</v>
          </cell>
          <cell r="G420">
            <v>-5922376.3200000003</v>
          </cell>
          <cell r="H420">
            <v>11003.09</v>
          </cell>
          <cell r="I420">
            <v>-11003.09</v>
          </cell>
          <cell r="J420">
            <v>0</v>
          </cell>
          <cell r="K420">
            <v>0</v>
          </cell>
          <cell r="L420">
            <v>0</v>
          </cell>
          <cell r="M420">
            <v>0</v>
          </cell>
          <cell r="N420">
            <v>22901.65</v>
          </cell>
          <cell r="O420">
            <v>-10826.6</v>
          </cell>
          <cell r="P420">
            <v>41014652.140000001</v>
          </cell>
          <cell r="Q420">
            <v>-18208341.710000001</v>
          </cell>
          <cell r="S420">
            <v>12075.050000000001</v>
          </cell>
          <cell r="T420">
            <v>22794235.379999999</v>
          </cell>
          <cell r="U420">
            <v>0</v>
          </cell>
          <cell r="V420">
            <v>11947633.880000001</v>
          </cell>
          <cell r="W420">
            <v>12075.050000000001</v>
          </cell>
          <cell r="X420">
            <v>10846601.499999998</v>
          </cell>
          <cell r="Y420">
            <v>12075.050000000001</v>
          </cell>
          <cell r="Z420">
            <v>10846601.499999998</v>
          </cell>
          <cell r="AA420">
            <v>10858676.549999999</v>
          </cell>
          <cell r="AC420" t="str">
            <v>15075-2</v>
          </cell>
          <cell r="AD420" t="e">
            <v>#VALUE!</v>
          </cell>
        </row>
        <row r="421">
          <cell r="S421">
            <v>0</v>
          </cell>
          <cell r="T421">
            <v>0</v>
          </cell>
          <cell r="U421">
            <v>0</v>
          </cell>
          <cell r="V421">
            <v>0</v>
          </cell>
          <cell r="W421">
            <v>0</v>
          </cell>
          <cell r="X421">
            <v>0</v>
          </cell>
          <cell r="Y421">
            <v>0</v>
          </cell>
          <cell r="Z421">
            <v>0</v>
          </cell>
          <cell r="AA421">
            <v>0</v>
          </cell>
          <cell r="AC421">
            <v>0</v>
          </cell>
          <cell r="AD421">
            <v>0</v>
          </cell>
        </row>
        <row r="422">
          <cell r="B422" t="str">
            <v>15075-3</v>
          </cell>
          <cell r="C422" t="str">
            <v>PURCHASE A/C - RM (TIN PLATE / CO-PP) - BS</v>
          </cell>
          <cell r="D422">
            <v>25606680.82</v>
          </cell>
          <cell r="E422">
            <v>-4960700.09</v>
          </cell>
          <cell r="F422">
            <v>70452429.689999998</v>
          </cell>
          <cell r="G422">
            <v>-6568158.4100000001</v>
          </cell>
          <cell r="H422">
            <v>0</v>
          </cell>
          <cell r="I422">
            <v>0</v>
          </cell>
          <cell r="J422">
            <v>0</v>
          </cell>
          <cell r="K422">
            <v>0</v>
          </cell>
          <cell r="L422">
            <v>0</v>
          </cell>
          <cell r="M422">
            <v>0</v>
          </cell>
          <cell r="N422">
            <v>11069437.460000001</v>
          </cell>
          <cell r="O422">
            <v>-7775279.1900000004</v>
          </cell>
          <cell r="P422">
            <v>107128547.97</v>
          </cell>
          <cell r="Q422">
            <v>-19304137.690000001</v>
          </cell>
          <cell r="S422">
            <v>23940139</v>
          </cell>
          <cell r="T422">
            <v>63884271.280000001</v>
          </cell>
          <cell r="U422">
            <v>10580353.890000001</v>
          </cell>
          <cell r="V422">
            <v>35934909.969999999</v>
          </cell>
          <cell r="W422">
            <v>13359785.109999999</v>
          </cell>
          <cell r="X422">
            <v>27949361.310000002</v>
          </cell>
          <cell r="Y422">
            <v>13359785.109999999</v>
          </cell>
          <cell r="Z422">
            <v>27949361.310000002</v>
          </cell>
          <cell r="AA422">
            <v>41309146.420000002</v>
          </cell>
          <cell r="AC422" t="str">
            <v>15075-3</v>
          </cell>
          <cell r="AD422" t="e">
            <v>#VALUE!</v>
          </cell>
        </row>
        <row r="423">
          <cell r="S423">
            <v>0</v>
          </cell>
          <cell r="T423">
            <v>0</v>
          </cell>
          <cell r="U423">
            <v>0</v>
          </cell>
          <cell r="V423">
            <v>0</v>
          </cell>
          <cell r="W423">
            <v>0</v>
          </cell>
          <cell r="X423">
            <v>0</v>
          </cell>
          <cell r="Y423">
            <v>0</v>
          </cell>
          <cell r="Z423">
            <v>0</v>
          </cell>
          <cell r="AA423">
            <v>0</v>
          </cell>
          <cell r="AC423">
            <v>0</v>
          </cell>
          <cell r="AD423">
            <v>0</v>
          </cell>
        </row>
        <row r="424">
          <cell r="B424" t="str">
            <v>15075-4</v>
          </cell>
          <cell r="C424" t="str">
            <v>PURCHASE A/C - RM (INKS) - BS</v>
          </cell>
          <cell r="D424">
            <v>8461276.3100000005</v>
          </cell>
          <cell r="E424">
            <v>-6493179.9400000004</v>
          </cell>
          <cell r="F424">
            <v>17957579.02</v>
          </cell>
          <cell r="G424">
            <v>-6579642.5599999996</v>
          </cell>
          <cell r="H424">
            <v>0</v>
          </cell>
          <cell r="I424">
            <v>0</v>
          </cell>
          <cell r="J424">
            <v>0.01</v>
          </cell>
          <cell r="K424">
            <v>0</v>
          </cell>
          <cell r="L424">
            <v>0</v>
          </cell>
          <cell r="M424">
            <v>0</v>
          </cell>
          <cell r="N424">
            <v>237274.35</v>
          </cell>
          <cell r="O424">
            <v>-109727.03999999999</v>
          </cell>
          <cell r="P424">
            <v>26656129.690000001</v>
          </cell>
          <cell r="Q424">
            <v>-13182549.539999999</v>
          </cell>
          <cell r="S424">
            <v>2095643.6800000002</v>
          </cell>
          <cell r="T424">
            <v>11377936.470000001</v>
          </cell>
          <cell r="U424">
            <v>1555089.4</v>
          </cell>
          <cell r="V424">
            <v>5936706.3899999997</v>
          </cell>
          <cell r="W424">
            <v>540554.28000000026</v>
          </cell>
          <cell r="X424">
            <v>5441230.080000001</v>
          </cell>
          <cell r="Y424">
            <v>540554.28000000026</v>
          </cell>
          <cell r="Z424">
            <v>5441230.080000001</v>
          </cell>
          <cell r="AA424">
            <v>5981784.3600000013</v>
          </cell>
          <cell r="AC424" t="str">
            <v>15075-4</v>
          </cell>
          <cell r="AD424" t="e">
            <v>#VALUE!</v>
          </cell>
        </row>
        <row r="425">
          <cell r="S425">
            <v>0</v>
          </cell>
          <cell r="T425">
            <v>0</v>
          </cell>
          <cell r="U425">
            <v>0</v>
          </cell>
          <cell r="V425">
            <v>0</v>
          </cell>
          <cell r="W425">
            <v>0</v>
          </cell>
          <cell r="X425">
            <v>0</v>
          </cell>
          <cell r="Y425">
            <v>0</v>
          </cell>
          <cell r="Z425">
            <v>0</v>
          </cell>
          <cell r="AA425">
            <v>0</v>
          </cell>
          <cell r="AC425">
            <v>0</v>
          </cell>
          <cell r="AD425">
            <v>0</v>
          </cell>
        </row>
        <row r="426">
          <cell r="B426" t="str">
            <v>15075-5</v>
          </cell>
          <cell r="C426" t="str">
            <v>PURCHASE A/C - RM (CHEMICALS / ACCESSORIES) - BS</v>
          </cell>
          <cell r="D426">
            <v>40038490.869999997</v>
          </cell>
          <cell r="E426">
            <v>-9864398.4600000009</v>
          </cell>
          <cell r="F426">
            <v>48207830.229999997</v>
          </cell>
          <cell r="G426">
            <v>-16734529.67</v>
          </cell>
          <cell r="H426">
            <v>2526494.4</v>
          </cell>
          <cell r="I426">
            <v>-2535729.08</v>
          </cell>
          <cell r="J426">
            <v>5435493.5199999996</v>
          </cell>
          <cell r="K426">
            <v>-5525104.0199999996</v>
          </cell>
          <cell r="L426">
            <v>0</v>
          </cell>
          <cell r="M426">
            <v>0</v>
          </cell>
          <cell r="N426">
            <v>3011530.72</v>
          </cell>
          <cell r="O426">
            <v>-2609134.38</v>
          </cell>
          <cell r="P426">
            <v>99219839.739999995</v>
          </cell>
          <cell r="Q426">
            <v>-37268895.609999999</v>
          </cell>
          <cell r="S426">
            <v>30576488.749999996</v>
          </cell>
          <cell r="T426">
            <v>31374455.379999992</v>
          </cell>
          <cell r="U426">
            <v>11516094.65</v>
          </cell>
          <cell r="V426">
            <v>15412611.98</v>
          </cell>
          <cell r="W426">
            <v>19060394.099999994</v>
          </cell>
          <cell r="X426">
            <v>15961843.399999991</v>
          </cell>
          <cell r="Y426">
            <v>19060394.099999994</v>
          </cell>
          <cell r="Z426">
            <v>15961843.399999991</v>
          </cell>
          <cell r="AA426">
            <v>35022237.499999985</v>
          </cell>
          <cell r="AC426" t="str">
            <v>15075-5</v>
          </cell>
          <cell r="AD426" t="e">
            <v>#VALUE!</v>
          </cell>
        </row>
        <row r="427">
          <cell r="S427">
            <v>0</v>
          </cell>
          <cell r="T427">
            <v>0</v>
          </cell>
          <cell r="U427">
            <v>0</v>
          </cell>
          <cell r="V427">
            <v>0</v>
          </cell>
          <cell r="W427">
            <v>0</v>
          </cell>
          <cell r="X427">
            <v>0</v>
          </cell>
          <cell r="Y427">
            <v>0</v>
          </cell>
          <cell r="Z427">
            <v>0</v>
          </cell>
          <cell r="AA427">
            <v>0</v>
          </cell>
          <cell r="AC427">
            <v>0</v>
          </cell>
          <cell r="AD427">
            <v>0</v>
          </cell>
        </row>
        <row r="428">
          <cell r="B428" t="str">
            <v>15075-6</v>
          </cell>
          <cell r="C428" t="str">
            <v>PURCHASE A/C - RM (OTHERS) - BS</v>
          </cell>
          <cell r="D428">
            <v>5713497.4199999999</v>
          </cell>
          <cell r="E428">
            <v>-1681524.17</v>
          </cell>
          <cell r="F428">
            <v>0</v>
          </cell>
          <cell r="G428">
            <v>0</v>
          </cell>
          <cell r="H428">
            <v>0</v>
          </cell>
          <cell r="I428">
            <v>0</v>
          </cell>
          <cell r="J428">
            <v>0</v>
          </cell>
          <cell r="K428">
            <v>0</v>
          </cell>
          <cell r="L428">
            <v>0</v>
          </cell>
          <cell r="M428">
            <v>0</v>
          </cell>
          <cell r="N428">
            <v>0</v>
          </cell>
          <cell r="O428">
            <v>-29029.49</v>
          </cell>
          <cell r="P428">
            <v>5713497.4199999999</v>
          </cell>
          <cell r="Q428">
            <v>-1710553.66</v>
          </cell>
          <cell r="S428">
            <v>4002943.76</v>
          </cell>
          <cell r="T428">
            <v>0</v>
          </cell>
          <cell r="U428">
            <v>2358719.7799999998</v>
          </cell>
          <cell r="V428">
            <v>0</v>
          </cell>
          <cell r="W428">
            <v>1644223.98</v>
          </cell>
          <cell r="X428">
            <v>0</v>
          </cell>
          <cell r="Y428">
            <v>1644223.98</v>
          </cell>
          <cell r="Z428">
            <v>0</v>
          </cell>
          <cell r="AA428">
            <v>1644223.98</v>
          </cell>
          <cell r="AC428" t="str">
            <v>15075-6</v>
          </cell>
          <cell r="AD428" t="e">
            <v>#VALUE!</v>
          </cell>
        </row>
        <row r="429">
          <cell r="S429">
            <v>0</v>
          </cell>
          <cell r="T429">
            <v>0</v>
          </cell>
          <cell r="U429">
            <v>0</v>
          </cell>
          <cell r="V429">
            <v>0</v>
          </cell>
          <cell r="W429">
            <v>0</v>
          </cell>
          <cell r="X429">
            <v>0</v>
          </cell>
          <cell r="Y429">
            <v>0</v>
          </cell>
          <cell r="Z429">
            <v>0</v>
          </cell>
          <cell r="AA429">
            <v>0</v>
          </cell>
          <cell r="AC429">
            <v>0</v>
          </cell>
          <cell r="AD429">
            <v>0</v>
          </cell>
        </row>
        <row r="430">
          <cell r="B430" t="str">
            <v>15075-7</v>
          </cell>
          <cell r="C430" t="str">
            <v>PURCHASE A/C - RM (PURCHASE+PROCESS) - BS</v>
          </cell>
          <cell r="D430">
            <v>108735579.06999999</v>
          </cell>
          <cell r="E430">
            <v>-7330667.29</v>
          </cell>
          <cell r="F430">
            <v>3995744.8</v>
          </cell>
          <cell r="G430">
            <v>-143325</v>
          </cell>
          <cell r="H430">
            <v>0</v>
          </cell>
          <cell r="I430">
            <v>0</v>
          </cell>
          <cell r="J430">
            <v>0</v>
          </cell>
          <cell r="K430">
            <v>0</v>
          </cell>
          <cell r="L430">
            <v>0</v>
          </cell>
          <cell r="M430">
            <v>0</v>
          </cell>
          <cell r="N430">
            <v>819573.98</v>
          </cell>
          <cell r="O430">
            <v>-819351.1</v>
          </cell>
          <cell r="P430">
            <v>113550897.84999999</v>
          </cell>
          <cell r="Q430">
            <v>-8293343.3899999997</v>
          </cell>
          <cell r="S430">
            <v>101405134.66</v>
          </cell>
          <cell r="T430">
            <v>3852419.8</v>
          </cell>
          <cell r="U430">
            <v>49537144.759999998</v>
          </cell>
          <cell r="V430">
            <v>288569.5</v>
          </cell>
          <cell r="W430">
            <v>51867989.899999999</v>
          </cell>
          <cell r="X430">
            <v>3563850.3</v>
          </cell>
          <cell r="Y430">
            <v>51867989.899999999</v>
          </cell>
          <cell r="Z430">
            <v>3563850.3</v>
          </cell>
          <cell r="AA430">
            <v>55431840.199999996</v>
          </cell>
          <cell r="AC430" t="str">
            <v>15075-7</v>
          </cell>
          <cell r="AD430" t="e">
            <v>#VALUE!</v>
          </cell>
        </row>
        <row r="431">
          <cell r="S431">
            <v>0</v>
          </cell>
          <cell r="T431">
            <v>0</v>
          </cell>
          <cell r="U431">
            <v>0</v>
          </cell>
          <cell r="V431">
            <v>0</v>
          </cell>
          <cell r="W431">
            <v>0</v>
          </cell>
          <cell r="X431">
            <v>0</v>
          </cell>
          <cell r="Y431">
            <v>0</v>
          </cell>
          <cell r="Z431">
            <v>0</v>
          </cell>
          <cell r="AA431">
            <v>0</v>
          </cell>
          <cell r="AC431">
            <v>0</v>
          </cell>
          <cell r="AD431">
            <v>0</v>
          </cell>
        </row>
        <row r="432">
          <cell r="B432">
            <v>15076</v>
          </cell>
          <cell r="C432" t="str">
            <v>CLOSING STOCK OF RAW MATERIALS (BS 2012-13)</v>
          </cell>
          <cell r="D432">
            <v>22887534</v>
          </cell>
          <cell r="E432">
            <v>-1056372</v>
          </cell>
          <cell r="F432">
            <v>35761742.840000004</v>
          </cell>
          <cell r="G432">
            <v>0</v>
          </cell>
          <cell r="H432">
            <v>0</v>
          </cell>
          <cell r="I432">
            <v>0</v>
          </cell>
          <cell r="J432">
            <v>0</v>
          </cell>
          <cell r="K432">
            <v>0</v>
          </cell>
          <cell r="L432">
            <v>0</v>
          </cell>
          <cell r="M432">
            <v>0</v>
          </cell>
          <cell r="N432">
            <v>0</v>
          </cell>
          <cell r="O432">
            <v>0</v>
          </cell>
          <cell r="P432">
            <v>58649276.840000004</v>
          </cell>
          <cell r="Q432">
            <v>-1056372</v>
          </cell>
          <cell r="S432">
            <v>21831162</v>
          </cell>
          <cell r="T432">
            <v>35761742.840000004</v>
          </cell>
          <cell r="U432">
            <v>21831162</v>
          </cell>
          <cell r="V432">
            <v>35761742.840000004</v>
          </cell>
          <cell r="W432">
            <v>0</v>
          </cell>
          <cell r="X432">
            <v>0</v>
          </cell>
          <cell r="Y432">
            <v>21831162</v>
          </cell>
          <cell r="Z432">
            <v>35761742.840000004</v>
          </cell>
          <cell r="AA432">
            <v>57592904.840000004</v>
          </cell>
          <cell r="AC432">
            <v>15076</v>
          </cell>
          <cell r="AD432">
            <v>0</v>
          </cell>
        </row>
        <row r="433">
          <cell r="S433">
            <v>0</v>
          </cell>
          <cell r="T433">
            <v>0</v>
          </cell>
          <cell r="U433">
            <v>0</v>
          </cell>
          <cell r="V433">
            <v>0</v>
          </cell>
          <cell r="W433">
            <v>0</v>
          </cell>
          <cell r="X433">
            <v>0</v>
          </cell>
          <cell r="Y433">
            <v>0</v>
          </cell>
          <cell r="Z433">
            <v>0</v>
          </cell>
          <cell r="AA433">
            <v>0</v>
          </cell>
          <cell r="AC433">
            <v>0</v>
          </cell>
          <cell r="AD433">
            <v>0</v>
          </cell>
        </row>
        <row r="434">
          <cell r="B434">
            <v>15078</v>
          </cell>
          <cell r="C434" t="str">
            <v>PURCHASE, PACKING SLIP (PENDING GRN)(NET OFF WITH 15429)</v>
          </cell>
          <cell r="D434">
            <v>795019608.78999996</v>
          </cell>
          <cell r="E434">
            <v>-792681070.59000003</v>
          </cell>
          <cell r="F434">
            <v>23634781770.009998</v>
          </cell>
          <cell r="G434">
            <v>-23559613227.720001</v>
          </cell>
          <cell r="H434">
            <v>35514003.289999999</v>
          </cell>
          <cell r="I434">
            <v>-35514003.289999999</v>
          </cell>
          <cell r="J434">
            <v>169538.74</v>
          </cell>
          <cell r="K434">
            <v>-169538.74</v>
          </cell>
          <cell r="L434">
            <v>235743.96</v>
          </cell>
          <cell r="M434">
            <v>-235743.96</v>
          </cell>
          <cell r="N434">
            <v>0</v>
          </cell>
          <cell r="O434">
            <v>0</v>
          </cell>
          <cell r="P434">
            <v>24465484920.830002</v>
          </cell>
          <cell r="Q434">
            <v>-24387977840.34</v>
          </cell>
          <cell r="S434">
            <v>2338538.1999999285</v>
          </cell>
          <cell r="T434">
            <v>75168542.289997101</v>
          </cell>
          <cell r="U434">
            <v>299090.02</v>
          </cell>
          <cell r="V434">
            <v>22692</v>
          </cell>
          <cell r="W434">
            <v>2039448.1799999285</v>
          </cell>
          <cell r="X434">
            <v>75145850.289997101</v>
          </cell>
          <cell r="Y434">
            <v>2338538.1999999285</v>
          </cell>
          <cell r="Z434">
            <v>75168542.289997101</v>
          </cell>
          <cell r="AA434">
            <v>77507080.489997029</v>
          </cell>
          <cell r="AC434">
            <v>15078</v>
          </cell>
          <cell r="AD434">
            <v>0</v>
          </cell>
        </row>
        <row r="435">
          <cell r="S435">
            <v>0</v>
          </cell>
          <cell r="T435">
            <v>0</v>
          </cell>
          <cell r="U435">
            <v>0</v>
          </cell>
          <cell r="V435">
            <v>0</v>
          </cell>
          <cell r="W435">
            <v>0</v>
          </cell>
          <cell r="X435">
            <v>0</v>
          </cell>
          <cell r="Y435">
            <v>0</v>
          </cell>
          <cell r="Z435">
            <v>0</v>
          </cell>
          <cell r="AA435">
            <v>0</v>
          </cell>
          <cell r="AC435">
            <v>0</v>
          </cell>
          <cell r="AD435">
            <v>0</v>
          </cell>
        </row>
        <row r="436">
          <cell r="B436">
            <v>15089</v>
          </cell>
          <cell r="C436" t="str">
            <v>GOODS-IN-TRANSIT (FG)</v>
          </cell>
          <cell r="D436">
            <v>772217076.38999999</v>
          </cell>
          <cell r="E436">
            <v>-771323964.36000001</v>
          </cell>
          <cell r="F436">
            <v>1875794556.3499999</v>
          </cell>
          <cell r="G436">
            <v>-1872005917.77</v>
          </cell>
          <cell r="H436">
            <v>0</v>
          </cell>
          <cell r="I436">
            <v>0</v>
          </cell>
          <cell r="J436">
            <v>0</v>
          </cell>
          <cell r="K436">
            <v>0</v>
          </cell>
          <cell r="L436">
            <v>0</v>
          </cell>
          <cell r="M436">
            <v>0</v>
          </cell>
          <cell r="N436">
            <v>239972</v>
          </cell>
          <cell r="O436">
            <v>-239972</v>
          </cell>
          <cell r="P436">
            <v>2648251604.7399998</v>
          </cell>
          <cell r="Q436">
            <v>-2643569854.1300001</v>
          </cell>
          <cell r="S436">
            <v>893112.02999997139</v>
          </cell>
          <cell r="T436">
            <v>3788638.5799999237</v>
          </cell>
          <cell r="U436">
            <v>0</v>
          </cell>
          <cell r="V436">
            <v>0</v>
          </cell>
          <cell r="W436">
            <v>893112.02999997139</v>
          </cell>
          <cell r="X436">
            <v>3788638.5799999237</v>
          </cell>
          <cell r="Y436">
            <v>893112.02999997139</v>
          </cell>
          <cell r="Z436">
            <v>3788638.5799999237</v>
          </cell>
          <cell r="AA436">
            <v>4681750.6099998951</v>
          </cell>
          <cell r="AC436">
            <v>15089</v>
          </cell>
          <cell r="AD436">
            <v>0</v>
          </cell>
        </row>
        <row r="437">
          <cell r="S437">
            <v>0</v>
          </cell>
          <cell r="T437">
            <v>0</v>
          </cell>
          <cell r="U437">
            <v>0</v>
          </cell>
          <cell r="V437">
            <v>0</v>
          </cell>
          <cell r="W437">
            <v>0</v>
          </cell>
          <cell r="X437">
            <v>0</v>
          </cell>
          <cell r="Y437">
            <v>0</v>
          </cell>
          <cell r="Z437">
            <v>0</v>
          </cell>
          <cell r="AA437">
            <v>0</v>
          </cell>
          <cell r="AC437">
            <v>0</v>
          </cell>
          <cell r="AD437">
            <v>0</v>
          </cell>
        </row>
        <row r="438">
          <cell r="B438">
            <v>15090</v>
          </cell>
          <cell r="C438" t="str">
            <v>GOODS-IN-TRANSIT (RM)</v>
          </cell>
          <cell r="D438">
            <v>1795495096.1099999</v>
          </cell>
          <cell r="E438">
            <v>-1794831831.96</v>
          </cell>
          <cell r="F438">
            <v>3295678108.9099998</v>
          </cell>
          <cell r="G438">
            <v>-3105642112.8499999</v>
          </cell>
          <cell r="H438">
            <v>1382638.29</v>
          </cell>
          <cell r="I438">
            <v>-1382638.29</v>
          </cell>
          <cell r="J438">
            <v>519470.67</v>
          </cell>
          <cell r="K438">
            <v>-519470.67</v>
          </cell>
          <cell r="L438">
            <v>0</v>
          </cell>
          <cell r="M438">
            <v>0</v>
          </cell>
          <cell r="N438">
            <v>738119.91</v>
          </cell>
          <cell r="O438">
            <v>-395717.78</v>
          </cell>
          <cell r="P438">
            <v>5093813433.8900003</v>
          </cell>
          <cell r="Q438">
            <v>-4902771771.5500002</v>
          </cell>
          <cell r="S438">
            <v>1005666.2799998571</v>
          </cell>
          <cell r="T438">
            <v>190035996.05999994</v>
          </cell>
          <cell r="U438">
            <v>0</v>
          </cell>
          <cell r="V438">
            <v>7724825.5</v>
          </cell>
          <cell r="W438">
            <v>1005666.2799998571</v>
          </cell>
          <cell r="X438">
            <v>182311170.55999994</v>
          </cell>
          <cell r="Y438">
            <v>1005666.2799998571</v>
          </cell>
          <cell r="Z438">
            <v>190035996.05999994</v>
          </cell>
          <cell r="AA438">
            <v>191041662.33999979</v>
          </cell>
          <cell r="AC438">
            <v>15090</v>
          </cell>
          <cell r="AD438">
            <v>0</v>
          </cell>
        </row>
        <row r="439">
          <cell r="S439">
            <v>0</v>
          </cell>
          <cell r="T439">
            <v>0</v>
          </cell>
          <cell r="U439">
            <v>0</v>
          </cell>
          <cell r="V439">
            <v>0</v>
          </cell>
          <cell r="W439">
            <v>0</v>
          </cell>
          <cell r="X439">
            <v>0</v>
          </cell>
          <cell r="Y439">
            <v>0</v>
          </cell>
          <cell r="Z439">
            <v>0</v>
          </cell>
          <cell r="AA439">
            <v>0</v>
          </cell>
          <cell r="AC439">
            <v>0</v>
          </cell>
          <cell r="AD439">
            <v>0</v>
          </cell>
        </row>
        <row r="440">
          <cell r="B440">
            <v>15091</v>
          </cell>
          <cell r="C440" t="str">
            <v>TRANSFER ISSUE/RECEIPT A/C (GIT) RM</v>
          </cell>
          <cell r="D440">
            <v>1116871875.5599999</v>
          </cell>
          <cell r="E440">
            <v>-1117940428.9000001</v>
          </cell>
          <cell r="F440">
            <v>3213970868.1199999</v>
          </cell>
          <cell r="G440">
            <v>-3328651277.8899999</v>
          </cell>
          <cell r="H440">
            <v>1295326.25</v>
          </cell>
          <cell r="I440">
            <v>-1419998.25</v>
          </cell>
          <cell r="J440">
            <v>357150.59</v>
          </cell>
          <cell r="K440">
            <v>-357150.59</v>
          </cell>
          <cell r="L440">
            <v>0</v>
          </cell>
          <cell r="M440">
            <v>0</v>
          </cell>
          <cell r="N440">
            <v>395717.78</v>
          </cell>
          <cell r="O440">
            <v>-738119.91</v>
          </cell>
          <cell r="P440">
            <v>4332890938.3000002</v>
          </cell>
          <cell r="Q440">
            <v>-4449106975.54</v>
          </cell>
          <cell r="S440">
            <v>-1410955.4700001525</v>
          </cell>
          <cell r="T440">
            <v>-114805081.76999998</v>
          </cell>
          <cell r="U440">
            <v>0</v>
          </cell>
          <cell r="V440">
            <v>0</v>
          </cell>
          <cell r="W440">
            <v>-1410955.4700001525</v>
          </cell>
          <cell r="X440">
            <v>-114805081.76999998</v>
          </cell>
          <cell r="Y440">
            <v>-1410955.4700001525</v>
          </cell>
          <cell r="Z440">
            <v>-114805081.76999998</v>
          </cell>
          <cell r="AA440">
            <v>-116216037.24000013</v>
          </cell>
          <cell r="AC440">
            <v>15091</v>
          </cell>
          <cell r="AD440">
            <v>0</v>
          </cell>
        </row>
        <row r="441">
          <cell r="S441">
            <v>0</v>
          </cell>
          <cell r="T441">
            <v>0</v>
          </cell>
          <cell r="U441">
            <v>0</v>
          </cell>
          <cell r="V441">
            <v>0</v>
          </cell>
          <cell r="W441">
            <v>0</v>
          </cell>
          <cell r="X441">
            <v>0</v>
          </cell>
          <cell r="Y441">
            <v>0</v>
          </cell>
          <cell r="Z441">
            <v>0</v>
          </cell>
          <cell r="AA441">
            <v>0</v>
          </cell>
          <cell r="AC441">
            <v>0</v>
          </cell>
          <cell r="AD441">
            <v>0</v>
          </cell>
        </row>
        <row r="442">
          <cell r="B442">
            <v>15092</v>
          </cell>
          <cell r="C442" t="str">
            <v>UNREALISED PROFIT/LOSS ON TRANSFER</v>
          </cell>
          <cell r="D442">
            <v>802642683.87</v>
          </cell>
          <cell r="E442">
            <v>-791695554.37</v>
          </cell>
          <cell r="F442">
            <v>764149615.41999996</v>
          </cell>
          <cell r="G442">
            <v>-771813523.53999996</v>
          </cell>
          <cell r="H442">
            <v>124672.04</v>
          </cell>
          <cell r="I442">
            <v>-0.04</v>
          </cell>
          <cell r="J442">
            <v>205203.72</v>
          </cell>
          <cell r="K442">
            <v>-205203.72</v>
          </cell>
          <cell r="L442">
            <v>0</v>
          </cell>
          <cell r="M442">
            <v>0</v>
          </cell>
          <cell r="N442">
            <v>0</v>
          </cell>
          <cell r="O442">
            <v>0</v>
          </cell>
          <cell r="P442">
            <v>1567122175.05</v>
          </cell>
          <cell r="Q442">
            <v>-1563714281.6700001</v>
          </cell>
          <cell r="S442">
            <v>10947129.5</v>
          </cell>
          <cell r="T442">
            <v>-7539236.1200000048</v>
          </cell>
          <cell r="U442">
            <v>0</v>
          </cell>
          <cell r="V442">
            <v>0</v>
          </cell>
          <cell r="W442">
            <v>10947129.5</v>
          </cell>
          <cell r="X442">
            <v>-7539236.1200000048</v>
          </cell>
          <cell r="Y442">
            <v>10947129.5</v>
          </cell>
          <cell r="Z442">
            <v>-7539236.1200000048</v>
          </cell>
          <cell r="AA442">
            <v>3407893.3799999952</v>
          </cell>
          <cell r="AC442">
            <v>15092</v>
          </cell>
          <cell r="AD442">
            <v>0</v>
          </cell>
        </row>
        <row r="443">
          <cell r="S443">
            <v>0</v>
          </cell>
          <cell r="T443">
            <v>0</v>
          </cell>
          <cell r="U443">
            <v>0</v>
          </cell>
          <cell r="V443">
            <v>0</v>
          </cell>
          <cell r="W443">
            <v>0</v>
          </cell>
          <cell r="X443">
            <v>0</v>
          </cell>
          <cell r="Y443">
            <v>0</v>
          </cell>
          <cell r="Z443">
            <v>0</v>
          </cell>
          <cell r="AA443">
            <v>0</v>
          </cell>
          <cell r="AC443">
            <v>0</v>
          </cell>
          <cell r="AD443">
            <v>0</v>
          </cell>
        </row>
        <row r="444">
          <cell r="B444">
            <v>15095</v>
          </cell>
          <cell r="C444" t="str">
            <v>TRANSFER ISSUE/RECEIPT A/C (GIT) FG</v>
          </cell>
          <cell r="D444">
            <v>698791356.30999994</v>
          </cell>
          <cell r="E444">
            <v>-710216314.63</v>
          </cell>
          <cell r="F444">
            <v>2149064884.4200001</v>
          </cell>
          <cell r="G444">
            <v>-2156159578.3299999</v>
          </cell>
          <cell r="H444">
            <v>366.72</v>
          </cell>
          <cell r="I444">
            <v>-366.72</v>
          </cell>
          <cell r="J444">
            <v>0</v>
          </cell>
          <cell r="K444">
            <v>0</v>
          </cell>
          <cell r="L444">
            <v>0</v>
          </cell>
          <cell r="M444">
            <v>0</v>
          </cell>
          <cell r="N444">
            <v>239972</v>
          </cell>
          <cell r="O444">
            <v>-239972</v>
          </cell>
          <cell r="P444">
            <v>2848096579.4499998</v>
          </cell>
          <cell r="Q444">
            <v>-2866616231.6799998</v>
          </cell>
          <cell r="S444">
            <v>-11424958.320000052</v>
          </cell>
          <cell r="T444">
            <v>-7094693.9099998474</v>
          </cell>
          <cell r="U444">
            <v>0</v>
          </cell>
          <cell r="V444">
            <v>0</v>
          </cell>
          <cell r="W444">
            <v>-11424958.320000052</v>
          </cell>
          <cell r="X444">
            <v>-7094693.9099998474</v>
          </cell>
          <cell r="Y444">
            <v>-11424958.320000052</v>
          </cell>
          <cell r="Z444">
            <v>-7094693.9099998474</v>
          </cell>
          <cell r="AA444">
            <v>-18519652.2299999</v>
          </cell>
          <cell r="AC444">
            <v>15095</v>
          </cell>
          <cell r="AD444">
            <v>0</v>
          </cell>
        </row>
        <row r="445">
          <cell r="S445">
            <v>0</v>
          </cell>
          <cell r="T445">
            <v>0</v>
          </cell>
          <cell r="U445">
            <v>0</v>
          </cell>
          <cell r="V445">
            <v>0</v>
          </cell>
          <cell r="W445">
            <v>0</v>
          </cell>
          <cell r="X445">
            <v>0</v>
          </cell>
          <cell r="Y445">
            <v>0</v>
          </cell>
          <cell r="Z445">
            <v>0</v>
          </cell>
          <cell r="AA445">
            <v>0</v>
          </cell>
          <cell r="AC445">
            <v>0</v>
          </cell>
          <cell r="AD445">
            <v>0</v>
          </cell>
        </row>
        <row r="446">
          <cell r="E446" t="str">
            <v>SDCT</v>
          </cell>
          <cell r="F446" t="str">
            <v>PCDT</v>
          </cell>
          <cell r="G446" t="str">
            <v>PCDC</v>
          </cell>
          <cell r="I446" t="str">
            <v>PCDN</v>
          </cell>
          <cell r="K446" t="str">
            <v>CORP</v>
          </cell>
          <cell r="M446" t="str">
            <v>OTHER</v>
          </cell>
          <cell r="O446" t="str">
            <v>TOTAL</v>
          </cell>
          <cell r="U446">
            <v>0</v>
          </cell>
          <cell r="V446">
            <v>0</v>
          </cell>
          <cell r="W446">
            <v>0</v>
          </cell>
          <cell r="X446">
            <v>0</v>
          </cell>
          <cell r="Y446">
            <v>0</v>
          </cell>
          <cell r="Z446">
            <v>0</v>
          </cell>
          <cell r="AA446">
            <v>0</v>
          </cell>
          <cell r="AC446">
            <v>0</v>
          </cell>
          <cell r="AD446">
            <v>0</v>
          </cell>
        </row>
        <row r="447">
          <cell r="B447" t="str">
            <v>GL CODE</v>
          </cell>
          <cell r="C447" t="str">
            <v>ACCOUNT HEAD</v>
          </cell>
          <cell r="S447">
            <v>0</v>
          </cell>
          <cell r="T447">
            <v>0</v>
          </cell>
          <cell r="U447" t="str">
            <v>SDCT</v>
          </cell>
          <cell r="V447" t="str">
            <v>PCDT</v>
          </cell>
          <cell r="AA447">
            <v>0</v>
          </cell>
          <cell r="AC447">
            <v>0</v>
          </cell>
          <cell r="AD447" t="e">
            <v>#VALUE!</v>
          </cell>
        </row>
        <row r="448">
          <cell r="S448">
            <v>0</v>
          </cell>
          <cell r="T448">
            <v>0</v>
          </cell>
          <cell r="U448">
            <v>0</v>
          </cell>
          <cell r="V448">
            <v>0</v>
          </cell>
          <cell r="W448">
            <v>0</v>
          </cell>
          <cell r="X448">
            <v>0</v>
          </cell>
          <cell r="Y448">
            <v>0</v>
          </cell>
          <cell r="Z448">
            <v>0</v>
          </cell>
          <cell r="AA448">
            <v>0</v>
          </cell>
          <cell r="AC448">
            <v>0</v>
          </cell>
          <cell r="AD448">
            <v>0</v>
          </cell>
        </row>
        <row r="449">
          <cell r="D449" t="str">
            <v>DR.</v>
          </cell>
          <cell r="E449" t="str">
            <v>CR.</v>
          </cell>
          <cell r="F449" t="str">
            <v>DR.</v>
          </cell>
          <cell r="G449" t="str">
            <v>CR.</v>
          </cell>
          <cell r="H449" t="str">
            <v>DR.</v>
          </cell>
          <cell r="I449" t="str">
            <v>CR.</v>
          </cell>
          <cell r="J449" t="str">
            <v>DR.</v>
          </cell>
          <cell r="K449" t="str">
            <v>CR.</v>
          </cell>
          <cell r="L449" t="str">
            <v>DR.</v>
          </cell>
          <cell r="M449" t="str">
            <v>CR.</v>
          </cell>
          <cell r="N449" t="str">
            <v>DR.</v>
          </cell>
          <cell r="O449" t="str">
            <v>CR.</v>
          </cell>
          <cell r="P449" t="str">
            <v>DR.</v>
          </cell>
          <cell r="Q449" t="str">
            <v>CR.</v>
          </cell>
          <cell r="U449">
            <v>0</v>
          </cell>
          <cell r="V449">
            <v>0</v>
          </cell>
          <cell r="W449">
            <v>0</v>
          </cell>
          <cell r="X449">
            <v>0</v>
          </cell>
          <cell r="Y449">
            <v>0</v>
          </cell>
          <cell r="Z449">
            <v>0</v>
          </cell>
          <cell r="AA449">
            <v>0</v>
          </cell>
          <cell r="AC449">
            <v>0</v>
          </cell>
          <cell r="AD449">
            <v>0</v>
          </cell>
        </row>
        <row r="450">
          <cell r="S450">
            <v>0</v>
          </cell>
          <cell r="T450">
            <v>0</v>
          </cell>
          <cell r="U450">
            <v>0</v>
          </cell>
          <cell r="V450">
            <v>0</v>
          </cell>
          <cell r="W450">
            <v>0</v>
          </cell>
          <cell r="X450">
            <v>0</v>
          </cell>
          <cell r="Y450">
            <v>0</v>
          </cell>
          <cell r="Z450">
            <v>0</v>
          </cell>
          <cell r="AA450">
            <v>0</v>
          </cell>
          <cell r="AC450">
            <v>0</v>
          </cell>
          <cell r="AD450">
            <v>0</v>
          </cell>
        </row>
        <row r="451">
          <cell r="S451">
            <v>0</v>
          </cell>
          <cell r="T451">
            <v>0</v>
          </cell>
          <cell r="U451">
            <v>0</v>
          </cell>
          <cell r="V451">
            <v>0</v>
          </cell>
          <cell r="W451">
            <v>0</v>
          </cell>
          <cell r="X451">
            <v>0</v>
          </cell>
          <cell r="Y451">
            <v>0</v>
          </cell>
          <cell r="Z451">
            <v>0</v>
          </cell>
          <cell r="AA451">
            <v>0</v>
          </cell>
          <cell r="AC451">
            <v>0</v>
          </cell>
          <cell r="AD451">
            <v>0</v>
          </cell>
        </row>
        <row r="452">
          <cell r="B452">
            <v>15099</v>
          </cell>
          <cell r="C452" t="str">
            <v>PURCHASE A/C - PACKING MATERIALS STOCK (BS)</v>
          </cell>
          <cell r="D452">
            <v>33291615.629999999</v>
          </cell>
          <cell r="E452">
            <v>-9903680.8399999999</v>
          </cell>
          <cell r="F452">
            <v>19875809.289999999</v>
          </cell>
          <cell r="G452">
            <v>-8594611.1199999992</v>
          </cell>
          <cell r="H452">
            <v>3176.54</v>
          </cell>
          <cell r="I452">
            <v>-3168.93</v>
          </cell>
          <cell r="J452">
            <v>6294.59</v>
          </cell>
          <cell r="K452">
            <v>-6294.59</v>
          </cell>
          <cell r="L452">
            <v>0</v>
          </cell>
          <cell r="M452">
            <v>0</v>
          </cell>
          <cell r="N452">
            <v>42198.32</v>
          </cell>
          <cell r="O452">
            <v>-11602.85</v>
          </cell>
          <cell r="P452">
            <v>53219094.369999997</v>
          </cell>
          <cell r="Q452">
            <v>-18519358.329999998</v>
          </cell>
          <cell r="S452">
            <v>23418530.259999998</v>
          </cell>
          <cell r="T452">
            <v>11281205.779999999</v>
          </cell>
          <cell r="U452">
            <v>13100432.300000001</v>
          </cell>
          <cell r="V452">
            <v>5454299.8300000001</v>
          </cell>
          <cell r="W452">
            <v>10318097.959999997</v>
          </cell>
          <cell r="X452">
            <v>5826905.9499999993</v>
          </cell>
          <cell r="Y452">
            <v>10318097.959999997</v>
          </cell>
          <cell r="Z452">
            <v>5826905.9499999993</v>
          </cell>
          <cell r="AA452">
            <v>16145003.909999996</v>
          </cell>
          <cell r="AC452">
            <v>15099</v>
          </cell>
          <cell r="AD452">
            <v>0</v>
          </cell>
        </row>
        <row r="453">
          <cell r="S453">
            <v>0</v>
          </cell>
          <cell r="T453">
            <v>0</v>
          </cell>
          <cell r="U453">
            <v>0</v>
          </cell>
          <cell r="V453">
            <v>0</v>
          </cell>
          <cell r="W453">
            <v>0</v>
          </cell>
          <cell r="X453">
            <v>0</v>
          </cell>
          <cell r="Y453">
            <v>0</v>
          </cell>
          <cell r="Z453">
            <v>0</v>
          </cell>
          <cell r="AA453">
            <v>0</v>
          </cell>
          <cell r="AC453">
            <v>0</v>
          </cell>
          <cell r="AD453">
            <v>0</v>
          </cell>
        </row>
        <row r="454">
          <cell r="B454">
            <v>15116</v>
          </cell>
          <cell r="C454" t="str">
            <v>FINISHED GOODS STOCK (BS)</v>
          </cell>
          <cell r="D454">
            <v>923962143.46000004</v>
          </cell>
          <cell r="E454">
            <v>-968488027.09000003</v>
          </cell>
          <cell r="F454">
            <v>10611439357.01</v>
          </cell>
          <cell r="G454">
            <v>-10568625258.4</v>
          </cell>
          <cell r="H454">
            <v>11582482.99</v>
          </cell>
          <cell r="I454">
            <v>-20360845.399999999</v>
          </cell>
          <cell r="J454">
            <v>3367431.95</v>
          </cell>
          <cell r="K454">
            <v>-3763482.84</v>
          </cell>
          <cell r="L454">
            <v>0</v>
          </cell>
          <cell r="M454">
            <v>0</v>
          </cell>
          <cell r="N454">
            <v>11297566.65</v>
          </cell>
          <cell r="O454">
            <v>-1486400.66</v>
          </cell>
          <cell r="P454">
            <v>11561648982.059999</v>
          </cell>
          <cell r="Q454">
            <v>-11562724014.389999</v>
          </cell>
          <cell r="S454">
            <v>-34714717.639999993</v>
          </cell>
          <cell r="T454">
            <v>33639685.310000613</v>
          </cell>
          <cell r="U454">
            <v>15255552</v>
          </cell>
          <cell r="V454">
            <v>16379429.83</v>
          </cell>
          <cell r="W454">
            <v>-49970269.639999993</v>
          </cell>
          <cell r="X454">
            <v>17260255.480000615</v>
          </cell>
          <cell r="Y454">
            <v>-34714717.639999993</v>
          </cell>
          <cell r="Z454">
            <v>33639685.310000613</v>
          </cell>
          <cell r="AA454">
            <v>-1075032.3299993798</v>
          </cell>
          <cell r="AC454">
            <v>15116</v>
          </cell>
          <cell r="AD454">
            <v>0</v>
          </cell>
        </row>
        <row r="455">
          <cell r="S455">
            <v>0</v>
          </cell>
          <cell r="T455">
            <v>0</v>
          </cell>
          <cell r="U455">
            <v>0</v>
          </cell>
          <cell r="V455">
            <v>0</v>
          </cell>
          <cell r="W455">
            <v>0</v>
          </cell>
          <cell r="X455">
            <v>0</v>
          </cell>
          <cell r="Y455">
            <v>0</v>
          </cell>
          <cell r="Z455">
            <v>0</v>
          </cell>
          <cell r="AA455">
            <v>0</v>
          </cell>
          <cell r="AC455">
            <v>0</v>
          </cell>
          <cell r="AD455">
            <v>0</v>
          </cell>
        </row>
        <row r="456">
          <cell r="B456">
            <v>15117</v>
          </cell>
          <cell r="C456" t="str">
            <v>FG STOCKS - EXCISE DUTY COMPONANT</v>
          </cell>
          <cell r="D456">
            <v>4476831</v>
          </cell>
          <cell r="E456">
            <v>-4476831</v>
          </cell>
          <cell r="F456">
            <v>2082529</v>
          </cell>
          <cell r="G456">
            <v>-2082529</v>
          </cell>
          <cell r="H456">
            <v>0</v>
          </cell>
          <cell r="I456">
            <v>0</v>
          </cell>
          <cell r="J456">
            <v>0</v>
          </cell>
          <cell r="K456">
            <v>0</v>
          </cell>
          <cell r="L456">
            <v>0</v>
          </cell>
          <cell r="M456">
            <v>0</v>
          </cell>
          <cell r="N456">
            <v>0</v>
          </cell>
          <cell r="O456">
            <v>0</v>
          </cell>
          <cell r="P456">
            <v>6559360</v>
          </cell>
          <cell r="Q456">
            <v>-6559360</v>
          </cell>
          <cell r="S456">
            <v>0</v>
          </cell>
          <cell r="T456">
            <v>0</v>
          </cell>
          <cell r="U456">
            <v>0</v>
          </cell>
          <cell r="V456">
            <v>0</v>
          </cell>
          <cell r="W456">
            <v>0</v>
          </cell>
          <cell r="X456">
            <v>0</v>
          </cell>
          <cell r="Y456">
            <v>0</v>
          </cell>
          <cell r="Z456">
            <v>0</v>
          </cell>
          <cell r="AA456">
            <v>0</v>
          </cell>
          <cell r="AC456">
            <v>15117</v>
          </cell>
          <cell r="AD456">
            <v>0</v>
          </cell>
        </row>
        <row r="457">
          <cell r="S457">
            <v>0</v>
          </cell>
          <cell r="T457">
            <v>0</v>
          </cell>
          <cell r="U457">
            <v>0</v>
          </cell>
          <cell r="V457">
            <v>0</v>
          </cell>
          <cell r="W457">
            <v>0</v>
          </cell>
          <cell r="X457">
            <v>0</v>
          </cell>
          <cell r="Y457">
            <v>0</v>
          </cell>
          <cell r="Z457">
            <v>0</v>
          </cell>
          <cell r="AA457">
            <v>0</v>
          </cell>
          <cell r="AC457">
            <v>0</v>
          </cell>
          <cell r="AD457">
            <v>0</v>
          </cell>
        </row>
        <row r="458">
          <cell r="B458">
            <v>15119</v>
          </cell>
          <cell r="C458" t="str">
            <v>PACKING SLIP A/C (MATL ASSIGN YET TO DESPATCH [NET 15615])</v>
          </cell>
          <cell r="D458">
            <v>933500034.88999999</v>
          </cell>
          <cell r="E458">
            <v>-933498887.63</v>
          </cell>
          <cell r="F458">
            <v>1703406305.3800001</v>
          </cell>
          <cell r="G458">
            <v>-1703064412.5799999</v>
          </cell>
          <cell r="H458">
            <v>9593817.5999999996</v>
          </cell>
          <cell r="I458">
            <v>-9682240.0800000001</v>
          </cell>
          <cell r="J458">
            <v>1448045.2</v>
          </cell>
          <cell r="K458">
            <v>-1448045.2</v>
          </cell>
          <cell r="L458">
            <v>0</v>
          </cell>
          <cell r="M458">
            <v>0</v>
          </cell>
          <cell r="N458">
            <v>0</v>
          </cell>
          <cell r="O458">
            <v>0</v>
          </cell>
          <cell r="P458">
            <v>2647948203.0700002</v>
          </cell>
          <cell r="Q458">
            <v>-2647693585.4899998</v>
          </cell>
          <cell r="S458">
            <v>1147.2599999904633</v>
          </cell>
          <cell r="T458">
            <v>253470.32000019029</v>
          </cell>
          <cell r="U458">
            <v>0</v>
          </cell>
          <cell r="V458">
            <v>0</v>
          </cell>
          <cell r="W458">
            <v>1147.2599999904633</v>
          </cell>
          <cell r="X458">
            <v>253470.32000019029</v>
          </cell>
          <cell r="Y458">
            <v>1147.2599999904633</v>
          </cell>
          <cell r="Z458">
            <v>253470.32000019029</v>
          </cell>
          <cell r="AA458">
            <v>254617.58000018075</v>
          </cell>
          <cell r="AC458">
            <v>15119</v>
          </cell>
          <cell r="AD458">
            <v>0</v>
          </cell>
        </row>
        <row r="459">
          <cell r="S459">
            <v>0</v>
          </cell>
          <cell r="T459">
            <v>0</v>
          </cell>
          <cell r="U459">
            <v>0</v>
          </cell>
          <cell r="V459">
            <v>0</v>
          </cell>
          <cell r="W459">
            <v>0</v>
          </cell>
          <cell r="X459">
            <v>0</v>
          </cell>
          <cell r="Y459">
            <v>0</v>
          </cell>
          <cell r="Z459">
            <v>0</v>
          </cell>
          <cell r="AA459">
            <v>0</v>
          </cell>
          <cell r="AC459">
            <v>0</v>
          </cell>
          <cell r="AD459">
            <v>0</v>
          </cell>
        </row>
        <row r="460">
          <cell r="B460">
            <v>15123</v>
          </cell>
          <cell r="C460" t="str">
            <v>SCRAP RECEIPT</v>
          </cell>
          <cell r="D460">
            <v>2577410.1800000002</v>
          </cell>
          <cell r="E460">
            <v>-2014668.46</v>
          </cell>
          <cell r="F460">
            <v>0</v>
          </cell>
          <cell r="G460">
            <v>0</v>
          </cell>
          <cell r="H460">
            <v>0</v>
          </cell>
          <cell r="I460">
            <v>0</v>
          </cell>
          <cell r="J460">
            <v>0</v>
          </cell>
          <cell r="K460">
            <v>0</v>
          </cell>
          <cell r="L460">
            <v>0</v>
          </cell>
          <cell r="M460">
            <v>0</v>
          </cell>
          <cell r="N460">
            <v>0</v>
          </cell>
          <cell r="O460">
            <v>0</v>
          </cell>
          <cell r="P460">
            <v>2577410.1800000002</v>
          </cell>
          <cell r="Q460">
            <v>-2014668.46</v>
          </cell>
          <cell r="S460">
            <v>562741.7200000002</v>
          </cell>
          <cell r="T460">
            <v>0</v>
          </cell>
          <cell r="U460">
            <v>0</v>
          </cell>
          <cell r="V460">
            <v>0</v>
          </cell>
          <cell r="W460">
            <v>562741.7200000002</v>
          </cell>
          <cell r="X460">
            <v>0</v>
          </cell>
          <cell r="Y460">
            <v>562741.7200000002</v>
          </cell>
          <cell r="Z460">
            <v>0</v>
          </cell>
          <cell r="AA460">
            <v>562741.7200000002</v>
          </cell>
          <cell r="AC460">
            <v>15123</v>
          </cell>
          <cell r="AD460">
            <v>0</v>
          </cell>
        </row>
        <row r="461">
          <cell r="S461">
            <v>0</v>
          </cell>
          <cell r="T461">
            <v>0</v>
          </cell>
          <cell r="U461">
            <v>0</v>
          </cell>
          <cell r="V461">
            <v>0</v>
          </cell>
          <cell r="W461">
            <v>0</v>
          </cell>
          <cell r="X461">
            <v>0</v>
          </cell>
          <cell r="Y461">
            <v>0</v>
          </cell>
          <cell r="Z461">
            <v>0</v>
          </cell>
          <cell r="AA461">
            <v>0</v>
          </cell>
          <cell r="AC461">
            <v>0</v>
          </cell>
          <cell r="AD461">
            <v>0</v>
          </cell>
        </row>
        <row r="462">
          <cell r="B462">
            <v>15124</v>
          </cell>
          <cell r="C462" t="str">
            <v>PURCHASE, PACKING SLIP PROV FOR PENDING GRN WIP)</v>
          </cell>
          <cell r="D462">
            <v>933734.6</v>
          </cell>
          <cell r="E462">
            <v>-933734.6</v>
          </cell>
          <cell r="F462">
            <v>16420148.83</v>
          </cell>
          <cell r="G462">
            <v>-8749648.8300000001</v>
          </cell>
          <cell r="H462">
            <v>0</v>
          </cell>
          <cell r="I462">
            <v>0</v>
          </cell>
          <cell r="J462">
            <v>0</v>
          </cell>
          <cell r="K462">
            <v>0</v>
          </cell>
          <cell r="L462">
            <v>0</v>
          </cell>
          <cell r="M462">
            <v>0</v>
          </cell>
          <cell r="N462">
            <v>0</v>
          </cell>
          <cell r="O462">
            <v>0</v>
          </cell>
          <cell r="P462">
            <v>17353883.43</v>
          </cell>
          <cell r="Q462">
            <v>-9683383.4299999997</v>
          </cell>
          <cell r="S462">
            <v>0</v>
          </cell>
          <cell r="T462">
            <v>7670500</v>
          </cell>
          <cell r="U462">
            <v>0</v>
          </cell>
          <cell r="V462">
            <v>0</v>
          </cell>
          <cell r="W462">
            <v>0</v>
          </cell>
          <cell r="X462">
            <v>7670500</v>
          </cell>
          <cell r="Y462">
            <v>0</v>
          </cell>
          <cell r="Z462">
            <v>7670500</v>
          </cell>
          <cell r="AA462">
            <v>7670500</v>
          </cell>
          <cell r="AC462">
            <v>15124</v>
          </cell>
          <cell r="AD462">
            <v>0</v>
          </cell>
        </row>
        <row r="463">
          <cell r="S463">
            <v>0</v>
          </cell>
          <cell r="T463">
            <v>0</v>
          </cell>
          <cell r="U463">
            <v>0</v>
          </cell>
          <cell r="V463">
            <v>0</v>
          </cell>
          <cell r="W463">
            <v>0</v>
          </cell>
          <cell r="X463">
            <v>0</v>
          </cell>
          <cell r="Y463">
            <v>0</v>
          </cell>
          <cell r="Z463">
            <v>0</v>
          </cell>
          <cell r="AA463">
            <v>0</v>
          </cell>
          <cell r="AC463">
            <v>0</v>
          </cell>
          <cell r="AD463">
            <v>0</v>
          </cell>
        </row>
        <row r="464">
          <cell r="B464">
            <v>15130</v>
          </cell>
          <cell r="C464" t="str">
            <v>WORK IN PROCESS STOCK (BS)</v>
          </cell>
          <cell r="D464">
            <v>4165500449.9099998</v>
          </cell>
          <cell r="E464">
            <v>-4071700303.6599998</v>
          </cell>
          <cell r="F464">
            <v>3826161609.0100002</v>
          </cell>
          <cell r="G464">
            <v>-3731457247.8699999</v>
          </cell>
          <cell r="H464">
            <v>34337975.950000003</v>
          </cell>
          <cell r="I464">
            <v>-28748749.890000001</v>
          </cell>
          <cell r="J464">
            <v>0</v>
          </cell>
          <cell r="K464">
            <v>0</v>
          </cell>
          <cell r="L464">
            <v>0</v>
          </cell>
          <cell r="M464">
            <v>0</v>
          </cell>
          <cell r="N464">
            <v>27733338.59</v>
          </cell>
          <cell r="O464">
            <v>-7825475.9299999997</v>
          </cell>
          <cell r="P464">
            <v>8053733373.46</v>
          </cell>
          <cell r="Q464">
            <v>-7839731777.3500004</v>
          </cell>
          <cell r="S464">
            <v>113708008.91</v>
          </cell>
          <cell r="T464">
            <v>100293587.20000035</v>
          </cell>
          <cell r="U464">
            <v>14643091</v>
          </cell>
          <cell r="V464">
            <v>23117114.809999999</v>
          </cell>
          <cell r="W464">
            <v>99064917.909999996</v>
          </cell>
          <cell r="X464">
            <v>77176472.390000343</v>
          </cell>
          <cell r="Y464">
            <v>113708008.91</v>
          </cell>
          <cell r="Z464">
            <v>100293587.20000035</v>
          </cell>
          <cell r="AA464">
            <v>214001596.11000034</v>
          </cell>
          <cell r="AC464">
            <v>15130</v>
          </cell>
          <cell r="AD464">
            <v>0</v>
          </cell>
        </row>
        <row r="465">
          <cell r="S465">
            <v>0</v>
          </cell>
          <cell r="T465">
            <v>0</v>
          </cell>
          <cell r="U465">
            <v>0</v>
          </cell>
          <cell r="V465">
            <v>0</v>
          </cell>
          <cell r="W465">
            <v>0</v>
          </cell>
          <cell r="X465">
            <v>0</v>
          </cell>
          <cell r="Y465">
            <v>0</v>
          </cell>
          <cell r="Z465">
            <v>0</v>
          </cell>
          <cell r="AA465">
            <v>0</v>
          </cell>
          <cell r="AC465">
            <v>0</v>
          </cell>
          <cell r="AD465">
            <v>0</v>
          </cell>
        </row>
        <row r="466">
          <cell r="B466" t="str">
            <v>15135-2</v>
          </cell>
          <cell r="C466" t="str">
            <v>WORK IN PROCESS SCRAP (BS)</v>
          </cell>
          <cell r="D466">
            <v>2077765.48</v>
          </cell>
          <cell r="E466">
            <v>-166610509.47</v>
          </cell>
          <cell r="F466">
            <v>0</v>
          </cell>
          <cell r="G466">
            <v>0</v>
          </cell>
          <cell r="H466">
            <v>0</v>
          </cell>
          <cell r="I466">
            <v>0</v>
          </cell>
          <cell r="J466">
            <v>0</v>
          </cell>
          <cell r="K466">
            <v>0</v>
          </cell>
          <cell r="L466">
            <v>0</v>
          </cell>
          <cell r="M466">
            <v>0</v>
          </cell>
          <cell r="N466">
            <v>0</v>
          </cell>
          <cell r="O466">
            <v>0</v>
          </cell>
          <cell r="P466">
            <v>2077765.48</v>
          </cell>
          <cell r="Q466">
            <v>-166610509.47</v>
          </cell>
          <cell r="S466">
            <v>-164532743.99000001</v>
          </cell>
          <cell r="T466">
            <v>0</v>
          </cell>
          <cell r="U466">
            <v>-107136562.04000001</v>
          </cell>
          <cell r="V466">
            <v>0</v>
          </cell>
          <cell r="W466">
            <v>-57396181.950000003</v>
          </cell>
          <cell r="X466">
            <v>0</v>
          </cell>
          <cell r="Y466">
            <v>-164532743.99000001</v>
          </cell>
          <cell r="Z466">
            <v>0</v>
          </cell>
          <cell r="AA466">
            <v>-164532743.99000001</v>
          </cell>
          <cell r="AC466" t="str">
            <v>15135-2</v>
          </cell>
          <cell r="AD466" t="e">
            <v>#VALUE!</v>
          </cell>
        </row>
        <row r="467">
          <cell r="S467">
            <v>0</v>
          </cell>
          <cell r="T467">
            <v>0</v>
          </cell>
          <cell r="U467">
            <v>0</v>
          </cell>
          <cell r="V467">
            <v>0</v>
          </cell>
          <cell r="W467">
            <v>0</v>
          </cell>
          <cell r="X467">
            <v>0</v>
          </cell>
          <cell r="Y467">
            <v>0</v>
          </cell>
          <cell r="Z467">
            <v>0</v>
          </cell>
          <cell r="AA467">
            <v>0</v>
          </cell>
          <cell r="AC467">
            <v>0</v>
          </cell>
          <cell r="AD467">
            <v>0</v>
          </cell>
        </row>
        <row r="468">
          <cell r="B468">
            <v>15136</v>
          </cell>
          <cell r="C468" t="str">
            <v>SUNDRY DEBTORS - DOMESTIC</v>
          </cell>
          <cell r="D468">
            <v>1477573759.23</v>
          </cell>
          <cell r="E468">
            <v>-1417830540.49</v>
          </cell>
          <cell r="F468">
            <v>2513759314.9400001</v>
          </cell>
          <cell r="G468">
            <v>-2426850612.9400001</v>
          </cell>
          <cell r="H468">
            <v>22168133.050000001</v>
          </cell>
          <cell r="I468">
            <v>-10323863.050000001</v>
          </cell>
          <cell r="J468">
            <v>5682102.0999999996</v>
          </cell>
          <cell r="K468">
            <v>-5077881.0999999996</v>
          </cell>
          <cell r="L468">
            <v>10021471.460000001</v>
          </cell>
          <cell r="M468">
            <v>-7422897</v>
          </cell>
          <cell r="N468">
            <v>1191761.75</v>
          </cell>
          <cell r="O468">
            <v>-1191761.75</v>
          </cell>
          <cell r="P468">
            <v>4020375071.0700002</v>
          </cell>
          <cell r="Q468">
            <v>-3861274659.3299999</v>
          </cell>
          <cell r="S468">
            <v>62341793.200000018</v>
          </cell>
          <cell r="T468">
            <v>99357193</v>
          </cell>
          <cell r="U468">
            <v>50957639.969999999</v>
          </cell>
          <cell r="V468">
            <v>65444798.880000003</v>
          </cell>
          <cell r="W468">
            <v>11384153.230000019</v>
          </cell>
          <cell r="X468">
            <v>33912394.119999997</v>
          </cell>
          <cell r="Y468">
            <v>62341793.200000018</v>
          </cell>
          <cell r="Z468">
            <v>99357193</v>
          </cell>
          <cell r="AA468">
            <v>161698986.20000002</v>
          </cell>
          <cell r="AC468">
            <v>15136</v>
          </cell>
          <cell r="AD468">
            <v>0</v>
          </cell>
        </row>
        <row r="469">
          <cell r="S469">
            <v>0</v>
          </cell>
          <cell r="T469">
            <v>0</v>
          </cell>
          <cell r="U469">
            <v>0</v>
          </cell>
          <cell r="V469">
            <v>0</v>
          </cell>
          <cell r="W469">
            <v>0</v>
          </cell>
          <cell r="X469">
            <v>0</v>
          </cell>
          <cell r="Y469">
            <v>0</v>
          </cell>
          <cell r="Z469">
            <v>0</v>
          </cell>
          <cell r="AA469">
            <v>0</v>
          </cell>
          <cell r="AC469">
            <v>0</v>
          </cell>
          <cell r="AD469">
            <v>0</v>
          </cell>
        </row>
        <row r="470">
          <cell r="B470">
            <v>15137</v>
          </cell>
          <cell r="C470" t="str">
            <v>SUNDRY DEBTORS - FOREIGN</v>
          </cell>
          <cell r="D470">
            <v>7164635448044230</v>
          </cell>
          <cell r="E470">
            <v>-7164635376030980</v>
          </cell>
          <cell r="F470">
            <v>409814263.29000002</v>
          </cell>
          <cell r="G470">
            <v>-311095502.13999999</v>
          </cell>
          <cell r="H470">
            <v>315224</v>
          </cell>
          <cell r="I470">
            <v>0</v>
          </cell>
          <cell r="J470">
            <v>6161412.4000000004</v>
          </cell>
          <cell r="K470">
            <v>-6161412.4000000004</v>
          </cell>
          <cell r="L470">
            <v>0</v>
          </cell>
          <cell r="M470">
            <v>0</v>
          </cell>
          <cell r="N470">
            <v>91604522.209999993</v>
          </cell>
          <cell r="O470">
            <v>-91604522.209999993</v>
          </cell>
          <cell r="P470">
            <v>7164635955939650</v>
          </cell>
          <cell r="Q470">
            <v>-7164635784892420</v>
          </cell>
          <cell r="S470">
            <v>72013249.999999985</v>
          </cell>
          <cell r="T470">
            <v>99033985.150000036</v>
          </cell>
          <cell r="U470">
            <v>79899460</v>
          </cell>
          <cell r="V470">
            <v>105995349.45999999</v>
          </cell>
          <cell r="W470">
            <v>-7886210.0000000149</v>
          </cell>
          <cell r="X470">
            <v>-6961364.3099999577</v>
          </cell>
          <cell r="Y470">
            <v>72013249.999999985</v>
          </cell>
          <cell r="Z470">
            <v>99033985.150000036</v>
          </cell>
          <cell r="AA470">
            <v>171047235.15000004</v>
          </cell>
          <cell r="AC470">
            <v>15137</v>
          </cell>
          <cell r="AD470">
            <v>0</v>
          </cell>
        </row>
        <row r="471">
          <cell r="S471">
            <v>0</v>
          </cell>
          <cell r="T471">
            <v>0</v>
          </cell>
          <cell r="U471">
            <v>0</v>
          </cell>
          <cell r="V471">
            <v>0</v>
          </cell>
          <cell r="W471">
            <v>0</v>
          </cell>
          <cell r="X471">
            <v>0</v>
          </cell>
          <cell r="Y471">
            <v>0</v>
          </cell>
          <cell r="Z471">
            <v>0</v>
          </cell>
          <cell r="AA471">
            <v>0</v>
          </cell>
          <cell r="AC471">
            <v>0</v>
          </cell>
          <cell r="AD471">
            <v>0</v>
          </cell>
        </row>
        <row r="472">
          <cell r="B472">
            <v>15138</v>
          </cell>
          <cell r="C472" t="str">
            <v>PROVISION FOR DOUBTFUL DEBTS</v>
          </cell>
          <cell r="D472">
            <v>921313.02</v>
          </cell>
          <cell r="E472">
            <v>-1448630.04</v>
          </cell>
          <cell r="F472">
            <v>9807082.1300000008</v>
          </cell>
          <cell r="G472">
            <v>-12399903.939999999</v>
          </cell>
          <cell r="H472">
            <v>0</v>
          </cell>
          <cell r="I472">
            <v>0</v>
          </cell>
          <cell r="J472">
            <v>0</v>
          </cell>
          <cell r="K472">
            <v>0</v>
          </cell>
          <cell r="L472">
            <v>0</v>
          </cell>
          <cell r="M472">
            <v>0</v>
          </cell>
          <cell r="N472">
            <v>0</v>
          </cell>
          <cell r="O472">
            <v>0</v>
          </cell>
          <cell r="P472">
            <v>10728395.15</v>
          </cell>
          <cell r="Q472">
            <v>-13848533.98</v>
          </cell>
          <cell r="S472">
            <v>-527317.02</v>
          </cell>
          <cell r="T472">
            <v>-2592821.8099999987</v>
          </cell>
          <cell r="U472">
            <v>-527317.02</v>
          </cell>
          <cell r="V472">
            <v>-2592821.81</v>
          </cell>
          <cell r="W472">
            <v>0</v>
          </cell>
          <cell r="X472">
            <v>0</v>
          </cell>
          <cell r="Y472">
            <v>-527317.02</v>
          </cell>
          <cell r="Z472">
            <v>-2592821.81</v>
          </cell>
          <cell r="AA472">
            <v>-3120138.83</v>
          </cell>
          <cell r="AC472">
            <v>15138</v>
          </cell>
          <cell r="AD472">
            <v>0</v>
          </cell>
        </row>
        <row r="473">
          <cell r="S473">
            <v>0</v>
          </cell>
          <cell r="T473">
            <v>0</v>
          </cell>
          <cell r="U473">
            <v>0</v>
          </cell>
          <cell r="V473">
            <v>0</v>
          </cell>
          <cell r="W473">
            <v>0</v>
          </cell>
          <cell r="X473">
            <v>0</v>
          </cell>
          <cell r="Y473">
            <v>0</v>
          </cell>
          <cell r="Z473">
            <v>0</v>
          </cell>
          <cell r="AA473">
            <v>0</v>
          </cell>
          <cell r="AC473">
            <v>0</v>
          </cell>
          <cell r="AD473">
            <v>0</v>
          </cell>
        </row>
        <row r="474">
          <cell r="B474">
            <v>15139</v>
          </cell>
          <cell r="C474" t="str">
            <v>BRANCH SALES</v>
          </cell>
          <cell r="D474">
            <v>15213</v>
          </cell>
          <cell r="E474">
            <v>-909</v>
          </cell>
          <cell r="F474">
            <v>541133</v>
          </cell>
          <cell r="G474">
            <v>-162318</v>
          </cell>
          <cell r="H474">
            <v>0</v>
          </cell>
          <cell r="I474">
            <v>0</v>
          </cell>
          <cell r="J474">
            <v>0</v>
          </cell>
          <cell r="K474">
            <v>0</v>
          </cell>
          <cell r="L474">
            <v>0</v>
          </cell>
          <cell r="M474">
            <v>0</v>
          </cell>
          <cell r="N474">
            <v>628</v>
          </cell>
          <cell r="O474">
            <v>0</v>
          </cell>
          <cell r="P474">
            <v>556974</v>
          </cell>
          <cell r="Q474">
            <v>-163227</v>
          </cell>
          <cell r="S474">
            <v>14932</v>
          </cell>
          <cell r="T474">
            <v>378815</v>
          </cell>
          <cell r="U474">
            <v>0</v>
          </cell>
          <cell r="V474">
            <v>0</v>
          </cell>
          <cell r="W474">
            <v>14932</v>
          </cell>
          <cell r="X474">
            <v>378815</v>
          </cell>
          <cell r="Y474">
            <v>14932</v>
          </cell>
          <cell r="Z474">
            <v>378815</v>
          </cell>
          <cell r="AA474">
            <v>393747</v>
          </cell>
          <cell r="AC474">
            <v>15139</v>
          </cell>
          <cell r="AD474">
            <v>0</v>
          </cell>
        </row>
        <row r="475">
          <cell r="S475">
            <v>0</v>
          </cell>
          <cell r="T475">
            <v>0</v>
          </cell>
          <cell r="U475">
            <v>0</v>
          </cell>
          <cell r="V475">
            <v>0</v>
          </cell>
          <cell r="W475">
            <v>0</v>
          </cell>
          <cell r="X475">
            <v>0</v>
          </cell>
          <cell r="Y475">
            <v>0</v>
          </cell>
          <cell r="Z475">
            <v>0</v>
          </cell>
          <cell r="AA475">
            <v>0</v>
          </cell>
          <cell r="AC475">
            <v>0</v>
          </cell>
          <cell r="AD475">
            <v>0</v>
          </cell>
        </row>
        <row r="476">
          <cell r="B476">
            <v>15151</v>
          </cell>
          <cell r="C476" t="str">
            <v>CASH IN HAND</v>
          </cell>
          <cell r="D476">
            <v>17381129</v>
          </cell>
          <cell r="E476">
            <v>-18337212.760000002</v>
          </cell>
          <cell r="F476">
            <v>12286072.699999999</v>
          </cell>
          <cell r="G476">
            <v>-7116617.6399999997</v>
          </cell>
          <cell r="H476">
            <v>0</v>
          </cell>
          <cell r="I476">
            <v>0</v>
          </cell>
          <cell r="J476">
            <v>0</v>
          </cell>
          <cell r="K476">
            <v>0</v>
          </cell>
          <cell r="L476">
            <v>437847.7</v>
          </cell>
          <cell r="M476">
            <v>-4493868</v>
          </cell>
          <cell r="N476">
            <v>0</v>
          </cell>
          <cell r="O476">
            <v>0</v>
          </cell>
          <cell r="P476">
            <v>29667201.699999999</v>
          </cell>
          <cell r="Q476">
            <v>-25453830.399999999</v>
          </cell>
          <cell r="S476">
            <v>-5012104.0600000015</v>
          </cell>
          <cell r="T476">
            <v>5169455.0599999996</v>
          </cell>
          <cell r="U476">
            <v>-3013012</v>
          </cell>
          <cell r="V476">
            <v>3113802</v>
          </cell>
          <cell r="W476">
            <v>-1999092.0600000015</v>
          </cell>
          <cell r="X476">
            <v>2055653.0599999996</v>
          </cell>
          <cell r="Y476">
            <v>-5012104.0600000015</v>
          </cell>
          <cell r="Z476">
            <v>5169455.0599999996</v>
          </cell>
          <cell r="AA476">
            <v>157350.99999999814</v>
          </cell>
          <cell r="AC476">
            <v>15151</v>
          </cell>
          <cell r="AD476">
            <v>0</v>
          </cell>
        </row>
        <row r="477">
          <cell r="S477">
            <v>0</v>
          </cell>
          <cell r="T477">
            <v>0</v>
          </cell>
          <cell r="U477">
            <v>0</v>
          </cell>
          <cell r="V477">
            <v>0</v>
          </cell>
          <cell r="W477">
            <v>0</v>
          </cell>
          <cell r="X477">
            <v>0</v>
          </cell>
          <cell r="Y477">
            <v>0</v>
          </cell>
          <cell r="Z477">
            <v>0</v>
          </cell>
          <cell r="AA477">
            <v>0</v>
          </cell>
          <cell r="AC477">
            <v>0</v>
          </cell>
          <cell r="AD477">
            <v>0</v>
          </cell>
        </row>
        <row r="478">
          <cell r="B478">
            <v>15152</v>
          </cell>
          <cell r="C478" t="str">
            <v>CHEQUES IN HAND</v>
          </cell>
          <cell r="D478">
            <v>1613224</v>
          </cell>
          <cell r="E478">
            <v>-1613224</v>
          </cell>
          <cell r="F478">
            <v>8411136.8499999996</v>
          </cell>
          <cell r="G478">
            <v>-8411136.8499999996</v>
          </cell>
          <cell r="H478">
            <v>97284</v>
          </cell>
          <cell r="I478">
            <v>-97284</v>
          </cell>
          <cell r="J478">
            <v>0</v>
          </cell>
          <cell r="K478">
            <v>0</v>
          </cell>
          <cell r="L478">
            <v>0</v>
          </cell>
          <cell r="M478">
            <v>0</v>
          </cell>
          <cell r="N478">
            <v>0</v>
          </cell>
          <cell r="O478">
            <v>0</v>
          </cell>
          <cell r="P478">
            <v>10121644.85</v>
          </cell>
          <cell r="Q478">
            <v>-10121644.85</v>
          </cell>
          <cell r="S478">
            <v>0</v>
          </cell>
          <cell r="T478">
            <v>0</v>
          </cell>
          <cell r="U478">
            <v>500445</v>
          </cell>
          <cell r="V478">
            <v>5021701.5</v>
          </cell>
          <cell r="W478">
            <v>-500445</v>
          </cell>
          <cell r="X478">
            <v>-5021701.5</v>
          </cell>
          <cell r="Y478">
            <v>0</v>
          </cell>
          <cell r="Z478">
            <v>0</v>
          </cell>
          <cell r="AA478">
            <v>0</v>
          </cell>
          <cell r="AC478">
            <v>15152</v>
          </cell>
          <cell r="AD478">
            <v>0</v>
          </cell>
        </row>
        <row r="479">
          <cell r="S479">
            <v>0</v>
          </cell>
          <cell r="T479">
            <v>0</v>
          </cell>
          <cell r="U479">
            <v>0</v>
          </cell>
          <cell r="V479">
            <v>0</v>
          </cell>
          <cell r="W479">
            <v>0</v>
          </cell>
          <cell r="X479">
            <v>0</v>
          </cell>
          <cell r="Y479">
            <v>0</v>
          </cell>
          <cell r="Z479">
            <v>0</v>
          </cell>
          <cell r="AA479">
            <v>0</v>
          </cell>
          <cell r="AC479">
            <v>0</v>
          </cell>
          <cell r="AD479">
            <v>0</v>
          </cell>
        </row>
        <row r="480">
          <cell r="B480">
            <v>15155</v>
          </cell>
          <cell r="C480" t="str">
            <v>BOI TURHE (CURRENT A/C)</v>
          </cell>
          <cell r="D480">
            <v>0</v>
          </cell>
          <cell r="E480">
            <v>-31267830</v>
          </cell>
          <cell r="F480">
            <v>108717527.31</v>
          </cell>
          <cell r="G480">
            <v>-76964405.799999997</v>
          </cell>
          <cell r="H480">
            <v>0</v>
          </cell>
          <cell r="I480">
            <v>0</v>
          </cell>
          <cell r="J480">
            <v>0</v>
          </cell>
          <cell r="K480">
            <v>0</v>
          </cell>
          <cell r="L480">
            <v>0</v>
          </cell>
          <cell r="M480">
            <v>-49000</v>
          </cell>
          <cell r="N480">
            <v>0</v>
          </cell>
          <cell r="O480">
            <v>0</v>
          </cell>
          <cell r="P480">
            <v>108717527.31</v>
          </cell>
          <cell r="Q480">
            <v>-108232235.8</v>
          </cell>
          <cell r="S480">
            <v>-31316830</v>
          </cell>
          <cell r="T480">
            <v>31753121.510000005</v>
          </cell>
          <cell r="U480">
            <v>0</v>
          </cell>
          <cell r="V480">
            <v>167073.01</v>
          </cell>
          <cell r="W480">
            <v>-31316830</v>
          </cell>
          <cell r="X480">
            <v>31586048.500000004</v>
          </cell>
          <cell r="Y480">
            <v>-31316830</v>
          </cell>
          <cell r="Z480">
            <v>31753121.510000005</v>
          </cell>
          <cell r="AA480">
            <v>436291.51000000536</v>
          </cell>
          <cell r="AC480">
            <v>15155</v>
          </cell>
          <cell r="AD480">
            <v>0</v>
          </cell>
        </row>
        <row r="481">
          <cell r="S481">
            <v>0</v>
          </cell>
          <cell r="T481">
            <v>0</v>
          </cell>
          <cell r="U481">
            <v>0</v>
          </cell>
          <cell r="V481">
            <v>0</v>
          </cell>
          <cell r="W481">
            <v>0</v>
          </cell>
          <cell r="X481">
            <v>0</v>
          </cell>
          <cell r="Y481">
            <v>0</v>
          </cell>
          <cell r="Z481">
            <v>0</v>
          </cell>
          <cell r="AA481">
            <v>0</v>
          </cell>
          <cell r="AC481">
            <v>0</v>
          </cell>
          <cell r="AD481">
            <v>0</v>
          </cell>
        </row>
        <row r="482">
          <cell r="B482">
            <v>15156</v>
          </cell>
          <cell r="C482" t="str">
            <v>HSBC MG ROAD</v>
          </cell>
          <cell r="D482">
            <v>0</v>
          </cell>
          <cell r="E482">
            <v>0</v>
          </cell>
          <cell r="F482">
            <v>0</v>
          </cell>
          <cell r="G482">
            <v>0</v>
          </cell>
          <cell r="H482">
            <v>0</v>
          </cell>
          <cell r="I482">
            <v>0</v>
          </cell>
          <cell r="J482">
            <v>0</v>
          </cell>
          <cell r="K482">
            <v>0</v>
          </cell>
          <cell r="L482">
            <v>78255.539999999994</v>
          </cell>
          <cell r="M482">
            <v>0</v>
          </cell>
          <cell r="N482">
            <v>0</v>
          </cell>
          <cell r="O482">
            <v>0</v>
          </cell>
          <cell r="P482">
            <v>0</v>
          </cell>
          <cell r="Q482">
            <v>0</v>
          </cell>
          <cell r="S482">
            <v>78255.539999999994</v>
          </cell>
          <cell r="T482">
            <v>0</v>
          </cell>
          <cell r="U482">
            <v>78255.539999999994</v>
          </cell>
          <cell r="V482">
            <v>0</v>
          </cell>
          <cell r="W482">
            <v>0</v>
          </cell>
          <cell r="X482">
            <v>0</v>
          </cell>
          <cell r="Y482">
            <v>78255.539999999994</v>
          </cell>
          <cell r="Z482">
            <v>0</v>
          </cell>
          <cell r="AA482">
            <v>78255.539999999994</v>
          </cell>
          <cell r="AC482">
            <v>15156</v>
          </cell>
          <cell r="AD482">
            <v>0</v>
          </cell>
        </row>
        <row r="483">
          <cell r="S483">
            <v>0</v>
          </cell>
          <cell r="T483">
            <v>0</v>
          </cell>
          <cell r="U483">
            <v>0</v>
          </cell>
          <cell r="V483">
            <v>0</v>
          </cell>
          <cell r="W483">
            <v>0</v>
          </cell>
          <cell r="X483">
            <v>0</v>
          </cell>
          <cell r="Y483">
            <v>0</v>
          </cell>
          <cell r="Z483">
            <v>0</v>
          </cell>
          <cell r="AA483">
            <v>0</v>
          </cell>
          <cell r="AC483">
            <v>0</v>
          </cell>
          <cell r="AD483">
            <v>0</v>
          </cell>
        </row>
        <row r="484">
          <cell r="B484">
            <v>15157</v>
          </cell>
          <cell r="C484" t="str">
            <v>CORPORATION BANK</v>
          </cell>
          <cell r="D484">
            <v>0</v>
          </cell>
          <cell r="E484">
            <v>0</v>
          </cell>
          <cell r="F484">
            <v>0</v>
          </cell>
          <cell r="G484">
            <v>0</v>
          </cell>
          <cell r="H484">
            <v>25450000</v>
          </cell>
          <cell r="I484">
            <v>-25450000</v>
          </cell>
          <cell r="J484">
            <v>0</v>
          </cell>
          <cell r="K484">
            <v>0</v>
          </cell>
          <cell r="L484">
            <v>0</v>
          </cell>
          <cell r="M484">
            <v>0</v>
          </cell>
          <cell r="N484">
            <v>0</v>
          </cell>
          <cell r="O484">
            <v>0</v>
          </cell>
          <cell r="P484">
            <v>25450000</v>
          </cell>
          <cell r="Q484">
            <v>-25450000</v>
          </cell>
          <cell r="S484">
            <v>0</v>
          </cell>
          <cell r="T484">
            <v>0</v>
          </cell>
          <cell r="U484">
            <v>0</v>
          </cell>
          <cell r="V484">
            <v>0</v>
          </cell>
          <cell r="W484">
            <v>0</v>
          </cell>
          <cell r="X484">
            <v>0</v>
          </cell>
          <cell r="Y484">
            <v>0</v>
          </cell>
          <cell r="Z484">
            <v>0</v>
          </cell>
          <cell r="AA484">
            <v>0</v>
          </cell>
          <cell r="AC484">
            <v>15157</v>
          </cell>
          <cell r="AD484">
            <v>0</v>
          </cell>
        </row>
        <row r="485">
          <cell r="S485">
            <v>0</v>
          </cell>
          <cell r="T485">
            <v>0</v>
          </cell>
          <cell r="U485">
            <v>0</v>
          </cell>
          <cell r="V485">
            <v>0</v>
          </cell>
          <cell r="W485">
            <v>0</v>
          </cell>
          <cell r="X485">
            <v>0</v>
          </cell>
          <cell r="Y485">
            <v>0</v>
          </cell>
          <cell r="Z485">
            <v>0</v>
          </cell>
          <cell r="AA485">
            <v>0</v>
          </cell>
          <cell r="AC485">
            <v>0</v>
          </cell>
          <cell r="AD485">
            <v>0</v>
          </cell>
        </row>
        <row r="486">
          <cell r="B486">
            <v>15158</v>
          </cell>
          <cell r="C486" t="str">
            <v>ICICI BANK (CURRENT A/C)</v>
          </cell>
          <cell r="D486">
            <v>107727766</v>
          </cell>
          <cell r="E486">
            <v>-106781988.88</v>
          </cell>
          <cell r="F486">
            <v>0</v>
          </cell>
          <cell r="G486">
            <v>-1112424</v>
          </cell>
          <cell r="H486">
            <v>0</v>
          </cell>
          <cell r="I486">
            <v>0</v>
          </cell>
          <cell r="J486">
            <v>0</v>
          </cell>
          <cell r="K486">
            <v>0</v>
          </cell>
          <cell r="L486">
            <v>321889.15999999997</v>
          </cell>
          <cell r="M486">
            <v>-829435</v>
          </cell>
          <cell r="N486">
            <v>0</v>
          </cell>
          <cell r="O486">
            <v>0</v>
          </cell>
          <cell r="P486">
            <v>107727766</v>
          </cell>
          <cell r="Q486">
            <v>-107894412.88</v>
          </cell>
          <cell r="S486">
            <v>438231.28000000468</v>
          </cell>
          <cell r="T486">
            <v>-1112424</v>
          </cell>
          <cell r="U486">
            <v>178613.28</v>
          </cell>
          <cell r="V486">
            <v>-19200</v>
          </cell>
          <cell r="W486">
            <v>259618.00000000469</v>
          </cell>
          <cell r="X486">
            <v>-1093224</v>
          </cell>
          <cell r="Y486">
            <v>438231.28000000468</v>
          </cell>
          <cell r="Z486">
            <v>-1112424</v>
          </cell>
          <cell r="AA486">
            <v>-674192.71999999532</v>
          </cell>
          <cell r="AC486">
            <v>15158</v>
          </cell>
          <cell r="AD486">
            <v>0</v>
          </cell>
        </row>
        <row r="487">
          <cell r="S487">
            <v>0</v>
          </cell>
          <cell r="T487">
            <v>0</v>
          </cell>
          <cell r="U487">
            <v>0</v>
          </cell>
          <cell r="V487">
            <v>0</v>
          </cell>
          <cell r="W487">
            <v>0</v>
          </cell>
          <cell r="X487">
            <v>0</v>
          </cell>
          <cell r="Y487">
            <v>0</v>
          </cell>
          <cell r="Z487">
            <v>0</v>
          </cell>
          <cell r="AA487">
            <v>0</v>
          </cell>
          <cell r="AC487">
            <v>0</v>
          </cell>
          <cell r="AD487">
            <v>0</v>
          </cell>
        </row>
        <row r="488">
          <cell r="B488">
            <v>15159</v>
          </cell>
          <cell r="C488" t="str">
            <v>SBT- BANK</v>
          </cell>
          <cell r="D488">
            <v>19904641</v>
          </cell>
          <cell r="E488">
            <v>-19904641</v>
          </cell>
          <cell r="F488">
            <v>35231135.399999999</v>
          </cell>
          <cell r="G488">
            <v>-33799138</v>
          </cell>
          <cell r="H488">
            <v>0</v>
          </cell>
          <cell r="I488">
            <v>0</v>
          </cell>
          <cell r="J488">
            <v>0</v>
          </cell>
          <cell r="K488">
            <v>0</v>
          </cell>
          <cell r="L488">
            <v>78766</v>
          </cell>
          <cell r="M488">
            <v>-78766</v>
          </cell>
          <cell r="N488">
            <v>0</v>
          </cell>
          <cell r="O488">
            <v>0</v>
          </cell>
          <cell r="P488">
            <v>55135776.399999999</v>
          </cell>
          <cell r="Q488">
            <v>-53703779</v>
          </cell>
          <cell r="S488">
            <v>0</v>
          </cell>
          <cell r="T488">
            <v>1431997.3999999985</v>
          </cell>
          <cell r="U488">
            <v>0</v>
          </cell>
          <cell r="V488">
            <v>39063.4</v>
          </cell>
          <cell r="W488">
            <v>0</v>
          </cell>
          <cell r="X488">
            <v>1392933.9999999986</v>
          </cell>
          <cell r="Y488">
            <v>0</v>
          </cell>
          <cell r="Z488">
            <v>1431997.3999999985</v>
          </cell>
          <cell r="AA488">
            <v>1431997.3999999985</v>
          </cell>
          <cell r="AC488">
            <v>15159</v>
          </cell>
          <cell r="AD488">
            <v>0</v>
          </cell>
        </row>
        <row r="489">
          <cell r="S489">
            <v>0</v>
          </cell>
          <cell r="T489">
            <v>0</v>
          </cell>
          <cell r="U489">
            <v>0</v>
          </cell>
          <cell r="V489">
            <v>0</v>
          </cell>
          <cell r="W489">
            <v>0</v>
          </cell>
          <cell r="X489">
            <v>0</v>
          </cell>
          <cell r="Y489">
            <v>0</v>
          </cell>
          <cell r="Z489">
            <v>0</v>
          </cell>
          <cell r="AA489">
            <v>0</v>
          </cell>
          <cell r="AC489">
            <v>0</v>
          </cell>
          <cell r="AD489">
            <v>0</v>
          </cell>
        </row>
        <row r="490">
          <cell r="B490">
            <v>15160</v>
          </cell>
          <cell r="C490" t="str">
            <v>HDFC (CURRENT A/C)</v>
          </cell>
          <cell r="D490">
            <v>0</v>
          </cell>
          <cell r="E490">
            <v>0</v>
          </cell>
          <cell r="F490">
            <v>8597214.9600000009</v>
          </cell>
          <cell r="G490">
            <v>-8567581.2400000002</v>
          </cell>
          <cell r="H490">
            <v>0</v>
          </cell>
          <cell r="I490">
            <v>0</v>
          </cell>
          <cell r="J490">
            <v>0</v>
          </cell>
          <cell r="K490">
            <v>0</v>
          </cell>
          <cell r="L490">
            <v>0</v>
          </cell>
          <cell r="M490">
            <v>0</v>
          </cell>
          <cell r="N490">
            <v>0</v>
          </cell>
          <cell r="O490">
            <v>0</v>
          </cell>
          <cell r="P490">
            <v>8597214.9600000009</v>
          </cell>
          <cell r="Q490">
            <v>-8567581.2400000002</v>
          </cell>
          <cell r="S490">
            <v>0</v>
          </cell>
          <cell r="T490">
            <v>29633.720000000671</v>
          </cell>
          <cell r="U490">
            <v>0</v>
          </cell>
          <cell r="V490">
            <v>46891.45</v>
          </cell>
          <cell r="W490">
            <v>0</v>
          </cell>
          <cell r="X490">
            <v>-17257.729999999327</v>
          </cell>
          <cell r="Y490">
            <v>0</v>
          </cell>
          <cell r="Z490">
            <v>29633.720000000671</v>
          </cell>
          <cell r="AA490">
            <v>29633.720000000671</v>
          </cell>
          <cell r="AC490">
            <v>15160</v>
          </cell>
          <cell r="AD490">
            <v>0</v>
          </cell>
        </row>
        <row r="491">
          <cell r="S491">
            <v>0</v>
          </cell>
          <cell r="T491">
            <v>0</v>
          </cell>
          <cell r="U491">
            <v>0</v>
          </cell>
          <cell r="V491">
            <v>0</v>
          </cell>
          <cell r="W491">
            <v>0</v>
          </cell>
          <cell r="X491">
            <v>0</v>
          </cell>
          <cell r="Y491">
            <v>0</v>
          </cell>
          <cell r="Z491">
            <v>0</v>
          </cell>
          <cell r="AA491">
            <v>0</v>
          </cell>
          <cell r="AC491">
            <v>0</v>
          </cell>
          <cell r="AD491">
            <v>0</v>
          </cell>
        </row>
        <row r="492">
          <cell r="B492">
            <v>15162</v>
          </cell>
          <cell r="C492" t="str">
            <v>SCB (CURRENT A/C)</v>
          </cell>
          <cell r="D492">
            <v>22868770.129999999</v>
          </cell>
          <cell r="E492">
            <v>-22818158.59</v>
          </cell>
          <cell r="F492">
            <v>0</v>
          </cell>
          <cell r="G492">
            <v>0</v>
          </cell>
          <cell r="H492">
            <v>0</v>
          </cell>
          <cell r="I492">
            <v>0</v>
          </cell>
          <cell r="J492">
            <v>0</v>
          </cell>
          <cell r="K492">
            <v>0</v>
          </cell>
          <cell r="L492">
            <v>0</v>
          </cell>
          <cell r="M492">
            <v>0</v>
          </cell>
          <cell r="N492">
            <v>0</v>
          </cell>
          <cell r="O492">
            <v>0</v>
          </cell>
          <cell r="P492">
            <v>22868770.129999999</v>
          </cell>
          <cell r="Q492">
            <v>-22818158.59</v>
          </cell>
          <cell r="S492">
            <v>50611.539999999106</v>
          </cell>
          <cell r="T492">
            <v>0</v>
          </cell>
          <cell r="U492">
            <v>267611.53999999998</v>
          </cell>
          <cell r="V492">
            <v>0</v>
          </cell>
          <cell r="W492">
            <v>-217000.00000000087</v>
          </cell>
          <cell r="X492">
            <v>0</v>
          </cell>
          <cell r="Y492">
            <v>50611.539999999106</v>
          </cell>
          <cell r="Z492">
            <v>0</v>
          </cell>
          <cell r="AA492">
            <v>50611.539999999106</v>
          </cell>
          <cell r="AC492">
            <v>15162</v>
          </cell>
          <cell r="AD492">
            <v>0</v>
          </cell>
        </row>
        <row r="493">
          <cell r="S493">
            <v>0</v>
          </cell>
          <cell r="T493">
            <v>0</v>
          </cell>
          <cell r="U493">
            <v>0</v>
          </cell>
          <cell r="V493">
            <v>0</v>
          </cell>
          <cell r="W493">
            <v>0</v>
          </cell>
          <cell r="X493">
            <v>0</v>
          </cell>
          <cell r="Y493">
            <v>0</v>
          </cell>
          <cell r="Z493">
            <v>0</v>
          </cell>
          <cell r="AA493">
            <v>0</v>
          </cell>
          <cell r="AC493">
            <v>0</v>
          </cell>
          <cell r="AD493">
            <v>0</v>
          </cell>
        </row>
        <row r="494">
          <cell r="B494">
            <v>15163</v>
          </cell>
          <cell r="C494" t="str">
            <v>RBS BANK</v>
          </cell>
          <cell r="D494">
            <v>25600000</v>
          </cell>
          <cell r="E494">
            <v>-34751875.719999999</v>
          </cell>
          <cell r="F494">
            <v>0</v>
          </cell>
          <cell r="G494">
            <v>0</v>
          </cell>
          <cell r="H494">
            <v>0</v>
          </cell>
          <cell r="I494">
            <v>0</v>
          </cell>
          <cell r="J494">
            <v>0</v>
          </cell>
          <cell r="K494">
            <v>0</v>
          </cell>
          <cell r="L494">
            <v>33700166.100000001</v>
          </cell>
          <cell r="M494">
            <v>-20099744.609999999</v>
          </cell>
          <cell r="N494">
            <v>0</v>
          </cell>
          <cell r="O494">
            <v>0</v>
          </cell>
          <cell r="P494">
            <v>25600000</v>
          </cell>
          <cell r="Q494">
            <v>-34751875.719999999</v>
          </cell>
          <cell r="S494">
            <v>4448545.7700000033</v>
          </cell>
          <cell r="T494">
            <v>0</v>
          </cell>
          <cell r="U494">
            <v>376041.08</v>
          </cell>
          <cell r="V494">
            <v>0</v>
          </cell>
          <cell r="W494">
            <v>4072504.6900000032</v>
          </cell>
          <cell r="X494">
            <v>0</v>
          </cell>
          <cell r="Y494">
            <v>4448545.7700000033</v>
          </cell>
          <cell r="Z494">
            <v>0</v>
          </cell>
          <cell r="AA494">
            <v>4448545.7700000033</v>
          </cell>
          <cell r="AC494">
            <v>15163</v>
          </cell>
          <cell r="AD494">
            <v>0</v>
          </cell>
        </row>
        <row r="495">
          <cell r="S495">
            <v>0</v>
          </cell>
          <cell r="T495">
            <v>0</v>
          </cell>
          <cell r="U495">
            <v>0</v>
          </cell>
          <cell r="V495">
            <v>0</v>
          </cell>
          <cell r="W495">
            <v>0</v>
          </cell>
          <cell r="X495">
            <v>0</v>
          </cell>
          <cell r="Y495">
            <v>0</v>
          </cell>
          <cell r="Z495">
            <v>0</v>
          </cell>
          <cell r="AA495">
            <v>0</v>
          </cell>
          <cell r="AC495">
            <v>0</v>
          </cell>
          <cell r="AD495">
            <v>0</v>
          </cell>
        </row>
        <row r="496">
          <cell r="B496">
            <v>15164</v>
          </cell>
          <cell r="C496" t="str">
            <v>EEFC</v>
          </cell>
          <cell r="D496">
            <v>3724695.5</v>
          </cell>
          <cell r="E496">
            <v>-22301259.09</v>
          </cell>
          <cell r="F496">
            <v>0</v>
          </cell>
          <cell r="G496">
            <v>0</v>
          </cell>
          <cell r="H496">
            <v>0</v>
          </cell>
          <cell r="I496">
            <v>0</v>
          </cell>
          <cell r="J496">
            <v>0</v>
          </cell>
          <cell r="K496">
            <v>0</v>
          </cell>
          <cell r="L496">
            <v>0.1</v>
          </cell>
          <cell r="M496">
            <v>-0.1</v>
          </cell>
          <cell r="N496">
            <v>0</v>
          </cell>
          <cell r="O496">
            <v>0</v>
          </cell>
          <cell r="P496">
            <v>3724695.5</v>
          </cell>
          <cell r="Q496">
            <v>-22301259.09</v>
          </cell>
          <cell r="S496">
            <v>-18576563.59</v>
          </cell>
          <cell r="T496">
            <v>0</v>
          </cell>
          <cell r="U496">
            <v>0</v>
          </cell>
          <cell r="V496">
            <v>0</v>
          </cell>
          <cell r="W496">
            <v>-18576563.59</v>
          </cell>
          <cell r="X496">
            <v>0</v>
          </cell>
          <cell r="Y496">
            <v>-18576563.59</v>
          </cell>
          <cell r="Z496">
            <v>0</v>
          </cell>
          <cell r="AA496">
            <v>-18576563.59</v>
          </cell>
          <cell r="AC496">
            <v>15164</v>
          </cell>
          <cell r="AD496">
            <v>0</v>
          </cell>
        </row>
        <row r="497">
          <cell r="S497">
            <v>0</v>
          </cell>
          <cell r="T497">
            <v>0</v>
          </cell>
          <cell r="U497">
            <v>0</v>
          </cell>
          <cell r="V497">
            <v>0</v>
          </cell>
          <cell r="W497">
            <v>0</v>
          </cell>
          <cell r="X497">
            <v>0</v>
          </cell>
          <cell r="Y497">
            <v>0</v>
          </cell>
          <cell r="Z497">
            <v>0</v>
          </cell>
          <cell r="AA497">
            <v>0</v>
          </cell>
          <cell r="AC497">
            <v>0</v>
          </cell>
          <cell r="AD497">
            <v>0</v>
          </cell>
        </row>
        <row r="498">
          <cell r="B498">
            <v>15165</v>
          </cell>
          <cell r="C498" t="str">
            <v>EEFC-HSBC</v>
          </cell>
          <cell r="D498">
            <v>78959564.290000007</v>
          </cell>
          <cell r="E498">
            <v>-54616277.890000001</v>
          </cell>
          <cell r="F498">
            <v>0</v>
          </cell>
          <cell r="G498">
            <v>0</v>
          </cell>
          <cell r="H498">
            <v>0</v>
          </cell>
          <cell r="I498">
            <v>0</v>
          </cell>
          <cell r="J498">
            <v>0</v>
          </cell>
          <cell r="K498">
            <v>0</v>
          </cell>
          <cell r="L498">
            <v>0</v>
          </cell>
          <cell r="M498">
            <v>0</v>
          </cell>
          <cell r="N498">
            <v>0</v>
          </cell>
          <cell r="O498">
            <v>0</v>
          </cell>
          <cell r="P498">
            <v>78959564.290000007</v>
          </cell>
          <cell r="Q498">
            <v>-54616277.890000001</v>
          </cell>
          <cell r="S498">
            <v>24343286.400000006</v>
          </cell>
          <cell r="T498">
            <v>0</v>
          </cell>
          <cell r="U498">
            <v>0</v>
          </cell>
          <cell r="V498">
            <v>0</v>
          </cell>
          <cell r="W498">
            <v>24343286.400000006</v>
          </cell>
          <cell r="X498">
            <v>0</v>
          </cell>
          <cell r="Y498">
            <v>24343286.400000006</v>
          </cell>
          <cell r="Z498">
            <v>0</v>
          </cell>
          <cell r="AA498">
            <v>24343286.400000006</v>
          </cell>
          <cell r="AC498">
            <v>15165</v>
          </cell>
          <cell r="AD498">
            <v>0</v>
          </cell>
        </row>
        <row r="499">
          <cell r="S499">
            <v>0</v>
          </cell>
          <cell r="T499">
            <v>0</v>
          </cell>
          <cell r="U499">
            <v>0</v>
          </cell>
          <cell r="V499">
            <v>0</v>
          </cell>
          <cell r="W499">
            <v>0</v>
          </cell>
          <cell r="X499">
            <v>0</v>
          </cell>
          <cell r="Y499">
            <v>0</v>
          </cell>
          <cell r="Z499">
            <v>0</v>
          </cell>
          <cell r="AA499">
            <v>0</v>
          </cell>
          <cell r="AC499">
            <v>0</v>
          </cell>
          <cell r="AD499">
            <v>0</v>
          </cell>
        </row>
        <row r="500">
          <cell r="B500">
            <v>15169</v>
          </cell>
          <cell r="C500" t="str">
            <v>FEDRAL REFUND PCD</v>
          </cell>
          <cell r="D500">
            <v>0</v>
          </cell>
          <cell r="E500">
            <v>0</v>
          </cell>
          <cell r="F500">
            <v>0</v>
          </cell>
          <cell r="G500">
            <v>0</v>
          </cell>
          <cell r="H500">
            <v>0</v>
          </cell>
          <cell r="I500">
            <v>0</v>
          </cell>
          <cell r="J500">
            <v>0</v>
          </cell>
          <cell r="K500">
            <v>0</v>
          </cell>
          <cell r="L500">
            <v>1</v>
          </cell>
          <cell r="M500">
            <v>-1.5</v>
          </cell>
          <cell r="N500">
            <v>0</v>
          </cell>
          <cell r="O500">
            <v>0</v>
          </cell>
          <cell r="P500">
            <v>0</v>
          </cell>
          <cell r="Q500">
            <v>0</v>
          </cell>
          <cell r="S500">
            <v>-0.5</v>
          </cell>
          <cell r="T500">
            <v>0</v>
          </cell>
          <cell r="U500">
            <v>-0.5</v>
          </cell>
          <cell r="V500">
            <v>0</v>
          </cell>
          <cell r="W500">
            <v>0</v>
          </cell>
          <cell r="X500">
            <v>0</v>
          </cell>
          <cell r="Y500">
            <v>-0.5</v>
          </cell>
          <cell r="Z500">
            <v>0</v>
          </cell>
          <cell r="AA500">
            <v>-0.5</v>
          </cell>
          <cell r="AC500">
            <v>15169</v>
          </cell>
          <cell r="AD500">
            <v>0</v>
          </cell>
        </row>
        <row r="501">
          <cell r="S501">
            <v>0</v>
          </cell>
          <cell r="T501">
            <v>0</v>
          </cell>
          <cell r="U501">
            <v>0</v>
          </cell>
          <cell r="V501">
            <v>0</v>
          </cell>
          <cell r="W501">
            <v>0</v>
          </cell>
          <cell r="X501">
            <v>0</v>
          </cell>
          <cell r="Y501">
            <v>0</v>
          </cell>
          <cell r="Z501">
            <v>0</v>
          </cell>
          <cell r="AA501">
            <v>0</v>
          </cell>
          <cell r="AC501">
            <v>0</v>
          </cell>
          <cell r="AD501">
            <v>0</v>
          </cell>
        </row>
        <row r="502">
          <cell r="B502">
            <v>15170</v>
          </cell>
          <cell r="C502" t="str">
            <v>TRUSTEE GROUP GRATUITY (BOI)</v>
          </cell>
          <cell r="D502">
            <v>2435031</v>
          </cell>
          <cell r="E502">
            <v>-2830280</v>
          </cell>
          <cell r="F502">
            <v>0</v>
          </cell>
          <cell r="G502">
            <v>0</v>
          </cell>
          <cell r="H502">
            <v>0</v>
          </cell>
          <cell r="I502">
            <v>0</v>
          </cell>
          <cell r="J502">
            <v>0</v>
          </cell>
          <cell r="K502">
            <v>0</v>
          </cell>
          <cell r="L502">
            <v>827473.6</v>
          </cell>
          <cell r="M502">
            <v>-412000</v>
          </cell>
          <cell r="N502">
            <v>0</v>
          </cell>
          <cell r="O502">
            <v>0</v>
          </cell>
          <cell r="P502">
            <v>2435031</v>
          </cell>
          <cell r="Q502">
            <v>-2830280</v>
          </cell>
          <cell r="S502">
            <v>20224.599999999977</v>
          </cell>
          <cell r="T502">
            <v>0</v>
          </cell>
          <cell r="U502">
            <v>15193.6</v>
          </cell>
          <cell r="V502">
            <v>0</v>
          </cell>
          <cell r="W502">
            <v>5030.9999999999764</v>
          </cell>
          <cell r="X502">
            <v>0</v>
          </cell>
          <cell r="Y502">
            <v>20224.599999999977</v>
          </cell>
          <cell r="Z502">
            <v>0</v>
          </cell>
          <cell r="AA502">
            <v>20224.599999999977</v>
          </cell>
          <cell r="AC502">
            <v>15170</v>
          </cell>
          <cell r="AD502">
            <v>0</v>
          </cell>
        </row>
        <row r="503">
          <cell r="S503">
            <v>0</v>
          </cell>
          <cell r="T503">
            <v>0</v>
          </cell>
          <cell r="U503">
            <v>0</v>
          </cell>
          <cell r="V503">
            <v>0</v>
          </cell>
          <cell r="W503">
            <v>0</v>
          </cell>
          <cell r="X503">
            <v>0</v>
          </cell>
          <cell r="Y503">
            <v>0</v>
          </cell>
          <cell r="Z503">
            <v>0</v>
          </cell>
          <cell r="AA503">
            <v>0</v>
          </cell>
          <cell r="AC503">
            <v>0</v>
          </cell>
          <cell r="AD503">
            <v>0</v>
          </cell>
        </row>
        <row r="504">
          <cell r="B504">
            <v>15171</v>
          </cell>
          <cell r="C504" t="str">
            <v>SUPERANNUATION (BOI)</v>
          </cell>
          <cell r="D504">
            <v>280</v>
          </cell>
          <cell r="E504">
            <v>-280</v>
          </cell>
          <cell r="F504">
            <v>0</v>
          </cell>
          <cell r="G504">
            <v>0</v>
          </cell>
          <cell r="H504">
            <v>0</v>
          </cell>
          <cell r="I504">
            <v>0</v>
          </cell>
          <cell r="J504">
            <v>0</v>
          </cell>
          <cell r="K504">
            <v>0</v>
          </cell>
          <cell r="L504">
            <v>7045</v>
          </cell>
          <cell r="M504">
            <v>-215</v>
          </cell>
          <cell r="N504">
            <v>0</v>
          </cell>
          <cell r="O504">
            <v>0</v>
          </cell>
          <cell r="P504">
            <v>280</v>
          </cell>
          <cell r="Q504">
            <v>-280</v>
          </cell>
          <cell r="S504">
            <v>6830</v>
          </cell>
          <cell r="T504">
            <v>0</v>
          </cell>
          <cell r="U504">
            <v>6830</v>
          </cell>
          <cell r="V504">
            <v>0</v>
          </cell>
          <cell r="W504">
            <v>0</v>
          </cell>
          <cell r="X504">
            <v>0</v>
          </cell>
          <cell r="Y504">
            <v>6830</v>
          </cell>
          <cell r="Z504">
            <v>0</v>
          </cell>
          <cell r="AA504">
            <v>6830</v>
          </cell>
          <cell r="AC504">
            <v>15171</v>
          </cell>
          <cell r="AD504">
            <v>0</v>
          </cell>
        </row>
        <row r="505">
          <cell r="S505">
            <v>0</v>
          </cell>
          <cell r="T505">
            <v>0</v>
          </cell>
          <cell r="U505">
            <v>0</v>
          </cell>
          <cell r="V505">
            <v>0</v>
          </cell>
          <cell r="W505">
            <v>0</v>
          </cell>
          <cell r="X505">
            <v>0</v>
          </cell>
          <cell r="Y505">
            <v>0</v>
          </cell>
          <cell r="Z505">
            <v>0</v>
          </cell>
          <cell r="AA505">
            <v>0</v>
          </cell>
          <cell r="AC505">
            <v>0</v>
          </cell>
          <cell r="AD505">
            <v>0</v>
          </cell>
        </row>
        <row r="506">
          <cell r="B506">
            <v>15174</v>
          </cell>
          <cell r="C506" t="str">
            <v>DEBENTURE REDEMPTION 98-99 (BOI)</v>
          </cell>
          <cell r="D506">
            <v>0</v>
          </cell>
          <cell r="E506">
            <v>0</v>
          </cell>
          <cell r="F506">
            <v>0</v>
          </cell>
          <cell r="G506">
            <v>0</v>
          </cell>
          <cell r="H506">
            <v>0</v>
          </cell>
          <cell r="I506">
            <v>0</v>
          </cell>
          <cell r="J506">
            <v>0</v>
          </cell>
          <cell r="K506">
            <v>0</v>
          </cell>
          <cell r="L506">
            <v>26002</v>
          </cell>
          <cell r="M506">
            <v>0</v>
          </cell>
          <cell r="N506">
            <v>0</v>
          </cell>
          <cell r="O506">
            <v>0</v>
          </cell>
          <cell r="P506">
            <v>0</v>
          </cell>
          <cell r="Q506">
            <v>0</v>
          </cell>
          <cell r="S506">
            <v>26002</v>
          </cell>
          <cell r="T506">
            <v>0</v>
          </cell>
          <cell r="U506">
            <v>26002</v>
          </cell>
          <cell r="V506">
            <v>0</v>
          </cell>
          <cell r="W506">
            <v>0</v>
          </cell>
          <cell r="X506">
            <v>0</v>
          </cell>
          <cell r="Y506">
            <v>26002</v>
          </cell>
          <cell r="Z506">
            <v>0</v>
          </cell>
          <cell r="AA506">
            <v>26002</v>
          </cell>
          <cell r="AC506">
            <v>15174</v>
          </cell>
          <cell r="AD506">
            <v>0</v>
          </cell>
        </row>
        <row r="507">
          <cell r="S507">
            <v>0</v>
          </cell>
          <cell r="T507">
            <v>0</v>
          </cell>
          <cell r="U507">
            <v>0</v>
          </cell>
          <cell r="V507">
            <v>0</v>
          </cell>
          <cell r="W507">
            <v>0</v>
          </cell>
          <cell r="X507">
            <v>0</v>
          </cell>
          <cell r="Y507">
            <v>0</v>
          </cell>
          <cell r="Z507">
            <v>0</v>
          </cell>
          <cell r="AA507">
            <v>0</v>
          </cell>
          <cell r="AC507">
            <v>0</v>
          </cell>
          <cell r="AD507">
            <v>0</v>
          </cell>
        </row>
        <row r="508">
          <cell r="B508">
            <v>15175</v>
          </cell>
          <cell r="C508" t="str">
            <v>DIVIDEND (BANK/ ASSET A/C)</v>
          </cell>
          <cell r="D508">
            <v>0</v>
          </cell>
          <cell r="E508">
            <v>-82942.600000000006</v>
          </cell>
          <cell r="F508">
            <v>0</v>
          </cell>
          <cell r="G508">
            <v>0</v>
          </cell>
          <cell r="H508">
            <v>0</v>
          </cell>
          <cell r="I508">
            <v>0</v>
          </cell>
          <cell r="J508">
            <v>0</v>
          </cell>
          <cell r="K508">
            <v>0</v>
          </cell>
          <cell r="L508">
            <v>67527911.640000001</v>
          </cell>
          <cell r="M508">
            <v>-19252859.640000001</v>
          </cell>
          <cell r="N508">
            <v>0</v>
          </cell>
          <cell r="O508">
            <v>0</v>
          </cell>
          <cell r="P508">
            <v>0</v>
          </cell>
          <cell r="Q508">
            <v>-82942.600000000006</v>
          </cell>
          <cell r="S508">
            <v>48192109.400000006</v>
          </cell>
          <cell r="T508">
            <v>0</v>
          </cell>
          <cell r="U508">
            <v>1019010</v>
          </cell>
          <cell r="V508">
            <v>0</v>
          </cell>
          <cell r="W508">
            <v>47173099.400000006</v>
          </cell>
          <cell r="X508">
            <v>0</v>
          </cell>
          <cell r="Y508">
            <v>48192109.400000006</v>
          </cell>
          <cell r="Z508">
            <v>0</v>
          </cell>
          <cell r="AA508">
            <v>48192109.400000006</v>
          </cell>
          <cell r="AC508">
            <v>15175</v>
          </cell>
          <cell r="AD508">
            <v>0</v>
          </cell>
        </row>
        <row r="509">
          <cell r="S509">
            <v>0</v>
          </cell>
          <cell r="T509">
            <v>0</v>
          </cell>
          <cell r="U509">
            <v>0</v>
          </cell>
          <cell r="V509">
            <v>0</v>
          </cell>
          <cell r="W509">
            <v>0</v>
          </cell>
          <cell r="X509">
            <v>0</v>
          </cell>
          <cell r="Y509">
            <v>0</v>
          </cell>
          <cell r="Z509">
            <v>0</v>
          </cell>
          <cell r="AA509">
            <v>0</v>
          </cell>
          <cell r="AC509">
            <v>0</v>
          </cell>
          <cell r="AD509">
            <v>0</v>
          </cell>
        </row>
        <row r="510">
          <cell r="B510">
            <v>15180</v>
          </cell>
          <cell r="C510" t="str">
            <v>FIXED DEPOSITS</v>
          </cell>
          <cell r="D510">
            <v>52911.87</v>
          </cell>
          <cell r="E510">
            <v>-2500000</v>
          </cell>
          <cell r="F510">
            <v>0</v>
          </cell>
          <cell r="G510">
            <v>0</v>
          </cell>
          <cell r="H510">
            <v>0</v>
          </cell>
          <cell r="I510">
            <v>0</v>
          </cell>
          <cell r="J510">
            <v>0</v>
          </cell>
          <cell r="K510">
            <v>0</v>
          </cell>
          <cell r="L510">
            <v>3183574.8</v>
          </cell>
          <cell r="M510">
            <v>-53904.36</v>
          </cell>
          <cell r="N510">
            <v>0</v>
          </cell>
          <cell r="O510">
            <v>0</v>
          </cell>
          <cell r="P510">
            <v>52911.87</v>
          </cell>
          <cell r="Q510">
            <v>-2500000</v>
          </cell>
          <cell r="S510">
            <v>682582.30999999994</v>
          </cell>
          <cell r="T510">
            <v>0</v>
          </cell>
          <cell r="U510">
            <v>682582.31</v>
          </cell>
          <cell r="V510">
            <v>0</v>
          </cell>
          <cell r="W510">
            <v>0</v>
          </cell>
          <cell r="X510">
            <v>0</v>
          </cell>
          <cell r="Y510">
            <v>682582.31</v>
          </cell>
          <cell r="Z510">
            <v>0</v>
          </cell>
          <cell r="AA510">
            <v>682582.31</v>
          </cell>
          <cell r="AC510">
            <v>15180</v>
          </cell>
          <cell r="AD510">
            <v>0</v>
          </cell>
        </row>
        <row r="511">
          <cell r="S511">
            <v>0</v>
          </cell>
          <cell r="T511">
            <v>0</v>
          </cell>
          <cell r="U511">
            <v>0</v>
          </cell>
          <cell r="V511">
            <v>0</v>
          </cell>
          <cell r="W511">
            <v>0</v>
          </cell>
          <cell r="X511">
            <v>0</v>
          </cell>
          <cell r="Y511">
            <v>0</v>
          </cell>
          <cell r="Z511">
            <v>0</v>
          </cell>
          <cell r="AA511">
            <v>0</v>
          </cell>
          <cell r="AC511">
            <v>0</v>
          </cell>
          <cell r="AD511">
            <v>0</v>
          </cell>
        </row>
        <row r="512">
          <cell r="B512">
            <v>15182</v>
          </cell>
          <cell r="C512" t="str">
            <v>MUNICIPAL CO-OP BANK</v>
          </cell>
          <cell r="D512">
            <v>100000</v>
          </cell>
          <cell r="E512">
            <v>0</v>
          </cell>
          <cell r="F512">
            <v>6129844</v>
          </cell>
          <cell r="G512">
            <v>-2395654</v>
          </cell>
          <cell r="H512">
            <v>0</v>
          </cell>
          <cell r="I512">
            <v>0</v>
          </cell>
          <cell r="J512">
            <v>0</v>
          </cell>
          <cell r="K512">
            <v>0</v>
          </cell>
          <cell r="L512">
            <v>0</v>
          </cell>
          <cell r="M512">
            <v>0</v>
          </cell>
          <cell r="N512">
            <v>0</v>
          </cell>
          <cell r="O512">
            <v>0</v>
          </cell>
          <cell r="P512">
            <v>6229844</v>
          </cell>
          <cell r="Q512">
            <v>-2395654</v>
          </cell>
          <cell r="S512">
            <v>100000</v>
          </cell>
          <cell r="T512">
            <v>3734190</v>
          </cell>
          <cell r="U512">
            <v>100000</v>
          </cell>
          <cell r="V512">
            <v>-47902</v>
          </cell>
          <cell r="W512">
            <v>0</v>
          </cell>
          <cell r="X512">
            <v>3782092</v>
          </cell>
          <cell r="Y512">
            <v>100000</v>
          </cell>
          <cell r="Z512">
            <v>3734190</v>
          </cell>
          <cell r="AA512">
            <v>3834190</v>
          </cell>
          <cell r="AC512">
            <v>15182</v>
          </cell>
          <cell r="AD512">
            <v>0</v>
          </cell>
        </row>
        <row r="513">
          <cell r="S513">
            <v>0</v>
          </cell>
          <cell r="T513">
            <v>0</v>
          </cell>
          <cell r="U513">
            <v>0</v>
          </cell>
          <cell r="V513">
            <v>0</v>
          </cell>
          <cell r="W513">
            <v>0</v>
          </cell>
          <cell r="X513">
            <v>0</v>
          </cell>
          <cell r="Y513">
            <v>0</v>
          </cell>
          <cell r="Z513">
            <v>0</v>
          </cell>
          <cell r="AA513">
            <v>0</v>
          </cell>
          <cell r="AC513">
            <v>0</v>
          </cell>
          <cell r="AD513">
            <v>0</v>
          </cell>
        </row>
        <row r="514">
          <cell r="B514">
            <v>15183</v>
          </cell>
          <cell r="C514" t="str">
            <v>FIXED DEPOSITS (CO-OP BANK)</v>
          </cell>
          <cell r="D514">
            <v>0</v>
          </cell>
          <cell r="E514">
            <v>0</v>
          </cell>
          <cell r="F514">
            <v>10000</v>
          </cell>
          <cell r="G514">
            <v>0</v>
          </cell>
          <cell r="H514">
            <v>0</v>
          </cell>
          <cell r="I514">
            <v>0</v>
          </cell>
          <cell r="J514">
            <v>0</v>
          </cell>
          <cell r="K514">
            <v>0</v>
          </cell>
          <cell r="L514">
            <v>0</v>
          </cell>
          <cell r="M514">
            <v>0</v>
          </cell>
          <cell r="N514">
            <v>0</v>
          </cell>
          <cell r="O514">
            <v>0</v>
          </cell>
          <cell r="P514">
            <v>10000</v>
          </cell>
          <cell r="Q514">
            <v>0</v>
          </cell>
          <cell r="S514">
            <v>0</v>
          </cell>
          <cell r="T514">
            <v>10000</v>
          </cell>
          <cell r="U514">
            <v>0</v>
          </cell>
          <cell r="V514">
            <v>10000</v>
          </cell>
          <cell r="W514">
            <v>0</v>
          </cell>
          <cell r="X514">
            <v>0</v>
          </cell>
          <cell r="Y514">
            <v>0</v>
          </cell>
          <cell r="Z514">
            <v>10000</v>
          </cell>
          <cell r="AA514">
            <v>10000</v>
          </cell>
          <cell r="AC514">
            <v>15183</v>
          </cell>
          <cell r="AD514">
            <v>0</v>
          </cell>
        </row>
        <row r="515">
          <cell r="S515">
            <v>0</v>
          </cell>
          <cell r="T515">
            <v>0</v>
          </cell>
          <cell r="U515">
            <v>0</v>
          </cell>
          <cell r="V515">
            <v>0</v>
          </cell>
          <cell r="W515">
            <v>0</v>
          </cell>
          <cell r="X515">
            <v>0</v>
          </cell>
          <cell r="Y515">
            <v>0</v>
          </cell>
          <cell r="Z515">
            <v>0</v>
          </cell>
          <cell r="AA515">
            <v>0</v>
          </cell>
          <cell r="AC515">
            <v>0</v>
          </cell>
          <cell r="AD515">
            <v>0</v>
          </cell>
        </row>
        <row r="516">
          <cell r="B516">
            <v>15184</v>
          </cell>
          <cell r="C516" t="str">
            <v>MARGIN MONEY ACCOUNT</v>
          </cell>
          <cell r="D516">
            <v>900000</v>
          </cell>
          <cell r="E516">
            <v>-396612.46</v>
          </cell>
          <cell r="F516">
            <v>0</v>
          </cell>
          <cell r="G516">
            <v>0</v>
          </cell>
          <cell r="H516">
            <v>0</v>
          </cell>
          <cell r="I516">
            <v>0</v>
          </cell>
          <cell r="J516">
            <v>0</v>
          </cell>
          <cell r="K516">
            <v>0</v>
          </cell>
          <cell r="L516">
            <v>900000</v>
          </cell>
          <cell r="M516">
            <v>-1403387.54</v>
          </cell>
          <cell r="N516">
            <v>0</v>
          </cell>
          <cell r="O516">
            <v>0</v>
          </cell>
          <cell r="P516">
            <v>900000</v>
          </cell>
          <cell r="Q516">
            <v>-396612.46</v>
          </cell>
          <cell r="S516">
            <v>0</v>
          </cell>
          <cell r="T516">
            <v>0</v>
          </cell>
          <cell r="U516">
            <v>0</v>
          </cell>
          <cell r="V516">
            <v>0</v>
          </cell>
          <cell r="W516">
            <v>0</v>
          </cell>
          <cell r="X516">
            <v>0</v>
          </cell>
          <cell r="Y516">
            <v>0</v>
          </cell>
          <cell r="Z516">
            <v>0</v>
          </cell>
          <cell r="AA516">
            <v>0</v>
          </cell>
          <cell r="AC516">
            <v>15184</v>
          </cell>
          <cell r="AD516">
            <v>0</v>
          </cell>
        </row>
        <row r="517">
          <cell r="S517">
            <v>0</v>
          </cell>
          <cell r="T517">
            <v>0</v>
          </cell>
          <cell r="U517">
            <v>0</v>
          </cell>
          <cell r="V517">
            <v>0</v>
          </cell>
          <cell r="W517">
            <v>0</v>
          </cell>
          <cell r="X517">
            <v>0</v>
          </cell>
          <cell r="Y517">
            <v>0</v>
          </cell>
          <cell r="Z517">
            <v>0</v>
          </cell>
          <cell r="AA517">
            <v>0</v>
          </cell>
          <cell r="AC517">
            <v>0</v>
          </cell>
          <cell r="AD517">
            <v>0</v>
          </cell>
        </row>
        <row r="518">
          <cell r="B518">
            <v>15185</v>
          </cell>
          <cell r="C518" t="str">
            <v>UCO BANK (A/C NO 19790210005347)</v>
          </cell>
          <cell r="D518">
            <v>102139016.42</v>
          </cell>
          <cell r="E518">
            <v>-102000546.7</v>
          </cell>
          <cell r="F518">
            <v>24933807</v>
          </cell>
          <cell r="G518">
            <v>-24933807</v>
          </cell>
          <cell r="H518">
            <v>0</v>
          </cell>
          <cell r="I518">
            <v>0</v>
          </cell>
          <cell r="J518">
            <v>0</v>
          </cell>
          <cell r="K518">
            <v>0</v>
          </cell>
          <cell r="L518">
            <v>10000</v>
          </cell>
          <cell r="M518">
            <v>0</v>
          </cell>
          <cell r="N518">
            <v>0</v>
          </cell>
          <cell r="O518">
            <v>0</v>
          </cell>
          <cell r="P518">
            <v>127072823.42</v>
          </cell>
          <cell r="Q518">
            <v>-126934353.7</v>
          </cell>
          <cell r="S518">
            <v>148469.71999999881</v>
          </cell>
          <cell r="T518">
            <v>0</v>
          </cell>
          <cell r="U518">
            <v>3274440.68</v>
          </cell>
          <cell r="V518">
            <v>0</v>
          </cell>
          <cell r="W518">
            <v>-3125970.9600000014</v>
          </cell>
          <cell r="X518">
            <v>0</v>
          </cell>
          <cell r="Y518">
            <v>148469.71999999881</v>
          </cell>
          <cell r="Z518">
            <v>0</v>
          </cell>
          <cell r="AA518">
            <v>148469.71999999881</v>
          </cell>
          <cell r="AC518">
            <v>15185</v>
          </cell>
          <cell r="AD518">
            <v>0</v>
          </cell>
        </row>
        <row r="519">
          <cell r="S519">
            <v>0</v>
          </cell>
          <cell r="T519">
            <v>0</v>
          </cell>
          <cell r="U519">
            <v>0</v>
          </cell>
          <cell r="V519">
            <v>0</v>
          </cell>
          <cell r="W519">
            <v>0</v>
          </cell>
          <cell r="X519">
            <v>0</v>
          </cell>
          <cell r="Y519">
            <v>0</v>
          </cell>
          <cell r="Z519">
            <v>0</v>
          </cell>
          <cell r="AA519">
            <v>0</v>
          </cell>
          <cell r="AC519">
            <v>0</v>
          </cell>
          <cell r="AD519">
            <v>0</v>
          </cell>
        </row>
        <row r="520">
          <cell r="E520" t="str">
            <v>SDCT</v>
          </cell>
          <cell r="F520" t="str">
            <v>PCDT</v>
          </cell>
          <cell r="G520" t="str">
            <v>PCDC</v>
          </cell>
          <cell r="I520" t="str">
            <v>PCDN</v>
          </cell>
          <cell r="K520" t="str">
            <v>CORP</v>
          </cell>
          <cell r="M520" t="str">
            <v>OTHER</v>
          </cell>
          <cell r="O520" t="str">
            <v>TOTAL</v>
          </cell>
          <cell r="U520">
            <v>0</v>
          </cell>
          <cell r="V520">
            <v>0</v>
          </cell>
          <cell r="W520">
            <v>0</v>
          </cell>
          <cell r="X520">
            <v>0</v>
          </cell>
          <cell r="Y520">
            <v>0</v>
          </cell>
          <cell r="Z520">
            <v>0</v>
          </cell>
          <cell r="AA520">
            <v>0</v>
          </cell>
          <cell r="AC520">
            <v>0</v>
          </cell>
          <cell r="AD520">
            <v>0</v>
          </cell>
        </row>
        <row r="521">
          <cell r="B521" t="str">
            <v>GL CODE</v>
          </cell>
          <cell r="C521" t="str">
            <v>ACCOUNT HEAD</v>
          </cell>
          <cell r="S521">
            <v>0</v>
          </cell>
          <cell r="T521">
            <v>0</v>
          </cell>
          <cell r="U521" t="str">
            <v>SDCT</v>
          </cell>
          <cell r="V521" t="str">
            <v>PCDT</v>
          </cell>
          <cell r="AA521">
            <v>0</v>
          </cell>
          <cell r="AC521">
            <v>0</v>
          </cell>
          <cell r="AD521" t="e">
            <v>#VALUE!</v>
          </cell>
        </row>
        <row r="522">
          <cell r="S522">
            <v>0</v>
          </cell>
          <cell r="T522">
            <v>0</v>
          </cell>
          <cell r="U522">
            <v>0</v>
          </cell>
          <cell r="V522">
            <v>0</v>
          </cell>
          <cell r="W522">
            <v>0</v>
          </cell>
          <cell r="X522">
            <v>0</v>
          </cell>
          <cell r="Y522">
            <v>0</v>
          </cell>
          <cell r="Z522">
            <v>0</v>
          </cell>
          <cell r="AA522">
            <v>0</v>
          </cell>
          <cell r="AC522">
            <v>0</v>
          </cell>
          <cell r="AD522">
            <v>0</v>
          </cell>
        </row>
        <row r="523">
          <cell r="D523" t="str">
            <v>DR.</v>
          </cell>
          <cell r="E523" t="str">
            <v>CR.</v>
          </cell>
          <cell r="F523" t="str">
            <v>DR.</v>
          </cell>
          <cell r="G523" t="str">
            <v>CR.</v>
          </cell>
          <cell r="H523" t="str">
            <v>DR.</v>
          </cell>
          <cell r="I523" t="str">
            <v>CR.</v>
          </cell>
          <cell r="J523" t="str">
            <v>DR.</v>
          </cell>
          <cell r="K523" t="str">
            <v>CR.</v>
          </cell>
          <cell r="L523" t="str">
            <v>DR.</v>
          </cell>
          <cell r="M523" t="str">
            <v>CR.</v>
          </cell>
          <cell r="N523" t="str">
            <v>DR.</v>
          </cell>
          <cell r="O523" t="str">
            <v>CR.</v>
          </cell>
          <cell r="P523" t="str">
            <v>DR.</v>
          </cell>
          <cell r="Q523" t="str">
            <v>CR.</v>
          </cell>
          <cell r="U523">
            <v>0</v>
          </cell>
          <cell r="V523">
            <v>0</v>
          </cell>
          <cell r="W523">
            <v>0</v>
          </cell>
          <cell r="X523">
            <v>0</v>
          </cell>
          <cell r="Y523">
            <v>0</v>
          </cell>
          <cell r="Z523">
            <v>0</v>
          </cell>
          <cell r="AA523">
            <v>0</v>
          </cell>
          <cell r="AC523">
            <v>0</v>
          </cell>
          <cell r="AD523">
            <v>0</v>
          </cell>
        </row>
        <row r="524">
          <cell r="S524">
            <v>0</v>
          </cell>
          <cell r="T524">
            <v>0</v>
          </cell>
          <cell r="U524">
            <v>0</v>
          </cell>
          <cell r="V524">
            <v>0</v>
          </cell>
          <cell r="W524">
            <v>0</v>
          </cell>
          <cell r="X524">
            <v>0</v>
          </cell>
          <cell r="Y524">
            <v>0</v>
          </cell>
          <cell r="Z524">
            <v>0</v>
          </cell>
          <cell r="AA524">
            <v>0</v>
          </cell>
          <cell r="AC524">
            <v>0</v>
          </cell>
          <cell r="AD524">
            <v>0</v>
          </cell>
        </row>
        <row r="525">
          <cell r="S525">
            <v>0</v>
          </cell>
          <cell r="T525">
            <v>0</v>
          </cell>
          <cell r="U525">
            <v>0</v>
          </cell>
          <cell r="V525">
            <v>0</v>
          </cell>
          <cell r="W525">
            <v>0</v>
          </cell>
          <cell r="X525">
            <v>0</v>
          </cell>
          <cell r="Y525">
            <v>0</v>
          </cell>
          <cell r="Z525">
            <v>0</v>
          </cell>
          <cell r="AA525">
            <v>0</v>
          </cell>
          <cell r="AC525">
            <v>0</v>
          </cell>
          <cell r="AD525">
            <v>0</v>
          </cell>
        </row>
        <row r="526">
          <cell r="B526">
            <v>15186</v>
          </cell>
          <cell r="C526" t="str">
            <v>ICICI BANK-VASHI</v>
          </cell>
          <cell r="D526">
            <v>22955917</v>
          </cell>
          <cell r="E526">
            <v>-18237459.120000001</v>
          </cell>
          <cell r="F526">
            <v>0</v>
          </cell>
          <cell r="G526">
            <v>-2980364.87</v>
          </cell>
          <cell r="H526">
            <v>0</v>
          </cell>
          <cell r="I526">
            <v>0</v>
          </cell>
          <cell r="J526">
            <v>0</v>
          </cell>
          <cell r="K526">
            <v>0</v>
          </cell>
          <cell r="L526">
            <v>0</v>
          </cell>
          <cell r="M526">
            <v>-55105</v>
          </cell>
          <cell r="N526">
            <v>0</v>
          </cell>
          <cell r="O526">
            <v>0</v>
          </cell>
          <cell r="P526">
            <v>22955917</v>
          </cell>
          <cell r="Q526">
            <v>-21217823.989999998</v>
          </cell>
          <cell r="S526">
            <v>4663352.879999999</v>
          </cell>
          <cell r="T526">
            <v>-2980364.87</v>
          </cell>
          <cell r="U526">
            <v>247819.27</v>
          </cell>
          <cell r="V526">
            <v>0</v>
          </cell>
          <cell r="W526">
            <v>4415533.6099999994</v>
          </cell>
          <cell r="X526">
            <v>-2980364.87</v>
          </cell>
          <cell r="Y526">
            <v>4663352.879999999</v>
          </cell>
          <cell r="Z526">
            <v>-2980364.87</v>
          </cell>
          <cell r="AA526">
            <v>1682988.0099999988</v>
          </cell>
          <cell r="AC526">
            <v>15186</v>
          </cell>
          <cell r="AD526">
            <v>0</v>
          </cell>
        </row>
        <row r="527">
          <cell r="S527">
            <v>0</v>
          </cell>
          <cell r="T527">
            <v>0</v>
          </cell>
          <cell r="U527">
            <v>0</v>
          </cell>
          <cell r="V527">
            <v>0</v>
          </cell>
          <cell r="W527">
            <v>0</v>
          </cell>
          <cell r="X527">
            <v>0</v>
          </cell>
          <cell r="Y527">
            <v>0</v>
          </cell>
          <cell r="Z527">
            <v>0</v>
          </cell>
          <cell r="AA527">
            <v>0</v>
          </cell>
          <cell r="AC527">
            <v>0</v>
          </cell>
          <cell r="AD527">
            <v>0</v>
          </cell>
        </row>
        <row r="528">
          <cell r="B528">
            <v>15197</v>
          </cell>
          <cell r="C528" t="str">
            <v>DEPOSITS PAID</v>
          </cell>
          <cell r="D528">
            <v>1596790.45</v>
          </cell>
          <cell r="E528">
            <v>-424676</v>
          </cell>
          <cell r="F528">
            <v>19929754</v>
          </cell>
          <cell r="G528">
            <v>-3631738</v>
          </cell>
          <cell r="H528">
            <v>400000</v>
          </cell>
          <cell r="I528">
            <v>-400000</v>
          </cell>
          <cell r="J528">
            <v>0</v>
          </cell>
          <cell r="K528">
            <v>0</v>
          </cell>
          <cell r="L528">
            <v>4020</v>
          </cell>
          <cell r="M528">
            <v>0</v>
          </cell>
          <cell r="N528">
            <v>0</v>
          </cell>
          <cell r="O528">
            <v>0</v>
          </cell>
          <cell r="P528">
            <v>21926544.449999999</v>
          </cell>
          <cell r="Q528">
            <v>-4456414</v>
          </cell>
          <cell r="S528">
            <v>1176134.45</v>
          </cell>
          <cell r="T528">
            <v>16298016</v>
          </cell>
          <cell r="U528">
            <v>1088664.45</v>
          </cell>
          <cell r="V528">
            <v>13782749</v>
          </cell>
          <cell r="W528">
            <v>87470</v>
          </cell>
          <cell r="X528">
            <v>2515267</v>
          </cell>
          <cell r="Y528">
            <v>1176134.45</v>
          </cell>
          <cell r="Z528">
            <v>16298016</v>
          </cell>
          <cell r="AA528">
            <v>17474150.449999999</v>
          </cell>
          <cell r="AC528">
            <v>15197</v>
          </cell>
          <cell r="AD528">
            <v>0</v>
          </cell>
        </row>
        <row r="529">
          <cell r="S529">
            <v>0</v>
          </cell>
          <cell r="T529">
            <v>0</v>
          </cell>
          <cell r="U529">
            <v>0</v>
          </cell>
          <cell r="V529">
            <v>0</v>
          </cell>
          <cell r="W529">
            <v>0</v>
          </cell>
          <cell r="X529">
            <v>0</v>
          </cell>
          <cell r="Y529">
            <v>0</v>
          </cell>
          <cell r="Z529">
            <v>0</v>
          </cell>
          <cell r="AA529">
            <v>0</v>
          </cell>
          <cell r="AC529">
            <v>0</v>
          </cell>
          <cell r="AD529">
            <v>0</v>
          </cell>
        </row>
        <row r="530">
          <cell r="B530">
            <v>15198</v>
          </cell>
          <cell r="C530" t="str">
            <v>RENT DEPOSITS</v>
          </cell>
          <cell r="D530">
            <v>0</v>
          </cell>
          <cell r="E530">
            <v>0</v>
          </cell>
          <cell r="F530">
            <v>0</v>
          </cell>
          <cell r="G530">
            <v>0</v>
          </cell>
          <cell r="H530">
            <v>0</v>
          </cell>
          <cell r="I530">
            <v>0</v>
          </cell>
          <cell r="J530">
            <v>0</v>
          </cell>
          <cell r="K530">
            <v>0</v>
          </cell>
          <cell r="L530">
            <v>1800</v>
          </cell>
          <cell r="M530">
            <v>0</v>
          </cell>
          <cell r="N530">
            <v>0</v>
          </cell>
          <cell r="O530">
            <v>0</v>
          </cell>
          <cell r="P530">
            <v>0</v>
          </cell>
          <cell r="Q530">
            <v>0</v>
          </cell>
          <cell r="S530">
            <v>1800</v>
          </cell>
          <cell r="T530">
            <v>0</v>
          </cell>
          <cell r="U530">
            <v>1800</v>
          </cell>
          <cell r="V530">
            <v>0</v>
          </cell>
          <cell r="W530">
            <v>0</v>
          </cell>
          <cell r="X530">
            <v>0</v>
          </cell>
          <cell r="Y530">
            <v>1800</v>
          </cell>
          <cell r="Z530">
            <v>0</v>
          </cell>
          <cell r="AA530">
            <v>1800</v>
          </cell>
          <cell r="AC530">
            <v>15198</v>
          </cell>
          <cell r="AD530">
            <v>0</v>
          </cell>
        </row>
        <row r="531">
          <cell r="S531">
            <v>0</v>
          </cell>
          <cell r="T531">
            <v>0</v>
          </cell>
          <cell r="U531">
            <v>0</v>
          </cell>
          <cell r="V531">
            <v>0</v>
          </cell>
          <cell r="W531">
            <v>0</v>
          </cell>
          <cell r="X531">
            <v>0</v>
          </cell>
          <cell r="Y531">
            <v>0</v>
          </cell>
          <cell r="Z531">
            <v>0</v>
          </cell>
          <cell r="AA531">
            <v>0</v>
          </cell>
          <cell r="AC531">
            <v>0</v>
          </cell>
          <cell r="AD531">
            <v>0</v>
          </cell>
        </row>
        <row r="532">
          <cell r="B532">
            <v>15216</v>
          </cell>
          <cell r="C532" t="str">
            <v>INTEREST RECEIVABLE</v>
          </cell>
          <cell r="D532">
            <v>726330</v>
          </cell>
          <cell r="E532">
            <v>-726330</v>
          </cell>
          <cell r="F532">
            <v>1081929</v>
          </cell>
          <cell r="G532">
            <v>-1280634</v>
          </cell>
          <cell r="H532">
            <v>0</v>
          </cell>
          <cell r="I532">
            <v>0</v>
          </cell>
          <cell r="J532">
            <v>0</v>
          </cell>
          <cell r="K532">
            <v>0</v>
          </cell>
          <cell r="L532">
            <v>0</v>
          </cell>
          <cell r="M532">
            <v>0</v>
          </cell>
          <cell r="N532">
            <v>0</v>
          </cell>
          <cell r="O532">
            <v>0</v>
          </cell>
          <cell r="P532">
            <v>1808259</v>
          </cell>
          <cell r="Q532">
            <v>-2006964</v>
          </cell>
          <cell r="S532">
            <v>0</v>
          </cell>
          <cell r="T532">
            <v>-198705</v>
          </cell>
          <cell r="U532">
            <v>0</v>
          </cell>
          <cell r="V532">
            <v>571800</v>
          </cell>
          <cell r="W532">
            <v>0</v>
          </cell>
          <cell r="X532">
            <v>-770505</v>
          </cell>
          <cell r="Y532">
            <v>0</v>
          </cell>
          <cell r="Z532">
            <v>-198705</v>
          </cell>
          <cell r="AA532">
            <v>-198705</v>
          </cell>
          <cell r="AC532">
            <v>15216</v>
          </cell>
          <cell r="AD532">
            <v>0</v>
          </cell>
        </row>
        <row r="533">
          <cell r="S533">
            <v>0</v>
          </cell>
          <cell r="T533">
            <v>0</v>
          </cell>
          <cell r="U533">
            <v>0</v>
          </cell>
          <cell r="V533">
            <v>0</v>
          </cell>
          <cell r="W533">
            <v>0</v>
          </cell>
          <cell r="X533">
            <v>0</v>
          </cell>
          <cell r="Y533">
            <v>0</v>
          </cell>
          <cell r="Z533">
            <v>0</v>
          </cell>
          <cell r="AA533">
            <v>0</v>
          </cell>
          <cell r="AC533">
            <v>0</v>
          </cell>
          <cell r="AD533">
            <v>0</v>
          </cell>
        </row>
        <row r="534">
          <cell r="B534">
            <v>15218</v>
          </cell>
          <cell r="C534" t="str">
            <v>DEPB RECEIVABLE A/C</v>
          </cell>
          <cell r="D534">
            <v>16486506</v>
          </cell>
          <cell r="E534">
            <v>-15410642</v>
          </cell>
          <cell r="F534">
            <v>0</v>
          </cell>
          <cell r="G534">
            <v>0</v>
          </cell>
          <cell r="H534">
            <v>0</v>
          </cell>
          <cell r="I534">
            <v>0</v>
          </cell>
          <cell r="J534">
            <v>0</v>
          </cell>
          <cell r="K534">
            <v>0</v>
          </cell>
          <cell r="L534">
            <v>0</v>
          </cell>
          <cell r="M534">
            <v>0</v>
          </cell>
          <cell r="N534">
            <v>0</v>
          </cell>
          <cell r="O534">
            <v>0</v>
          </cell>
          <cell r="P534">
            <v>16486506</v>
          </cell>
          <cell r="Q534">
            <v>-15410642</v>
          </cell>
          <cell r="S534">
            <v>1075864</v>
          </cell>
          <cell r="T534">
            <v>0</v>
          </cell>
          <cell r="U534">
            <v>3801900</v>
          </cell>
          <cell r="V534">
            <v>0</v>
          </cell>
          <cell r="W534">
            <v>-2726036</v>
          </cell>
          <cell r="X534">
            <v>0</v>
          </cell>
          <cell r="Y534">
            <v>1075864</v>
          </cell>
          <cell r="Z534">
            <v>0</v>
          </cell>
          <cell r="AA534">
            <v>1075864</v>
          </cell>
          <cell r="AC534">
            <v>15218</v>
          </cell>
          <cell r="AD534">
            <v>0</v>
          </cell>
        </row>
        <row r="535">
          <cell r="S535">
            <v>0</v>
          </cell>
          <cell r="T535">
            <v>0</v>
          </cell>
          <cell r="U535">
            <v>0</v>
          </cell>
          <cell r="V535">
            <v>0</v>
          </cell>
          <cell r="W535">
            <v>0</v>
          </cell>
          <cell r="X535">
            <v>0</v>
          </cell>
          <cell r="Y535">
            <v>0</v>
          </cell>
          <cell r="Z535">
            <v>0</v>
          </cell>
          <cell r="AA535">
            <v>0</v>
          </cell>
          <cell r="AC535">
            <v>0</v>
          </cell>
          <cell r="AD535">
            <v>0</v>
          </cell>
        </row>
        <row r="536">
          <cell r="B536">
            <v>15219</v>
          </cell>
          <cell r="C536" t="str">
            <v>AA RECEIVABLE A/C</v>
          </cell>
          <cell r="D536">
            <v>25343</v>
          </cell>
          <cell r="E536">
            <v>0</v>
          </cell>
          <cell r="F536">
            <v>7500</v>
          </cell>
          <cell r="G536">
            <v>-7500</v>
          </cell>
          <cell r="H536">
            <v>0</v>
          </cell>
          <cell r="I536">
            <v>0</v>
          </cell>
          <cell r="J536">
            <v>0</v>
          </cell>
          <cell r="K536">
            <v>0</v>
          </cell>
          <cell r="L536">
            <v>0</v>
          </cell>
          <cell r="M536">
            <v>0</v>
          </cell>
          <cell r="N536">
            <v>0</v>
          </cell>
          <cell r="O536">
            <v>0</v>
          </cell>
          <cell r="P536">
            <v>32843</v>
          </cell>
          <cell r="Q536">
            <v>-7500</v>
          </cell>
          <cell r="S536">
            <v>25343</v>
          </cell>
          <cell r="T536">
            <v>0</v>
          </cell>
          <cell r="U536">
            <v>0</v>
          </cell>
          <cell r="V536">
            <v>0</v>
          </cell>
          <cell r="W536">
            <v>25343</v>
          </cell>
          <cell r="X536">
            <v>0</v>
          </cell>
          <cell r="Y536">
            <v>25343</v>
          </cell>
          <cell r="Z536">
            <v>0</v>
          </cell>
          <cell r="AA536">
            <v>25343</v>
          </cell>
          <cell r="AC536">
            <v>15219</v>
          </cell>
          <cell r="AD536">
            <v>0</v>
          </cell>
        </row>
        <row r="537">
          <cell r="S537">
            <v>0</v>
          </cell>
          <cell r="T537">
            <v>0</v>
          </cell>
          <cell r="U537">
            <v>0</v>
          </cell>
          <cell r="V537">
            <v>0</v>
          </cell>
          <cell r="W537">
            <v>0</v>
          </cell>
          <cell r="X537">
            <v>0</v>
          </cell>
          <cell r="Y537">
            <v>0</v>
          </cell>
          <cell r="Z537">
            <v>0</v>
          </cell>
          <cell r="AA537">
            <v>0</v>
          </cell>
          <cell r="AC537">
            <v>0</v>
          </cell>
          <cell r="AD537">
            <v>0</v>
          </cell>
        </row>
        <row r="538">
          <cell r="B538">
            <v>15221</v>
          </cell>
          <cell r="C538" t="str">
            <v>PREPAID EXPENSES</v>
          </cell>
          <cell r="D538">
            <v>1025058</v>
          </cell>
          <cell r="E538">
            <v>-569945</v>
          </cell>
          <cell r="F538">
            <v>678708</v>
          </cell>
          <cell r="G538">
            <v>-70778</v>
          </cell>
          <cell r="H538">
            <v>0</v>
          </cell>
          <cell r="I538">
            <v>0</v>
          </cell>
          <cell r="J538">
            <v>0</v>
          </cell>
          <cell r="K538">
            <v>0</v>
          </cell>
          <cell r="L538">
            <v>1377968.5</v>
          </cell>
          <cell r="M538">
            <v>-1582</v>
          </cell>
          <cell r="N538">
            <v>0</v>
          </cell>
          <cell r="O538">
            <v>0</v>
          </cell>
          <cell r="P538">
            <v>1703766</v>
          </cell>
          <cell r="Q538">
            <v>-640723</v>
          </cell>
          <cell r="S538">
            <v>1831499.5</v>
          </cell>
          <cell r="T538">
            <v>607930</v>
          </cell>
          <cell r="U538">
            <v>1089575.5</v>
          </cell>
          <cell r="V538">
            <v>606680</v>
          </cell>
          <cell r="W538">
            <v>741924</v>
          </cell>
          <cell r="X538">
            <v>1250</v>
          </cell>
          <cell r="Y538">
            <v>1831499.5</v>
          </cell>
          <cell r="Z538">
            <v>607930</v>
          </cell>
          <cell r="AA538">
            <v>2439429.5</v>
          </cell>
          <cell r="AC538">
            <v>15221</v>
          </cell>
          <cell r="AD538">
            <v>0</v>
          </cell>
        </row>
        <row r="539">
          <cell r="S539">
            <v>0</v>
          </cell>
          <cell r="T539">
            <v>0</v>
          </cell>
          <cell r="U539">
            <v>0</v>
          </cell>
          <cell r="V539">
            <v>0</v>
          </cell>
          <cell r="W539">
            <v>0</v>
          </cell>
          <cell r="X539">
            <v>0</v>
          </cell>
          <cell r="Y539">
            <v>0</v>
          </cell>
          <cell r="Z539">
            <v>0</v>
          </cell>
          <cell r="AA539">
            <v>0</v>
          </cell>
          <cell r="AC539">
            <v>0</v>
          </cell>
          <cell r="AD539">
            <v>0</v>
          </cell>
        </row>
        <row r="540">
          <cell r="B540">
            <v>15222</v>
          </cell>
          <cell r="C540" t="str">
            <v>PREPAID INSURANCE</v>
          </cell>
          <cell r="D540">
            <v>3715247</v>
          </cell>
          <cell r="E540">
            <v>-2009923</v>
          </cell>
          <cell r="F540">
            <v>541993</v>
          </cell>
          <cell r="G540">
            <v>-297344</v>
          </cell>
          <cell r="H540">
            <v>0</v>
          </cell>
          <cell r="I540">
            <v>0</v>
          </cell>
          <cell r="J540">
            <v>0</v>
          </cell>
          <cell r="K540">
            <v>0</v>
          </cell>
          <cell r="L540">
            <v>129994</v>
          </cell>
          <cell r="M540">
            <v>0</v>
          </cell>
          <cell r="N540">
            <v>0</v>
          </cell>
          <cell r="O540">
            <v>0</v>
          </cell>
          <cell r="P540">
            <v>4257240</v>
          </cell>
          <cell r="Q540">
            <v>-2307267</v>
          </cell>
          <cell r="S540">
            <v>1835318</v>
          </cell>
          <cell r="T540">
            <v>244649</v>
          </cell>
          <cell r="U540">
            <v>1819365</v>
          </cell>
          <cell r="V540">
            <v>233516</v>
          </cell>
          <cell r="W540">
            <v>15953</v>
          </cell>
          <cell r="X540">
            <v>11133</v>
          </cell>
          <cell r="Y540">
            <v>1835318</v>
          </cell>
          <cell r="Z540">
            <v>244649</v>
          </cell>
          <cell r="AA540">
            <v>2079967</v>
          </cell>
          <cell r="AC540">
            <v>15222</v>
          </cell>
          <cell r="AD540">
            <v>0</v>
          </cell>
        </row>
        <row r="541">
          <cell r="S541">
            <v>0</v>
          </cell>
          <cell r="T541">
            <v>0</v>
          </cell>
          <cell r="U541">
            <v>0</v>
          </cell>
          <cell r="V541">
            <v>0</v>
          </cell>
          <cell r="W541">
            <v>0</v>
          </cell>
          <cell r="X541">
            <v>0</v>
          </cell>
          <cell r="Y541">
            <v>0</v>
          </cell>
          <cell r="Z541">
            <v>0</v>
          </cell>
          <cell r="AA541">
            <v>0</v>
          </cell>
          <cell r="AC541">
            <v>0</v>
          </cell>
          <cell r="AD541">
            <v>0</v>
          </cell>
        </row>
        <row r="542">
          <cell r="B542">
            <v>15224</v>
          </cell>
          <cell r="C542" t="str">
            <v>RECOVERABLE FROM PROSEAL</v>
          </cell>
          <cell r="D542">
            <v>40617</v>
          </cell>
          <cell r="E542">
            <v>-1952723</v>
          </cell>
          <cell r="F542">
            <v>0</v>
          </cell>
          <cell r="G542">
            <v>0</v>
          </cell>
          <cell r="H542">
            <v>0</v>
          </cell>
          <cell r="I542">
            <v>0</v>
          </cell>
          <cell r="J542">
            <v>0</v>
          </cell>
          <cell r="K542">
            <v>0</v>
          </cell>
          <cell r="L542">
            <v>8889114.6600000001</v>
          </cell>
          <cell r="M542">
            <v>-6084270</v>
          </cell>
          <cell r="N542">
            <v>0</v>
          </cell>
          <cell r="O542">
            <v>0</v>
          </cell>
          <cell r="P542">
            <v>40617</v>
          </cell>
          <cell r="Q542">
            <v>-1952723</v>
          </cell>
          <cell r="S542">
            <v>892738.66000000015</v>
          </cell>
          <cell r="T542">
            <v>0</v>
          </cell>
          <cell r="U542">
            <v>713203.42</v>
          </cell>
          <cell r="V542">
            <v>0</v>
          </cell>
          <cell r="W542">
            <v>179535.24000000011</v>
          </cell>
          <cell r="X542">
            <v>0</v>
          </cell>
          <cell r="Y542">
            <v>892738.66000000015</v>
          </cell>
          <cell r="Z542">
            <v>0</v>
          </cell>
          <cell r="AA542">
            <v>892738.66000000015</v>
          </cell>
          <cell r="AC542">
            <v>15224</v>
          </cell>
          <cell r="AD542">
            <v>0</v>
          </cell>
        </row>
        <row r="543">
          <cell r="S543">
            <v>0</v>
          </cell>
          <cell r="T543">
            <v>0</v>
          </cell>
          <cell r="U543">
            <v>0</v>
          </cell>
          <cell r="V543">
            <v>0</v>
          </cell>
          <cell r="W543">
            <v>0</v>
          </cell>
          <cell r="X543">
            <v>0</v>
          </cell>
          <cell r="Y543">
            <v>0</v>
          </cell>
          <cell r="Z543">
            <v>0</v>
          </cell>
          <cell r="AA543">
            <v>0</v>
          </cell>
          <cell r="AC543">
            <v>0</v>
          </cell>
          <cell r="AD543">
            <v>0</v>
          </cell>
        </row>
        <row r="544">
          <cell r="B544">
            <v>15225</v>
          </cell>
          <cell r="C544" t="str">
            <v>RECOVERABLE FROM BALMER LAWRIE</v>
          </cell>
          <cell r="D544">
            <v>2964427</v>
          </cell>
          <cell r="E544">
            <v>-2060872</v>
          </cell>
          <cell r="F544">
            <v>0</v>
          </cell>
          <cell r="G544">
            <v>0</v>
          </cell>
          <cell r="H544">
            <v>0</v>
          </cell>
          <cell r="I544">
            <v>0</v>
          </cell>
          <cell r="J544">
            <v>0</v>
          </cell>
          <cell r="K544">
            <v>0</v>
          </cell>
          <cell r="L544">
            <v>43724</v>
          </cell>
          <cell r="M544">
            <v>0</v>
          </cell>
          <cell r="N544">
            <v>0</v>
          </cell>
          <cell r="O544">
            <v>0</v>
          </cell>
          <cell r="P544">
            <v>2964427</v>
          </cell>
          <cell r="Q544">
            <v>-2060872</v>
          </cell>
          <cell r="S544">
            <v>947279</v>
          </cell>
          <cell r="T544">
            <v>0</v>
          </cell>
          <cell r="U544">
            <v>2978921</v>
          </cell>
          <cell r="V544">
            <v>0</v>
          </cell>
          <cell r="W544">
            <v>-2031642</v>
          </cell>
          <cell r="X544">
            <v>0</v>
          </cell>
          <cell r="Y544">
            <v>947279</v>
          </cell>
          <cell r="Z544">
            <v>0</v>
          </cell>
          <cell r="AA544">
            <v>947279</v>
          </cell>
          <cell r="AC544">
            <v>15225</v>
          </cell>
          <cell r="AD544">
            <v>0</v>
          </cell>
        </row>
        <row r="545">
          <cell r="S545">
            <v>0</v>
          </cell>
          <cell r="T545">
            <v>0</v>
          </cell>
          <cell r="U545">
            <v>0</v>
          </cell>
          <cell r="V545">
            <v>0</v>
          </cell>
          <cell r="W545">
            <v>0</v>
          </cell>
          <cell r="X545">
            <v>0</v>
          </cell>
          <cell r="Y545">
            <v>0</v>
          </cell>
          <cell r="Z545">
            <v>0</v>
          </cell>
          <cell r="AA545">
            <v>0</v>
          </cell>
          <cell r="AC545">
            <v>0</v>
          </cell>
          <cell r="AD545">
            <v>0</v>
          </cell>
        </row>
        <row r="546">
          <cell r="B546">
            <v>15226</v>
          </cell>
          <cell r="C546" t="str">
            <v>RECOVERABLE FROM TRANSAFE</v>
          </cell>
          <cell r="D546">
            <v>0</v>
          </cell>
          <cell r="E546">
            <v>0</v>
          </cell>
          <cell r="F546">
            <v>17407</v>
          </cell>
          <cell r="G546">
            <v>0</v>
          </cell>
          <cell r="H546">
            <v>0</v>
          </cell>
          <cell r="I546">
            <v>0</v>
          </cell>
          <cell r="J546">
            <v>0</v>
          </cell>
          <cell r="K546">
            <v>0</v>
          </cell>
          <cell r="L546">
            <v>365331</v>
          </cell>
          <cell r="M546">
            <v>-361097</v>
          </cell>
          <cell r="N546">
            <v>0</v>
          </cell>
          <cell r="O546">
            <v>0</v>
          </cell>
          <cell r="P546">
            <v>17407</v>
          </cell>
          <cell r="Q546">
            <v>0</v>
          </cell>
          <cell r="S546">
            <v>4234</v>
          </cell>
          <cell r="T546">
            <v>17407</v>
          </cell>
          <cell r="U546">
            <v>146950.5</v>
          </cell>
          <cell r="V546">
            <v>17407</v>
          </cell>
          <cell r="W546">
            <v>-142716.5</v>
          </cell>
          <cell r="X546">
            <v>0</v>
          </cell>
          <cell r="Y546">
            <v>4234</v>
          </cell>
          <cell r="Z546">
            <v>17407</v>
          </cell>
          <cell r="AA546">
            <v>21641</v>
          </cell>
          <cell r="AC546">
            <v>15226</v>
          </cell>
          <cell r="AD546">
            <v>0</v>
          </cell>
        </row>
        <row r="547">
          <cell r="S547">
            <v>0</v>
          </cell>
          <cell r="T547">
            <v>0</v>
          </cell>
          <cell r="U547">
            <v>0</v>
          </cell>
          <cell r="V547">
            <v>0</v>
          </cell>
          <cell r="W547">
            <v>0</v>
          </cell>
          <cell r="X547">
            <v>0</v>
          </cell>
          <cell r="Y547">
            <v>0</v>
          </cell>
          <cell r="Z547">
            <v>0</v>
          </cell>
          <cell r="AA547">
            <v>0</v>
          </cell>
          <cell r="AC547">
            <v>0</v>
          </cell>
          <cell r="AD547">
            <v>0</v>
          </cell>
        </row>
        <row r="548">
          <cell r="B548">
            <v>15227</v>
          </cell>
          <cell r="C548" t="str">
            <v>RECOVERABLE FROM EMPLOYEES</v>
          </cell>
          <cell r="D548">
            <v>15721</v>
          </cell>
          <cell r="E548">
            <v>-15471</v>
          </cell>
          <cell r="F548">
            <v>301170</v>
          </cell>
          <cell r="G548">
            <v>-232974</v>
          </cell>
          <cell r="H548">
            <v>0</v>
          </cell>
          <cell r="I548">
            <v>0</v>
          </cell>
          <cell r="J548">
            <v>0</v>
          </cell>
          <cell r="K548">
            <v>0</v>
          </cell>
          <cell r="L548">
            <v>137459.1</v>
          </cell>
          <cell r="M548">
            <v>-137496.1</v>
          </cell>
          <cell r="N548">
            <v>0</v>
          </cell>
          <cell r="O548">
            <v>0</v>
          </cell>
          <cell r="P548">
            <v>316891</v>
          </cell>
          <cell r="Q548">
            <v>-248445</v>
          </cell>
          <cell r="S548">
            <v>213</v>
          </cell>
          <cell r="T548">
            <v>68196</v>
          </cell>
          <cell r="U548">
            <v>0</v>
          </cell>
          <cell r="V548">
            <v>0</v>
          </cell>
          <cell r="W548">
            <v>213</v>
          </cell>
          <cell r="X548">
            <v>68196</v>
          </cell>
          <cell r="Y548">
            <v>213</v>
          </cell>
          <cell r="Z548">
            <v>68196</v>
          </cell>
          <cell r="AA548">
            <v>68409</v>
          </cell>
          <cell r="AC548">
            <v>15227</v>
          </cell>
          <cell r="AD548">
            <v>0</v>
          </cell>
        </row>
        <row r="549">
          <cell r="S549">
            <v>0</v>
          </cell>
          <cell r="T549">
            <v>0</v>
          </cell>
          <cell r="U549">
            <v>0</v>
          </cell>
          <cell r="V549">
            <v>0</v>
          </cell>
          <cell r="W549">
            <v>0</v>
          </cell>
          <cell r="X549">
            <v>0</v>
          </cell>
          <cell r="Y549">
            <v>0</v>
          </cell>
          <cell r="Z549">
            <v>0</v>
          </cell>
          <cell r="AA549">
            <v>0</v>
          </cell>
          <cell r="AC549">
            <v>0</v>
          </cell>
          <cell r="AD549">
            <v>0</v>
          </cell>
        </row>
        <row r="550">
          <cell r="B550">
            <v>15228</v>
          </cell>
          <cell r="C550" t="str">
            <v>RECOVERABLE FROM OTHERS</v>
          </cell>
          <cell r="D550">
            <v>96676</v>
          </cell>
          <cell r="E550">
            <v>-87384</v>
          </cell>
          <cell r="F550">
            <v>974865</v>
          </cell>
          <cell r="G550">
            <v>-51686.2</v>
          </cell>
          <cell r="H550">
            <v>0</v>
          </cell>
          <cell r="I550">
            <v>0</v>
          </cell>
          <cell r="J550">
            <v>0</v>
          </cell>
          <cell r="K550">
            <v>0</v>
          </cell>
          <cell r="L550">
            <v>15180</v>
          </cell>
          <cell r="M550">
            <v>-180</v>
          </cell>
          <cell r="N550">
            <v>0</v>
          </cell>
          <cell r="O550">
            <v>0</v>
          </cell>
          <cell r="P550">
            <v>1071541</v>
          </cell>
          <cell r="Q550">
            <v>-139070.20000000001</v>
          </cell>
          <cell r="S550">
            <v>24292</v>
          </cell>
          <cell r="T550">
            <v>923178.8</v>
          </cell>
          <cell r="U550">
            <v>17691</v>
          </cell>
          <cell r="V550">
            <v>900732</v>
          </cell>
          <cell r="W550">
            <v>6601</v>
          </cell>
          <cell r="X550">
            <v>22446.800000000047</v>
          </cell>
          <cell r="Y550">
            <v>24292</v>
          </cell>
          <cell r="Z550">
            <v>923178.8</v>
          </cell>
          <cell r="AA550">
            <v>947470.8</v>
          </cell>
          <cell r="AC550">
            <v>15228</v>
          </cell>
          <cell r="AD550">
            <v>0</v>
          </cell>
        </row>
        <row r="551">
          <cell r="S551">
            <v>0</v>
          </cell>
          <cell r="T551">
            <v>0</v>
          </cell>
          <cell r="U551">
            <v>0</v>
          </cell>
          <cell r="V551">
            <v>0</v>
          </cell>
          <cell r="W551">
            <v>0</v>
          </cell>
          <cell r="X551">
            <v>0</v>
          </cell>
          <cell r="Y551">
            <v>0</v>
          </cell>
          <cell r="Z551">
            <v>0</v>
          </cell>
          <cell r="AA551">
            <v>0</v>
          </cell>
          <cell r="AC551">
            <v>0</v>
          </cell>
          <cell r="AD551">
            <v>0</v>
          </cell>
        </row>
        <row r="552">
          <cell r="B552">
            <v>15229</v>
          </cell>
          <cell r="C552" t="str">
            <v>RECOVERABLE FROM INSURANCE CO.</v>
          </cell>
          <cell r="D552">
            <v>384767</v>
          </cell>
          <cell r="E552">
            <v>-291392</v>
          </cell>
          <cell r="F552">
            <v>322162</v>
          </cell>
          <cell r="G552">
            <v>-169862</v>
          </cell>
          <cell r="H552">
            <v>0</v>
          </cell>
          <cell r="I552">
            <v>0</v>
          </cell>
          <cell r="J552">
            <v>0</v>
          </cell>
          <cell r="K552">
            <v>0</v>
          </cell>
          <cell r="L552">
            <v>0</v>
          </cell>
          <cell r="M552">
            <v>0</v>
          </cell>
          <cell r="N552">
            <v>0</v>
          </cell>
          <cell r="O552">
            <v>0</v>
          </cell>
          <cell r="P552">
            <v>706929</v>
          </cell>
          <cell r="Q552">
            <v>-461254</v>
          </cell>
          <cell r="S552">
            <v>93375</v>
          </cell>
          <cell r="T552">
            <v>152300</v>
          </cell>
          <cell r="U552">
            <v>202214</v>
          </cell>
          <cell r="V552">
            <v>177380</v>
          </cell>
          <cell r="W552">
            <v>-108839</v>
          </cell>
          <cell r="X552">
            <v>-25080</v>
          </cell>
          <cell r="Y552">
            <v>93375</v>
          </cell>
          <cell r="Z552">
            <v>152300</v>
          </cell>
          <cell r="AA552">
            <v>245675</v>
          </cell>
          <cell r="AC552">
            <v>15229</v>
          </cell>
          <cell r="AD552">
            <v>0</v>
          </cell>
        </row>
        <row r="553">
          <cell r="S553">
            <v>0</v>
          </cell>
          <cell r="T553">
            <v>0</v>
          </cell>
          <cell r="U553">
            <v>0</v>
          </cell>
          <cell r="V553">
            <v>0</v>
          </cell>
          <cell r="W553">
            <v>0</v>
          </cell>
          <cell r="X553">
            <v>0</v>
          </cell>
          <cell r="Y553">
            <v>0</v>
          </cell>
          <cell r="Z553">
            <v>0</v>
          </cell>
          <cell r="AA553">
            <v>0</v>
          </cell>
          <cell r="AC553">
            <v>0</v>
          </cell>
          <cell r="AD553">
            <v>0</v>
          </cell>
        </row>
        <row r="554">
          <cell r="B554">
            <v>15230</v>
          </cell>
          <cell r="C554" t="str">
            <v>RECOVERABLE FROM VAN LEER</v>
          </cell>
          <cell r="D554">
            <v>38000</v>
          </cell>
          <cell r="E554">
            <v>0</v>
          </cell>
          <cell r="F554">
            <v>0</v>
          </cell>
          <cell r="G554">
            <v>0</v>
          </cell>
          <cell r="H554">
            <v>0</v>
          </cell>
          <cell r="I554">
            <v>0</v>
          </cell>
          <cell r="J554">
            <v>0</v>
          </cell>
          <cell r="K554">
            <v>0</v>
          </cell>
          <cell r="L554">
            <v>269343</v>
          </cell>
          <cell r="M554">
            <v>0</v>
          </cell>
          <cell r="N554">
            <v>0</v>
          </cell>
          <cell r="O554">
            <v>0</v>
          </cell>
          <cell r="P554">
            <v>38000</v>
          </cell>
          <cell r="Q554">
            <v>0</v>
          </cell>
          <cell r="S554">
            <v>307343</v>
          </cell>
          <cell r="T554">
            <v>0</v>
          </cell>
          <cell r="U554">
            <v>269343</v>
          </cell>
          <cell r="V554">
            <v>0</v>
          </cell>
          <cell r="W554">
            <v>38000</v>
          </cell>
          <cell r="X554">
            <v>0</v>
          </cell>
          <cell r="Y554">
            <v>307343</v>
          </cell>
          <cell r="Z554">
            <v>0</v>
          </cell>
          <cell r="AA554">
            <v>307343</v>
          </cell>
          <cell r="AC554">
            <v>15230</v>
          </cell>
          <cell r="AD554">
            <v>0</v>
          </cell>
        </row>
        <row r="555">
          <cell r="S555">
            <v>0</v>
          </cell>
          <cell r="T555">
            <v>0</v>
          </cell>
          <cell r="U555">
            <v>0</v>
          </cell>
          <cell r="V555">
            <v>0</v>
          </cell>
          <cell r="W555">
            <v>0</v>
          </cell>
          <cell r="X555">
            <v>0</v>
          </cell>
          <cell r="Y555">
            <v>0</v>
          </cell>
          <cell r="Z555">
            <v>0</v>
          </cell>
          <cell r="AA555">
            <v>0</v>
          </cell>
          <cell r="AC555">
            <v>0</v>
          </cell>
          <cell r="AD555">
            <v>0</v>
          </cell>
        </row>
        <row r="556">
          <cell r="B556">
            <v>15231</v>
          </cell>
          <cell r="C556" t="str">
            <v>RECOVERABLE FROM L.I.C.- GRATUIRTY</v>
          </cell>
          <cell r="D556">
            <v>4406955.25</v>
          </cell>
          <cell r="E556">
            <v>-2324816</v>
          </cell>
          <cell r="F556">
            <v>499327</v>
          </cell>
          <cell r="G556">
            <v>0</v>
          </cell>
          <cell r="H556">
            <v>0</v>
          </cell>
          <cell r="I556">
            <v>0</v>
          </cell>
          <cell r="J556">
            <v>0</v>
          </cell>
          <cell r="K556">
            <v>0</v>
          </cell>
          <cell r="L556">
            <v>0</v>
          </cell>
          <cell r="M556">
            <v>-809366</v>
          </cell>
          <cell r="N556">
            <v>0</v>
          </cell>
          <cell r="O556">
            <v>0</v>
          </cell>
          <cell r="P556">
            <v>4906282.25</v>
          </cell>
          <cell r="Q556">
            <v>-2324816</v>
          </cell>
          <cell r="S556">
            <v>1272773.25</v>
          </cell>
          <cell r="T556">
            <v>499327</v>
          </cell>
          <cell r="U556">
            <v>3437564</v>
          </cell>
          <cell r="V556">
            <v>323654</v>
          </cell>
          <cell r="W556">
            <v>-2164790.75</v>
          </cell>
          <cell r="X556">
            <v>175673</v>
          </cell>
          <cell r="Y556">
            <v>1272773.25</v>
          </cell>
          <cell r="Z556">
            <v>499327</v>
          </cell>
          <cell r="AA556">
            <v>1772100.25</v>
          </cell>
          <cell r="AC556">
            <v>15231</v>
          </cell>
          <cell r="AD556">
            <v>0</v>
          </cell>
        </row>
        <row r="557">
          <cell r="S557">
            <v>0</v>
          </cell>
          <cell r="T557">
            <v>0</v>
          </cell>
          <cell r="U557">
            <v>0</v>
          </cell>
          <cell r="V557">
            <v>0</v>
          </cell>
          <cell r="W557">
            <v>0</v>
          </cell>
          <cell r="X557">
            <v>0</v>
          </cell>
          <cell r="Y557">
            <v>0</v>
          </cell>
          <cell r="Z557">
            <v>0</v>
          </cell>
          <cell r="AA557">
            <v>0</v>
          </cell>
          <cell r="AC557">
            <v>0</v>
          </cell>
          <cell r="AD557">
            <v>0</v>
          </cell>
        </row>
        <row r="558">
          <cell r="B558">
            <v>15232</v>
          </cell>
          <cell r="C558" t="str">
            <v>RECOVERABLE FROM ESIC</v>
          </cell>
          <cell r="D558">
            <v>15114</v>
          </cell>
          <cell r="E558">
            <v>0</v>
          </cell>
          <cell r="F558">
            <v>222894</v>
          </cell>
          <cell r="G558">
            <v>0</v>
          </cell>
          <cell r="H558">
            <v>0</v>
          </cell>
          <cell r="I558">
            <v>0</v>
          </cell>
          <cell r="J558">
            <v>0</v>
          </cell>
          <cell r="K558">
            <v>0</v>
          </cell>
          <cell r="L558">
            <v>0</v>
          </cell>
          <cell r="M558">
            <v>0</v>
          </cell>
          <cell r="N558">
            <v>0</v>
          </cell>
          <cell r="O558">
            <v>0</v>
          </cell>
          <cell r="P558">
            <v>238008</v>
          </cell>
          <cell r="Q558">
            <v>0</v>
          </cell>
          <cell r="S558">
            <v>15114</v>
          </cell>
          <cell r="T558">
            <v>222894</v>
          </cell>
          <cell r="U558">
            <v>15114</v>
          </cell>
          <cell r="V558">
            <v>222894</v>
          </cell>
          <cell r="W558">
            <v>0</v>
          </cell>
          <cell r="X558">
            <v>0</v>
          </cell>
          <cell r="Y558">
            <v>15114</v>
          </cell>
          <cell r="Z558">
            <v>222894</v>
          </cell>
          <cell r="AA558">
            <v>238008</v>
          </cell>
          <cell r="AC558">
            <v>15232</v>
          </cell>
          <cell r="AD558">
            <v>0</v>
          </cell>
        </row>
        <row r="559">
          <cell r="S559">
            <v>0</v>
          </cell>
          <cell r="T559">
            <v>0</v>
          </cell>
          <cell r="U559">
            <v>0</v>
          </cell>
          <cell r="V559">
            <v>0</v>
          </cell>
          <cell r="W559">
            <v>0</v>
          </cell>
          <cell r="X559">
            <v>0</v>
          </cell>
          <cell r="Y559">
            <v>0</v>
          </cell>
          <cell r="Z559">
            <v>0</v>
          </cell>
          <cell r="AA559">
            <v>0</v>
          </cell>
          <cell r="AC559">
            <v>0</v>
          </cell>
          <cell r="AD559">
            <v>0</v>
          </cell>
        </row>
        <row r="560">
          <cell r="B560">
            <v>15233</v>
          </cell>
          <cell r="C560" t="str">
            <v>RECOVERABLE FROM GREIF AUSTRALIA</v>
          </cell>
          <cell r="D560">
            <v>24641</v>
          </cell>
          <cell r="E560">
            <v>0</v>
          </cell>
          <cell r="F560">
            <v>0</v>
          </cell>
          <cell r="G560">
            <v>0</v>
          </cell>
          <cell r="H560">
            <v>0</v>
          </cell>
          <cell r="I560">
            <v>0</v>
          </cell>
          <cell r="J560">
            <v>0</v>
          </cell>
          <cell r="K560">
            <v>0</v>
          </cell>
          <cell r="L560">
            <v>0</v>
          </cell>
          <cell r="M560">
            <v>0</v>
          </cell>
          <cell r="N560">
            <v>0</v>
          </cell>
          <cell r="O560">
            <v>0</v>
          </cell>
          <cell r="P560">
            <v>24641</v>
          </cell>
          <cell r="Q560">
            <v>0</v>
          </cell>
          <cell r="S560">
            <v>24641</v>
          </cell>
          <cell r="T560">
            <v>0</v>
          </cell>
          <cell r="U560">
            <v>24641</v>
          </cell>
          <cell r="V560">
            <v>0</v>
          </cell>
          <cell r="W560">
            <v>0</v>
          </cell>
          <cell r="X560">
            <v>0</v>
          </cell>
          <cell r="Y560">
            <v>24641</v>
          </cell>
          <cell r="Z560">
            <v>0</v>
          </cell>
          <cell r="AA560">
            <v>24641</v>
          </cell>
          <cell r="AC560">
            <v>15233</v>
          </cell>
          <cell r="AD560">
            <v>0</v>
          </cell>
        </row>
        <row r="561">
          <cell r="S561">
            <v>0</v>
          </cell>
          <cell r="T561">
            <v>0</v>
          </cell>
          <cell r="U561">
            <v>0</v>
          </cell>
          <cell r="V561">
            <v>0</v>
          </cell>
          <cell r="W561">
            <v>0</v>
          </cell>
          <cell r="X561">
            <v>0</v>
          </cell>
          <cell r="Y561">
            <v>0</v>
          </cell>
          <cell r="Z561">
            <v>0</v>
          </cell>
          <cell r="AA561">
            <v>0</v>
          </cell>
          <cell r="AC561">
            <v>0</v>
          </cell>
          <cell r="AD561">
            <v>0</v>
          </cell>
        </row>
        <row r="562">
          <cell r="B562">
            <v>15239</v>
          </cell>
          <cell r="C562" t="str">
            <v>ADVANCE AGAINST EXPENSES</v>
          </cell>
          <cell r="D562">
            <v>1318515</v>
          </cell>
          <cell r="E562">
            <v>-1200140</v>
          </cell>
          <cell r="F562">
            <v>1506102</v>
          </cell>
          <cell r="G562">
            <v>-1431102</v>
          </cell>
          <cell r="H562">
            <v>0</v>
          </cell>
          <cell r="I562">
            <v>0</v>
          </cell>
          <cell r="J562">
            <v>0</v>
          </cell>
          <cell r="K562">
            <v>0</v>
          </cell>
          <cell r="L562">
            <v>1179302</v>
          </cell>
          <cell r="M562">
            <v>-1149302</v>
          </cell>
          <cell r="N562">
            <v>0</v>
          </cell>
          <cell r="O562">
            <v>0</v>
          </cell>
          <cell r="P562">
            <v>2824617</v>
          </cell>
          <cell r="Q562">
            <v>-2631242</v>
          </cell>
          <cell r="S562">
            <v>148375</v>
          </cell>
          <cell r="T562">
            <v>75000</v>
          </cell>
          <cell r="U562">
            <v>18140</v>
          </cell>
          <cell r="V562">
            <v>0</v>
          </cell>
          <cell r="W562">
            <v>130235</v>
          </cell>
          <cell r="X562">
            <v>75000</v>
          </cell>
          <cell r="Y562">
            <v>148375</v>
          </cell>
          <cell r="Z562">
            <v>75000</v>
          </cell>
          <cell r="AA562">
            <v>223375</v>
          </cell>
          <cell r="AC562">
            <v>15239</v>
          </cell>
          <cell r="AD562">
            <v>0</v>
          </cell>
        </row>
        <row r="563">
          <cell r="S563">
            <v>0</v>
          </cell>
          <cell r="T563">
            <v>0</v>
          </cell>
          <cell r="U563">
            <v>0</v>
          </cell>
          <cell r="V563">
            <v>0</v>
          </cell>
          <cell r="W563">
            <v>0</v>
          </cell>
          <cell r="X563">
            <v>0</v>
          </cell>
          <cell r="Y563">
            <v>0</v>
          </cell>
          <cell r="Z563">
            <v>0</v>
          </cell>
          <cell r="AA563">
            <v>0</v>
          </cell>
          <cell r="AC563">
            <v>0</v>
          </cell>
          <cell r="AD563">
            <v>0</v>
          </cell>
        </row>
        <row r="564">
          <cell r="B564">
            <v>15241</v>
          </cell>
          <cell r="C564" t="str">
            <v>ADVANCE AGAINST SALARY/WAGES</v>
          </cell>
          <cell r="D564">
            <v>1866097.74</v>
          </cell>
          <cell r="E564">
            <v>-1343948.74</v>
          </cell>
          <cell r="F564">
            <v>1704178</v>
          </cell>
          <cell r="G564">
            <v>-843482</v>
          </cell>
          <cell r="H564">
            <v>0</v>
          </cell>
          <cell r="I564">
            <v>0</v>
          </cell>
          <cell r="J564">
            <v>0</v>
          </cell>
          <cell r="K564">
            <v>0</v>
          </cell>
          <cell r="L564">
            <v>1801955</v>
          </cell>
          <cell r="M564">
            <v>-1450959</v>
          </cell>
          <cell r="N564">
            <v>0</v>
          </cell>
          <cell r="O564">
            <v>0</v>
          </cell>
          <cell r="P564">
            <v>3570275.74</v>
          </cell>
          <cell r="Q564">
            <v>-2187430.7400000002</v>
          </cell>
          <cell r="S564">
            <v>873145</v>
          </cell>
          <cell r="T564">
            <v>860696</v>
          </cell>
          <cell r="U564">
            <v>69000</v>
          </cell>
          <cell r="V564">
            <v>127502</v>
          </cell>
          <cell r="W564">
            <v>804145</v>
          </cell>
          <cell r="X564">
            <v>733194</v>
          </cell>
          <cell r="Y564">
            <v>873145</v>
          </cell>
          <cell r="Z564">
            <v>860696</v>
          </cell>
          <cell r="AA564">
            <v>1733841</v>
          </cell>
          <cell r="AC564">
            <v>15241</v>
          </cell>
          <cell r="AD564">
            <v>0</v>
          </cell>
        </row>
        <row r="565">
          <cell r="S565">
            <v>0</v>
          </cell>
          <cell r="T565">
            <v>0</v>
          </cell>
          <cell r="U565">
            <v>0</v>
          </cell>
          <cell r="V565">
            <v>0</v>
          </cell>
          <cell r="W565">
            <v>0</v>
          </cell>
          <cell r="X565">
            <v>0</v>
          </cell>
          <cell r="Y565">
            <v>0</v>
          </cell>
          <cell r="Z565">
            <v>0</v>
          </cell>
          <cell r="AA565">
            <v>0</v>
          </cell>
          <cell r="AC565">
            <v>0</v>
          </cell>
          <cell r="AD565">
            <v>0</v>
          </cell>
        </row>
        <row r="566">
          <cell r="B566">
            <v>15242</v>
          </cell>
          <cell r="C566" t="str">
            <v>ADVANCE AGAINST LTA</v>
          </cell>
          <cell r="D566">
            <v>12480</v>
          </cell>
          <cell r="E566">
            <v>0</v>
          </cell>
          <cell r="F566">
            <v>18000</v>
          </cell>
          <cell r="G566">
            <v>-18000</v>
          </cell>
          <cell r="H566">
            <v>0</v>
          </cell>
          <cell r="I566">
            <v>0</v>
          </cell>
          <cell r="J566">
            <v>0</v>
          </cell>
          <cell r="K566">
            <v>0</v>
          </cell>
          <cell r="L566">
            <v>0</v>
          </cell>
          <cell r="M566">
            <v>0</v>
          </cell>
          <cell r="N566">
            <v>0</v>
          </cell>
          <cell r="O566">
            <v>0</v>
          </cell>
          <cell r="P566">
            <v>30480</v>
          </cell>
          <cell r="Q566">
            <v>-18000</v>
          </cell>
          <cell r="S566">
            <v>12480</v>
          </cell>
          <cell r="T566">
            <v>0</v>
          </cell>
          <cell r="U566">
            <v>0</v>
          </cell>
          <cell r="V566">
            <v>0</v>
          </cell>
          <cell r="W566">
            <v>12480</v>
          </cell>
          <cell r="X566">
            <v>0</v>
          </cell>
          <cell r="Y566">
            <v>12480</v>
          </cell>
          <cell r="Z566">
            <v>0</v>
          </cell>
          <cell r="AA566">
            <v>12480</v>
          </cell>
          <cell r="AC566">
            <v>15242</v>
          </cell>
          <cell r="AD566">
            <v>0</v>
          </cell>
        </row>
        <row r="567">
          <cell r="S567">
            <v>0</v>
          </cell>
          <cell r="T567">
            <v>0</v>
          </cell>
          <cell r="U567">
            <v>0</v>
          </cell>
          <cell r="V567">
            <v>0</v>
          </cell>
          <cell r="W567">
            <v>0</v>
          </cell>
          <cell r="X567">
            <v>0</v>
          </cell>
          <cell r="Y567">
            <v>0</v>
          </cell>
          <cell r="Z567">
            <v>0</v>
          </cell>
          <cell r="AA567">
            <v>0</v>
          </cell>
          <cell r="AC567">
            <v>0</v>
          </cell>
          <cell r="AD567">
            <v>0</v>
          </cell>
        </row>
        <row r="568">
          <cell r="B568">
            <v>15243</v>
          </cell>
          <cell r="C568" t="str">
            <v>ADVANCE SUPPLIERS/ OTHERS (3410)</v>
          </cell>
          <cell r="D568">
            <v>250001</v>
          </cell>
          <cell r="E568">
            <v>-236671</v>
          </cell>
          <cell r="F568">
            <v>1731309</v>
          </cell>
          <cell r="G568">
            <v>-1143622</v>
          </cell>
          <cell r="H568">
            <v>0</v>
          </cell>
          <cell r="I568">
            <v>0</v>
          </cell>
          <cell r="J568">
            <v>0</v>
          </cell>
          <cell r="K568">
            <v>0</v>
          </cell>
          <cell r="L568">
            <v>210199.6</v>
          </cell>
          <cell r="M568">
            <v>-215592.6</v>
          </cell>
          <cell r="N568">
            <v>0</v>
          </cell>
          <cell r="O568">
            <v>0</v>
          </cell>
          <cell r="P568">
            <v>1981310</v>
          </cell>
          <cell r="Q568">
            <v>-1380293</v>
          </cell>
          <cell r="S568">
            <v>7937</v>
          </cell>
          <cell r="T568">
            <v>587687</v>
          </cell>
          <cell r="U568">
            <v>15921</v>
          </cell>
          <cell r="V568">
            <v>273581</v>
          </cell>
          <cell r="W568">
            <v>-7984</v>
          </cell>
          <cell r="X568">
            <v>314106</v>
          </cell>
          <cell r="Y568">
            <v>7937</v>
          </cell>
          <cell r="Z568">
            <v>587687</v>
          </cell>
          <cell r="AA568">
            <v>595624</v>
          </cell>
          <cell r="AC568">
            <v>15243</v>
          </cell>
          <cell r="AD568">
            <v>0</v>
          </cell>
        </row>
        <row r="569">
          <cell r="S569">
            <v>0</v>
          </cell>
          <cell r="T569">
            <v>0</v>
          </cell>
          <cell r="U569">
            <v>0</v>
          </cell>
          <cell r="V569">
            <v>0</v>
          </cell>
          <cell r="W569">
            <v>0</v>
          </cell>
          <cell r="X569">
            <v>0</v>
          </cell>
          <cell r="Y569">
            <v>0</v>
          </cell>
          <cell r="Z569">
            <v>0</v>
          </cell>
          <cell r="AA569">
            <v>0</v>
          </cell>
          <cell r="AC569">
            <v>0</v>
          </cell>
          <cell r="AD569">
            <v>0</v>
          </cell>
        </row>
        <row r="570">
          <cell r="B570">
            <v>15244</v>
          </cell>
          <cell r="C570" t="str">
            <v>ADVANCE AGAINST CHEQUE</v>
          </cell>
          <cell r="D570">
            <v>83000</v>
          </cell>
          <cell r="E570">
            <v>-110500</v>
          </cell>
          <cell r="F570">
            <v>367082</v>
          </cell>
          <cell r="G570">
            <v>-367082</v>
          </cell>
          <cell r="H570">
            <v>0</v>
          </cell>
          <cell r="I570">
            <v>0</v>
          </cell>
          <cell r="J570">
            <v>0</v>
          </cell>
          <cell r="K570">
            <v>0</v>
          </cell>
          <cell r="L570">
            <v>1410518</v>
          </cell>
          <cell r="M570">
            <v>-1383018</v>
          </cell>
          <cell r="N570">
            <v>0</v>
          </cell>
          <cell r="O570">
            <v>0</v>
          </cell>
          <cell r="P570">
            <v>450082</v>
          </cell>
          <cell r="Q570">
            <v>-477582</v>
          </cell>
          <cell r="S570">
            <v>0</v>
          </cell>
          <cell r="T570">
            <v>0</v>
          </cell>
          <cell r="U570">
            <v>0</v>
          </cell>
          <cell r="V570">
            <v>0</v>
          </cell>
          <cell r="W570">
            <v>0</v>
          </cell>
          <cell r="X570">
            <v>0</v>
          </cell>
          <cell r="Y570">
            <v>0</v>
          </cell>
          <cell r="Z570">
            <v>0</v>
          </cell>
          <cell r="AA570">
            <v>0</v>
          </cell>
          <cell r="AC570">
            <v>15244</v>
          </cell>
          <cell r="AD570">
            <v>0</v>
          </cell>
        </row>
        <row r="571">
          <cell r="S571">
            <v>0</v>
          </cell>
          <cell r="T571">
            <v>0</v>
          </cell>
          <cell r="U571">
            <v>0</v>
          </cell>
          <cell r="V571">
            <v>0</v>
          </cell>
          <cell r="W571">
            <v>0</v>
          </cell>
          <cell r="X571">
            <v>0</v>
          </cell>
          <cell r="Y571">
            <v>0</v>
          </cell>
          <cell r="Z571">
            <v>0</v>
          </cell>
          <cell r="AA571">
            <v>0</v>
          </cell>
          <cell r="AC571">
            <v>0</v>
          </cell>
          <cell r="AD571">
            <v>0</v>
          </cell>
        </row>
        <row r="572">
          <cell r="B572">
            <v>15249</v>
          </cell>
          <cell r="C572" t="str">
            <v>FESTIVALS LOAN</v>
          </cell>
          <cell r="D572">
            <v>2270400</v>
          </cell>
          <cell r="E572">
            <v>-754000</v>
          </cell>
          <cell r="F572">
            <v>973602.66</v>
          </cell>
          <cell r="G572">
            <v>-400002.66</v>
          </cell>
          <cell r="H572">
            <v>0</v>
          </cell>
          <cell r="I572">
            <v>0</v>
          </cell>
          <cell r="J572">
            <v>0</v>
          </cell>
          <cell r="K572">
            <v>0</v>
          </cell>
          <cell r="L572">
            <v>74200</v>
          </cell>
          <cell r="M572">
            <v>-40200</v>
          </cell>
          <cell r="N572">
            <v>0</v>
          </cell>
          <cell r="O572">
            <v>0</v>
          </cell>
          <cell r="P572">
            <v>3244002.66</v>
          </cell>
          <cell r="Q572">
            <v>-1154002.6599999999</v>
          </cell>
          <cell r="S572">
            <v>1550400</v>
          </cell>
          <cell r="T572">
            <v>573600</v>
          </cell>
          <cell r="U572">
            <v>382800</v>
          </cell>
          <cell r="V572">
            <v>156600</v>
          </cell>
          <cell r="W572">
            <v>1167600</v>
          </cell>
          <cell r="X572">
            <v>417000</v>
          </cell>
          <cell r="Y572">
            <v>1550400</v>
          </cell>
          <cell r="Z572">
            <v>573600</v>
          </cell>
          <cell r="AA572">
            <v>2124000</v>
          </cell>
          <cell r="AC572">
            <v>15249</v>
          </cell>
          <cell r="AD572">
            <v>0</v>
          </cell>
        </row>
        <row r="573">
          <cell r="S573">
            <v>0</v>
          </cell>
          <cell r="T573">
            <v>0</v>
          </cell>
          <cell r="U573">
            <v>0</v>
          </cell>
          <cell r="V573">
            <v>0</v>
          </cell>
          <cell r="W573">
            <v>0</v>
          </cell>
          <cell r="X573">
            <v>0</v>
          </cell>
          <cell r="Y573">
            <v>0</v>
          </cell>
          <cell r="Z573">
            <v>0</v>
          </cell>
          <cell r="AA573">
            <v>0</v>
          </cell>
          <cell r="AC573">
            <v>0</v>
          </cell>
          <cell r="AD573">
            <v>0</v>
          </cell>
        </row>
        <row r="574">
          <cell r="B574">
            <v>15250</v>
          </cell>
          <cell r="C574" t="str">
            <v>CAR LOAN</v>
          </cell>
          <cell r="D574">
            <v>527025.88</v>
          </cell>
          <cell r="E574">
            <v>-168096.12</v>
          </cell>
          <cell r="F574">
            <v>283015</v>
          </cell>
          <cell r="G574">
            <v>-85080</v>
          </cell>
          <cell r="H574">
            <v>0</v>
          </cell>
          <cell r="I574">
            <v>0</v>
          </cell>
          <cell r="J574">
            <v>0</v>
          </cell>
          <cell r="K574">
            <v>0</v>
          </cell>
          <cell r="L574">
            <v>245490</v>
          </cell>
          <cell r="M574">
            <v>-245502.94</v>
          </cell>
          <cell r="N574">
            <v>0</v>
          </cell>
          <cell r="O574">
            <v>0</v>
          </cell>
          <cell r="P574">
            <v>810040.88</v>
          </cell>
          <cell r="Q574">
            <v>-253176.12</v>
          </cell>
          <cell r="S574">
            <v>358916.82</v>
          </cell>
          <cell r="T574">
            <v>197935</v>
          </cell>
          <cell r="U574">
            <v>358916.82</v>
          </cell>
          <cell r="V574">
            <v>197935</v>
          </cell>
          <cell r="W574">
            <v>0</v>
          </cell>
          <cell r="X574">
            <v>0</v>
          </cell>
          <cell r="Y574">
            <v>358916.82</v>
          </cell>
          <cell r="Z574">
            <v>197935</v>
          </cell>
          <cell r="AA574">
            <v>556851.82000000007</v>
          </cell>
          <cell r="AC574">
            <v>15250</v>
          </cell>
          <cell r="AD574">
            <v>0</v>
          </cell>
        </row>
        <row r="575">
          <cell r="S575">
            <v>0</v>
          </cell>
          <cell r="T575">
            <v>0</v>
          </cell>
          <cell r="U575">
            <v>0</v>
          </cell>
          <cell r="V575">
            <v>0</v>
          </cell>
          <cell r="W575">
            <v>0</v>
          </cell>
          <cell r="X575">
            <v>0</v>
          </cell>
          <cell r="Y575">
            <v>0</v>
          </cell>
          <cell r="Z575">
            <v>0</v>
          </cell>
          <cell r="AA575">
            <v>0</v>
          </cell>
          <cell r="AC575">
            <v>0</v>
          </cell>
          <cell r="AD575">
            <v>0</v>
          </cell>
        </row>
        <row r="576">
          <cell r="B576">
            <v>15251</v>
          </cell>
          <cell r="C576" t="str">
            <v>SUNDRY LOAN</v>
          </cell>
          <cell r="D576">
            <v>604726.92000000004</v>
          </cell>
          <cell r="E576">
            <v>-187041.48</v>
          </cell>
          <cell r="F576">
            <v>1472865</v>
          </cell>
          <cell r="G576">
            <v>-1061834.3600000001</v>
          </cell>
          <cell r="H576">
            <v>0</v>
          </cell>
          <cell r="I576">
            <v>0</v>
          </cell>
          <cell r="J576">
            <v>0</v>
          </cell>
          <cell r="K576">
            <v>0</v>
          </cell>
          <cell r="L576">
            <v>350005.92</v>
          </cell>
          <cell r="M576">
            <v>-57493</v>
          </cell>
          <cell r="N576">
            <v>0</v>
          </cell>
          <cell r="O576">
            <v>0</v>
          </cell>
          <cell r="P576">
            <v>2077591.92</v>
          </cell>
          <cell r="Q576">
            <v>-1248875.8400000001</v>
          </cell>
          <cell r="S576">
            <v>710198.3600000001</v>
          </cell>
          <cell r="T576">
            <v>411030.6399999999</v>
          </cell>
          <cell r="U576">
            <v>515198.36</v>
          </cell>
          <cell r="V576">
            <v>311030.64</v>
          </cell>
          <cell r="W576">
            <v>195000.00000000012</v>
          </cell>
          <cell r="X576">
            <v>99999.999999999884</v>
          </cell>
          <cell r="Y576">
            <v>710198.3600000001</v>
          </cell>
          <cell r="Z576">
            <v>411030.6399999999</v>
          </cell>
          <cell r="AA576">
            <v>1121229</v>
          </cell>
          <cell r="AC576">
            <v>15251</v>
          </cell>
          <cell r="AD576">
            <v>0</v>
          </cell>
        </row>
        <row r="577">
          <cell r="S577">
            <v>0</v>
          </cell>
          <cell r="T577">
            <v>0</v>
          </cell>
          <cell r="U577">
            <v>0</v>
          </cell>
          <cell r="V577">
            <v>0</v>
          </cell>
          <cell r="W577">
            <v>0</v>
          </cell>
          <cell r="X577">
            <v>0</v>
          </cell>
          <cell r="Y577">
            <v>0</v>
          </cell>
          <cell r="Z577">
            <v>0</v>
          </cell>
          <cell r="AA577">
            <v>0</v>
          </cell>
          <cell r="AC577">
            <v>0</v>
          </cell>
          <cell r="AD577">
            <v>0</v>
          </cell>
        </row>
        <row r="578">
          <cell r="B578">
            <v>15256</v>
          </cell>
          <cell r="C578" t="str">
            <v>CREDITORS DEBIT BALANCES</v>
          </cell>
          <cell r="D578">
            <v>6866589.7999999998</v>
          </cell>
          <cell r="E578">
            <v>-7775889.7999999998</v>
          </cell>
          <cell r="F578">
            <v>2773824.75</v>
          </cell>
          <cell r="G578">
            <v>-2773824.75</v>
          </cell>
          <cell r="H578">
            <v>0</v>
          </cell>
          <cell r="I578">
            <v>0</v>
          </cell>
          <cell r="J578">
            <v>0</v>
          </cell>
          <cell r="K578">
            <v>0</v>
          </cell>
          <cell r="L578">
            <v>36688</v>
          </cell>
          <cell r="M578">
            <v>0</v>
          </cell>
          <cell r="N578">
            <v>0</v>
          </cell>
          <cell r="O578">
            <v>0</v>
          </cell>
          <cell r="P578">
            <v>9640414.5500000007</v>
          </cell>
          <cell r="Q578">
            <v>-10549714.550000001</v>
          </cell>
          <cell r="S578">
            <v>-872612</v>
          </cell>
          <cell r="T578">
            <v>0</v>
          </cell>
          <cell r="U578">
            <v>4949933.8</v>
          </cell>
          <cell r="V578">
            <v>1296046.75</v>
          </cell>
          <cell r="W578">
            <v>-5822545.7999999998</v>
          </cell>
          <cell r="X578">
            <v>-1296046.75</v>
          </cell>
          <cell r="Y578">
            <v>-872612</v>
          </cell>
          <cell r="Z578">
            <v>0</v>
          </cell>
          <cell r="AA578">
            <v>-872612</v>
          </cell>
          <cell r="AC578">
            <v>15256</v>
          </cell>
          <cell r="AD578">
            <v>0</v>
          </cell>
        </row>
        <row r="579">
          <cell r="S579">
            <v>0</v>
          </cell>
          <cell r="T579">
            <v>0</v>
          </cell>
          <cell r="U579">
            <v>0</v>
          </cell>
          <cell r="V579">
            <v>0</v>
          </cell>
          <cell r="W579">
            <v>0</v>
          </cell>
          <cell r="X579">
            <v>0</v>
          </cell>
          <cell r="Y579">
            <v>0</v>
          </cell>
          <cell r="Z579">
            <v>0</v>
          </cell>
          <cell r="AA579">
            <v>0</v>
          </cell>
          <cell r="AC579">
            <v>0</v>
          </cell>
          <cell r="AD579">
            <v>0</v>
          </cell>
        </row>
        <row r="580">
          <cell r="B580">
            <v>15269</v>
          </cell>
          <cell r="C580" t="str">
            <v>PROVISION FOR LOANS &amp; ADVANCES</v>
          </cell>
          <cell r="D580">
            <v>388511</v>
          </cell>
          <cell r="E580">
            <v>-1382840</v>
          </cell>
          <cell r="F580">
            <v>0</v>
          </cell>
          <cell r="G580">
            <v>-1092988.25</v>
          </cell>
          <cell r="H580">
            <v>0</v>
          </cell>
          <cell r="I580">
            <v>0</v>
          </cell>
          <cell r="J580">
            <v>0</v>
          </cell>
          <cell r="K580">
            <v>0</v>
          </cell>
          <cell r="L580">
            <v>0</v>
          </cell>
          <cell r="M580">
            <v>-1365</v>
          </cell>
          <cell r="N580">
            <v>0</v>
          </cell>
          <cell r="O580">
            <v>0</v>
          </cell>
          <cell r="P580">
            <v>388511</v>
          </cell>
          <cell r="Q580">
            <v>-2475828.25</v>
          </cell>
          <cell r="S580">
            <v>-995694</v>
          </cell>
          <cell r="T580">
            <v>-1092988.25</v>
          </cell>
          <cell r="U580">
            <v>-995694</v>
          </cell>
          <cell r="V580">
            <v>-1092988.25</v>
          </cell>
          <cell r="W580">
            <v>0</v>
          </cell>
          <cell r="X580">
            <v>0</v>
          </cell>
          <cell r="Y580">
            <v>-995694</v>
          </cell>
          <cell r="Z580">
            <v>-1092988.25</v>
          </cell>
          <cell r="AA580">
            <v>-2088682.25</v>
          </cell>
          <cell r="AC580">
            <v>15269</v>
          </cell>
          <cell r="AD580">
            <v>0</v>
          </cell>
        </row>
        <row r="581">
          <cell r="S581">
            <v>0</v>
          </cell>
          <cell r="T581">
            <v>0</v>
          </cell>
          <cell r="U581">
            <v>0</v>
          </cell>
          <cell r="V581">
            <v>0</v>
          </cell>
          <cell r="W581">
            <v>0</v>
          </cell>
          <cell r="X581">
            <v>0</v>
          </cell>
          <cell r="Y581">
            <v>0</v>
          </cell>
          <cell r="Z581">
            <v>0</v>
          </cell>
          <cell r="AA581">
            <v>0</v>
          </cell>
          <cell r="AC581">
            <v>0</v>
          </cell>
          <cell r="AD581">
            <v>0</v>
          </cell>
        </row>
        <row r="582">
          <cell r="B582">
            <v>15297</v>
          </cell>
          <cell r="C582" t="str">
            <v>PROVISION FOR PENDING GRN (PURCHASE PACKING SLIP OFFSET AC)</v>
          </cell>
          <cell r="D582">
            <v>933734.6</v>
          </cell>
          <cell r="E582">
            <v>-933734.6</v>
          </cell>
          <cell r="F582">
            <v>8749648.8300000001</v>
          </cell>
          <cell r="G582">
            <v>-16420148.83</v>
          </cell>
          <cell r="H582">
            <v>0</v>
          </cell>
          <cell r="I582">
            <v>0</v>
          </cell>
          <cell r="J582">
            <v>0</v>
          </cell>
          <cell r="K582">
            <v>0</v>
          </cell>
          <cell r="L582">
            <v>0</v>
          </cell>
          <cell r="M582">
            <v>0</v>
          </cell>
          <cell r="N582">
            <v>0</v>
          </cell>
          <cell r="O582">
            <v>0</v>
          </cell>
          <cell r="P582">
            <v>9683383.4299999997</v>
          </cell>
          <cell r="Q582">
            <v>-17353883.43</v>
          </cell>
          <cell r="S582">
            <v>0</v>
          </cell>
          <cell r="T582">
            <v>-7670500</v>
          </cell>
          <cell r="U582">
            <v>0</v>
          </cell>
          <cell r="V582">
            <v>0</v>
          </cell>
          <cell r="W582">
            <v>0</v>
          </cell>
          <cell r="X582">
            <v>-7670500</v>
          </cell>
          <cell r="Y582">
            <v>0</v>
          </cell>
          <cell r="Z582">
            <v>-7670500</v>
          </cell>
          <cell r="AA582">
            <v>-7670500</v>
          </cell>
          <cell r="AC582">
            <v>15297</v>
          </cell>
          <cell r="AD582">
            <v>0</v>
          </cell>
        </row>
        <row r="583">
          <cell r="S583">
            <v>0</v>
          </cell>
          <cell r="T583">
            <v>0</v>
          </cell>
          <cell r="U583">
            <v>0</v>
          </cell>
          <cell r="V583">
            <v>0</v>
          </cell>
          <cell r="W583">
            <v>0</v>
          </cell>
          <cell r="X583">
            <v>0</v>
          </cell>
          <cell r="Y583">
            <v>0</v>
          </cell>
          <cell r="Z583">
            <v>0</v>
          </cell>
          <cell r="AA583">
            <v>0</v>
          </cell>
          <cell r="AC583">
            <v>0</v>
          </cell>
          <cell r="AD583">
            <v>0</v>
          </cell>
        </row>
        <row r="584">
          <cell r="B584">
            <v>15310</v>
          </cell>
          <cell r="C584" t="str">
            <v>INTERIM HEDU CESS - PLA A/C</v>
          </cell>
          <cell r="D584">
            <v>0</v>
          </cell>
          <cell r="E584">
            <v>0</v>
          </cell>
          <cell r="F584">
            <v>0</v>
          </cell>
          <cell r="G584">
            <v>0</v>
          </cell>
          <cell r="H584">
            <v>0</v>
          </cell>
          <cell r="I584">
            <v>0</v>
          </cell>
          <cell r="J584">
            <v>0</v>
          </cell>
          <cell r="K584">
            <v>0</v>
          </cell>
          <cell r="L584">
            <v>0</v>
          </cell>
          <cell r="M584">
            <v>0</v>
          </cell>
          <cell r="N584">
            <v>0</v>
          </cell>
          <cell r="O584">
            <v>-2137782.7599999998</v>
          </cell>
          <cell r="P584">
            <v>0</v>
          </cell>
          <cell r="Q584">
            <v>-2137782.7599999998</v>
          </cell>
          <cell r="S584">
            <v>-2137782.7599999998</v>
          </cell>
          <cell r="T584">
            <v>0</v>
          </cell>
          <cell r="U584">
            <v>-726357.58</v>
          </cell>
          <cell r="V584">
            <v>0</v>
          </cell>
          <cell r="W584">
            <v>-1411425.1799999997</v>
          </cell>
          <cell r="X584">
            <v>0</v>
          </cell>
          <cell r="Y584">
            <v>-2137782.7599999998</v>
          </cell>
          <cell r="Z584">
            <v>0</v>
          </cell>
          <cell r="AA584">
            <v>-2137782.7599999998</v>
          </cell>
          <cell r="AC584">
            <v>15310</v>
          </cell>
          <cell r="AD584">
            <v>0</v>
          </cell>
        </row>
        <row r="585">
          <cell r="S585">
            <v>0</v>
          </cell>
          <cell r="T585">
            <v>0</v>
          </cell>
          <cell r="U585">
            <v>0</v>
          </cell>
          <cell r="V585">
            <v>0</v>
          </cell>
          <cell r="W585">
            <v>0</v>
          </cell>
          <cell r="X585">
            <v>0</v>
          </cell>
          <cell r="Y585">
            <v>0</v>
          </cell>
          <cell r="Z585">
            <v>0</v>
          </cell>
          <cell r="AA585">
            <v>0</v>
          </cell>
          <cell r="AC585">
            <v>0</v>
          </cell>
          <cell r="AD585">
            <v>0</v>
          </cell>
        </row>
        <row r="586">
          <cell r="B586">
            <v>15311</v>
          </cell>
          <cell r="C586" t="str">
            <v>INTERIM PLA ACCOUNT</v>
          </cell>
          <cell r="D586">
            <v>0</v>
          </cell>
          <cell r="E586">
            <v>0</v>
          </cell>
          <cell r="F586">
            <v>0</v>
          </cell>
          <cell r="G586">
            <v>0</v>
          </cell>
          <cell r="H586">
            <v>0</v>
          </cell>
          <cell r="I586">
            <v>0</v>
          </cell>
          <cell r="J586">
            <v>0</v>
          </cell>
          <cell r="K586">
            <v>0</v>
          </cell>
          <cell r="L586">
            <v>0</v>
          </cell>
          <cell r="M586">
            <v>0</v>
          </cell>
          <cell r="N586">
            <v>0</v>
          </cell>
          <cell r="O586">
            <v>-28822366.98</v>
          </cell>
          <cell r="P586">
            <v>0</v>
          </cell>
          <cell r="Q586">
            <v>-28822366.98</v>
          </cell>
          <cell r="S586">
            <v>-28822366.98</v>
          </cell>
          <cell r="T586">
            <v>0</v>
          </cell>
          <cell r="U586">
            <v>-9824279.3599999994</v>
          </cell>
          <cell r="V586">
            <v>0</v>
          </cell>
          <cell r="W586">
            <v>-18998087.620000001</v>
          </cell>
          <cell r="X586">
            <v>0</v>
          </cell>
          <cell r="Y586">
            <v>-28822366.98</v>
          </cell>
          <cell r="Z586">
            <v>0</v>
          </cell>
          <cell r="AA586">
            <v>-28822366.98</v>
          </cell>
          <cell r="AC586">
            <v>15311</v>
          </cell>
          <cell r="AD586">
            <v>0</v>
          </cell>
        </row>
        <row r="587">
          <cell r="S587">
            <v>0</v>
          </cell>
          <cell r="T587">
            <v>0</v>
          </cell>
          <cell r="U587">
            <v>0</v>
          </cell>
          <cell r="V587">
            <v>0</v>
          </cell>
          <cell r="W587">
            <v>0</v>
          </cell>
          <cell r="X587">
            <v>0</v>
          </cell>
          <cell r="Y587">
            <v>0</v>
          </cell>
          <cell r="Z587">
            <v>0</v>
          </cell>
          <cell r="AA587">
            <v>0</v>
          </cell>
          <cell r="AC587">
            <v>0</v>
          </cell>
          <cell r="AD587">
            <v>0</v>
          </cell>
        </row>
        <row r="588">
          <cell r="B588">
            <v>15312</v>
          </cell>
          <cell r="C588" t="str">
            <v>INTERIM EDUCESS - PLA A/C</v>
          </cell>
          <cell r="D588">
            <v>0</v>
          </cell>
          <cell r="E588">
            <v>0</v>
          </cell>
          <cell r="F588">
            <v>0</v>
          </cell>
          <cell r="G588">
            <v>0</v>
          </cell>
          <cell r="H588">
            <v>0</v>
          </cell>
          <cell r="I588">
            <v>0</v>
          </cell>
          <cell r="J588">
            <v>0</v>
          </cell>
          <cell r="K588">
            <v>0</v>
          </cell>
          <cell r="L588">
            <v>0</v>
          </cell>
          <cell r="M588">
            <v>0</v>
          </cell>
          <cell r="N588">
            <v>0</v>
          </cell>
          <cell r="O588">
            <v>-6110101.75</v>
          </cell>
          <cell r="P588">
            <v>0</v>
          </cell>
          <cell r="Q588">
            <v>-6110101.75</v>
          </cell>
          <cell r="S588">
            <v>-6110101.75</v>
          </cell>
          <cell r="T588">
            <v>0</v>
          </cell>
          <cell r="U588">
            <v>-1470778.38</v>
          </cell>
          <cell r="V588">
            <v>0</v>
          </cell>
          <cell r="W588">
            <v>-4639323.37</v>
          </cell>
          <cell r="X588">
            <v>0</v>
          </cell>
          <cell r="Y588">
            <v>-6110101.75</v>
          </cell>
          <cell r="Z588">
            <v>0</v>
          </cell>
          <cell r="AA588">
            <v>-6110101.75</v>
          </cell>
          <cell r="AC588">
            <v>15312</v>
          </cell>
          <cell r="AD588">
            <v>0</v>
          </cell>
        </row>
        <row r="589">
          <cell r="S589">
            <v>0</v>
          </cell>
          <cell r="T589">
            <v>0</v>
          </cell>
          <cell r="U589">
            <v>0</v>
          </cell>
          <cell r="V589">
            <v>0</v>
          </cell>
          <cell r="W589">
            <v>0</v>
          </cell>
          <cell r="X589">
            <v>0</v>
          </cell>
          <cell r="Y589">
            <v>0</v>
          </cell>
          <cell r="Z589">
            <v>0</v>
          </cell>
          <cell r="AA589">
            <v>0</v>
          </cell>
          <cell r="AC589">
            <v>0</v>
          </cell>
          <cell r="AD589">
            <v>0</v>
          </cell>
        </row>
        <row r="590">
          <cell r="B590">
            <v>15314</v>
          </cell>
          <cell r="C590" t="str">
            <v>EDUCATION CESS - PLA A/C</v>
          </cell>
          <cell r="D590">
            <v>600000</v>
          </cell>
          <cell r="E590">
            <v>0</v>
          </cell>
          <cell r="F590">
            <v>0</v>
          </cell>
          <cell r="G590">
            <v>0</v>
          </cell>
          <cell r="H590">
            <v>0</v>
          </cell>
          <cell r="I590">
            <v>0</v>
          </cell>
          <cell r="J590">
            <v>0</v>
          </cell>
          <cell r="K590">
            <v>0</v>
          </cell>
          <cell r="L590">
            <v>1700000</v>
          </cell>
          <cell r="M590">
            <v>0</v>
          </cell>
          <cell r="N590">
            <v>0</v>
          </cell>
          <cell r="O590">
            <v>0</v>
          </cell>
          <cell r="P590">
            <v>600000</v>
          </cell>
          <cell r="Q590">
            <v>0</v>
          </cell>
          <cell r="S590">
            <v>2300000</v>
          </cell>
          <cell r="T590">
            <v>0</v>
          </cell>
          <cell r="U590">
            <v>2300000</v>
          </cell>
          <cell r="V590">
            <v>0</v>
          </cell>
          <cell r="W590">
            <v>0</v>
          </cell>
          <cell r="X590">
            <v>0</v>
          </cell>
          <cell r="Y590">
            <v>2300000</v>
          </cell>
          <cell r="Z590">
            <v>0</v>
          </cell>
          <cell r="AA590">
            <v>2300000</v>
          </cell>
          <cell r="AC590">
            <v>15314</v>
          </cell>
          <cell r="AD590">
            <v>0</v>
          </cell>
        </row>
        <row r="591">
          <cell r="S591">
            <v>0</v>
          </cell>
          <cell r="T591">
            <v>0</v>
          </cell>
          <cell r="U591">
            <v>0</v>
          </cell>
          <cell r="V591">
            <v>0</v>
          </cell>
          <cell r="W591">
            <v>0</v>
          </cell>
          <cell r="X591">
            <v>0</v>
          </cell>
          <cell r="Y591">
            <v>0</v>
          </cell>
          <cell r="Z591">
            <v>0</v>
          </cell>
          <cell r="AA591">
            <v>0</v>
          </cell>
          <cell r="AC591">
            <v>0</v>
          </cell>
          <cell r="AD591">
            <v>0</v>
          </cell>
        </row>
        <row r="592">
          <cell r="B592">
            <v>15315</v>
          </cell>
          <cell r="C592" t="str">
            <v>HIGHER EDUCATION CESS - PLA A/C</v>
          </cell>
          <cell r="D592">
            <v>300000</v>
          </cell>
          <cell r="E592">
            <v>0</v>
          </cell>
          <cell r="F592">
            <v>0</v>
          </cell>
          <cell r="G592">
            <v>0</v>
          </cell>
          <cell r="H592">
            <v>0</v>
          </cell>
          <cell r="I592">
            <v>0</v>
          </cell>
          <cell r="J592">
            <v>0</v>
          </cell>
          <cell r="K592">
            <v>0</v>
          </cell>
          <cell r="L592">
            <v>925000</v>
          </cell>
          <cell r="M592">
            <v>0</v>
          </cell>
          <cell r="N592">
            <v>0</v>
          </cell>
          <cell r="O592">
            <v>0</v>
          </cell>
          <cell r="P592">
            <v>300000</v>
          </cell>
          <cell r="Q592">
            <v>0</v>
          </cell>
          <cell r="S592">
            <v>1225000</v>
          </cell>
          <cell r="T592">
            <v>0</v>
          </cell>
          <cell r="U592">
            <v>1225000</v>
          </cell>
          <cell r="V592">
            <v>0</v>
          </cell>
          <cell r="W592">
            <v>0</v>
          </cell>
          <cell r="X592">
            <v>0</v>
          </cell>
          <cell r="Y592">
            <v>1225000</v>
          </cell>
          <cell r="Z592">
            <v>0</v>
          </cell>
          <cell r="AA592">
            <v>1225000</v>
          </cell>
          <cell r="AC592">
            <v>15315</v>
          </cell>
          <cell r="AD592">
            <v>0</v>
          </cell>
        </row>
        <row r="593">
          <cell r="S593">
            <v>0</v>
          </cell>
          <cell r="T593">
            <v>0</v>
          </cell>
          <cell r="U593">
            <v>0</v>
          </cell>
          <cell r="V593">
            <v>0</v>
          </cell>
          <cell r="W593">
            <v>0</v>
          </cell>
          <cell r="X593">
            <v>0</v>
          </cell>
          <cell r="Y593">
            <v>0</v>
          </cell>
          <cell r="Z593">
            <v>0</v>
          </cell>
          <cell r="AA593">
            <v>0</v>
          </cell>
          <cell r="AC593">
            <v>0</v>
          </cell>
          <cell r="AD593">
            <v>0</v>
          </cell>
        </row>
        <row r="594">
          <cell r="E594" t="str">
            <v>SDCT</v>
          </cell>
          <cell r="F594" t="str">
            <v>PCDT</v>
          </cell>
          <cell r="G594" t="str">
            <v>PCDC</v>
          </cell>
          <cell r="I594" t="str">
            <v>PCDN</v>
          </cell>
          <cell r="K594" t="str">
            <v>CORP</v>
          </cell>
          <cell r="M594" t="str">
            <v>OTHER</v>
          </cell>
          <cell r="O594" t="str">
            <v>TOTAL</v>
          </cell>
          <cell r="U594">
            <v>0</v>
          </cell>
          <cell r="V594">
            <v>0</v>
          </cell>
          <cell r="W594">
            <v>0</v>
          </cell>
          <cell r="X594">
            <v>0</v>
          </cell>
          <cell r="Y594">
            <v>0</v>
          </cell>
          <cell r="Z594">
            <v>0</v>
          </cell>
          <cell r="AA594">
            <v>0</v>
          </cell>
          <cell r="AC594">
            <v>0</v>
          </cell>
          <cell r="AD594">
            <v>0</v>
          </cell>
        </row>
        <row r="595">
          <cell r="B595" t="str">
            <v>GL CODE</v>
          </cell>
          <cell r="C595" t="str">
            <v>ACCOUNT HEAD</v>
          </cell>
          <cell r="S595">
            <v>0</v>
          </cell>
          <cell r="T595">
            <v>0</v>
          </cell>
          <cell r="U595" t="str">
            <v>SDCT</v>
          </cell>
          <cell r="V595" t="str">
            <v>PCDT</v>
          </cell>
          <cell r="AA595">
            <v>0</v>
          </cell>
          <cell r="AC595">
            <v>0</v>
          </cell>
          <cell r="AD595" t="e">
            <v>#VALUE!</v>
          </cell>
        </row>
        <row r="596">
          <cell r="S596">
            <v>0</v>
          </cell>
          <cell r="T596">
            <v>0</v>
          </cell>
          <cell r="U596">
            <v>0</v>
          </cell>
          <cell r="V596">
            <v>0</v>
          </cell>
          <cell r="W596">
            <v>0</v>
          </cell>
          <cell r="X596">
            <v>0</v>
          </cell>
          <cell r="Y596">
            <v>0</v>
          </cell>
          <cell r="Z596">
            <v>0</v>
          </cell>
          <cell r="AA596">
            <v>0</v>
          </cell>
          <cell r="AC596">
            <v>0</v>
          </cell>
          <cell r="AD596">
            <v>0</v>
          </cell>
        </row>
        <row r="597">
          <cell r="D597" t="str">
            <v>DR.</v>
          </cell>
          <cell r="E597" t="str">
            <v>CR.</v>
          </cell>
          <cell r="F597" t="str">
            <v>DR.</v>
          </cell>
          <cell r="G597" t="str">
            <v>CR.</v>
          </cell>
          <cell r="H597" t="str">
            <v>DR.</v>
          </cell>
          <cell r="I597" t="str">
            <v>CR.</v>
          </cell>
          <cell r="J597" t="str">
            <v>DR.</v>
          </cell>
          <cell r="K597" t="str">
            <v>CR.</v>
          </cell>
          <cell r="L597" t="str">
            <v>DR.</v>
          </cell>
          <cell r="M597" t="str">
            <v>CR.</v>
          </cell>
          <cell r="N597" t="str">
            <v>DR.</v>
          </cell>
          <cell r="O597" t="str">
            <v>CR.</v>
          </cell>
          <cell r="P597" t="str">
            <v>DR.</v>
          </cell>
          <cell r="Q597" t="str">
            <v>CR.</v>
          </cell>
          <cell r="U597">
            <v>0</v>
          </cell>
          <cell r="V597">
            <v>0</v>
          </cell>
          <cell r="W597">
            <v>0</v>
          </cell>
          <cell r="X597">
            <v>0</v>
          </cell>
          <cell r="Y597">
            <v>0</v>
          </cell>
          <cell r="Z597">
            <v>0</v>
          </cell>
          <cell r="AA597">
            <v>0</v>
          </cell>
          <cell r="AC597">
            <v>0</v>
          </cell>
          <cell r="AD597">
            <v>0</v>
          </cell>
        </row>
        <row r="598">
          <cell r="S598">
            <v>0</v>
          </cell>
          <cell r="T598">
            <v>0</v>
          </cell>
          <cell r="U598">
            <v>0</v>
          </cell>
          <cell r="V598">
            <v>0</v>
          </cell>
          <cell r="W598">
            <v>0</v>
          </cell>
          <cell r="X598">
            <v>0</v>
          </cell>
          <cell r="Y598">
            <v>0</v>
          </cell>
          <cell r="Z598">
            <v>0</v>
          </cell>
          <cell r="AA598">
            <v>0</v>
          </cell>
          <cell r="AC598">
            <v>0</v>
          </cell>
          <cell r="AD598">
            <v>0</v>
          </cell>
        </row>
        <row r="599">
          <cell r="S599">
            <v>0</v>
          </cell>
          <cell r="T599">
            <v>0</v>
          </cell>
          <cell r="U599">
            <v>0</v>
          </cell>
          <cell r="V599">
            <v>0</v>
          </cell>
          <cell r="W599">
            <v>0</v>
          </cell>
          <cell r="X599">
            <v>0</v>
          </cell>
          <cell r="Y599">
            <v>0</v>
          </cell>
          <cell r="Z599">
            <v>0</v>
          </cell>
          <cell r="AA599">
            <v>0</v>
          </cell>
          <cell r="AC599">
            <v>0</v>
          </cell>
          <cell r="AD599">
            <v>0</v>
          </cell>
        </row>
        <row r="600">
          <cell r="B600">
            <v>15323</v>
          </cell>
          <cell r="C600" t="str">
            <v>BASIC EXCISE DUTY RECOVERABLE - RG 23 A</v>
          </cell>
          <cell r="D600">
            <v>2435722418.46</v>
          </cell>
          <cell r="E600">
            <v>-2432067791.3899999</v>
          </cell>
          <cell r="F600">
            <v>683050869.37</v>
          </cell>
          <cell r="G600">
            <v>-631182711.47000003</v>
          </cell>
          <cell r="H600">
            <v>144220.1</v>
          </cell>
          <cell r="I600">
            <v>-142845.28</v>
          </cell>
          <cell r="J600">
            <v>0</v>
          </cell>
          <cell r="K600">
            <v>0</v>
          </cell>
          <cell r="L600">
            <v>0</v>
          </cell>
          <cell r="M600">
            <v>0</v>
          </cell>
          <cell r="N600">
            <v>20456068.760000002</v>
          </cell>
          <cell r="O600">
            <v>-20456068.760000002</v>
          </cell>
          <cell r="P600">
            <v>3139373576.6900001</v>
          </cell>
          <cell r="Q600">
            <v>-3083849416.9000001</v>
          </cell>
          <cell r="S600">
            <v>3654627.0700001717</v>
          </cell>
          <cell r="T600">
            <v>51869532.719999976</v>
          </cell>
          <cell r="U600">
            <v>86671268.620000005</v>
          </cell>
          <cell r="V600">
            <v>47902248.990000002</v>
          </cell>
          <cell r="W600">
            <v>-83016641.549999833</v>
          </cell>
          <cell r="X600">
            <v>3967283.7299999744</v>
          </cell>
          <cell r="Y600">
            <v>3654627.0700001717</v>
          </cell>
          <cell r="Z600">
            <v>51869532.719999976</v>
          </cell>
          <cell r="AA600">
            <v>55524159.790000148</v>
          </cell>
          <cell r="AC600">
            <v>15323</v>
          </cell>
          <cell r="AD600">
            <v>0</v>
          </cell>
        </row>
        <row r="601">
          <cell r="S601">
            <v>0</v>
          </cell>
          <cell r="T601">
            <v>0</v>
          </cell>
          <cell r="U601">
            <v>0</v>
          </cell>
          <cell r="V601">
            <v>0</v>
          </cell>
          <cell r="W601">
            <v>0</v>
          </cell>
          <cell r="X601">
            <v>0</v>
          </cell>
          <cell r="Y601">
            <v>0</v>
          </cell>
          <cell r="Z601">
            <v>0</v>
          </cell>
          <cell r="AA601">
            <v>0</v>
          </cell>
          <cell r="AC601">
            <v>0</v>
          </cell>
          <cell r="AD601">
            <v>0</v>
          </cell>
        </row>
        <row r="602">
          <cell r="B602">
            <v>15324</v>
          </cell>
          <cell r="C602" t="str">
            <v>EDUCATION CESS - RG 23 A</v>
          </cell>
          <cell r="D602">
            <v>4300520.6399999997</v>
          </cell>
          <cell r="E602">
            <v>-3490949.6</v>
          </cell>
          <cell r="F602">
            <v>2890560.28</v>
          </cell>
          <cell r="G602">
            <v>-4188295.98</v>
          </cell>
          <cell r="H602">
            <v>880.91</v>
          </cell>
          <cell r="I602">
            <v>-880.92</v>
          </cell>
          <cell r="J602">
            <v>0</v>
          </cell>
          <cell r="K602">
            <v>0</v>
          </cell>
          <cell r="L602">
            <v>0</v>
          </cell>
          <cell r="M602">
            <v>0</v>
          </cell>
          <cell r="N602">
            <v>283521.74</v>
          </cell>
          <cell r="O602">
            <v>-283521.74</v>
          </cell>
          <cell r="P602">
            <v>7475483.5700000003</v>
          </cell>
          <cell r="Q602">
            <v>-7963648.2400000002</v>
          </cell>
          <cell r="S602">
            <v>809571.03999999957</v>
          </cell>
          <cell r="T602">
            <v>-1297735.7100000002</v>
          </cell>
          <cell r="U602">
            <v>2530956.6800000002</v>
          </cell>
          <cell r="V602">
            <v>-3344235.94</v>
          </cell>
          <cell r="W602">
            <v>-1721385.6400000006</v>
          </cell>
          <cell r="X602">
            <v>2046500.2299999997</v>
          </cell>
          <cell r="Y602">
            <v>809571.03999999957</v>
          </cell>
          <cell r="Z602">
            <v>-1297735.7100000002</v>
          </cell>
          <cell r="AA602">
            <v>-488164.67000000062</v>
          </cell>
          <cell r="AC602">
            <v>15324</v>
          </cell>
          <cell r="AD602">
            <v>0</v>
          </cell>
        </row>
        <row r="603">
          <cell r="S603">
            <v>0</v>
          </cell>
          <cell r="T603">
            <v>0</v>
          </cell>
          <cell r="U603">
            <v>0</v>
          </cell>
          <cell r="V603">
            <v>0</v>
          </cell>
          <cell r="W603">
            <v>0</v>
          </cell>
          <cell r="X603">
            <v>0</v>
          </cell>
          <cell r="Y603">
            <v>0</v>
          </cell>
          <cell r="Z603">
            <v>0</v>
          </cell>
          <cell r="AA603">
            <v>0</v>
          </cell>
          <cell r="AC603">
            <v>0</v>
          </cell>
          <cell r="AD603">
            <v>0</v>
          </cell>
        </row>
        <row r="604">
          <cell r="B604">
            <v>15325</v>
          </cell>
          <cell r="C604" t="str">
            <v>HIGHER EDUCATION CESS - RG 23 A</v>
          </cell>
          <cell r="D604">
            <v>1756361.06</v>
          </cell>
          <cell r="E604">
            <v>-1759550.81</v>
          </cell>
          <cell r="F604">
            <v>548441.02</v>
          </cell>
          <cell r="G604">
            <v>-462427.78</v>
          </cell>
          <cell r="H604">
            <v>492.08</v>
          </cell>
          <cell r="I604">
            <v>-492.08</v>
          </cell>
          <cell r="J604">
            <v>0</v>
          </cell>
          <cell r="K604">
            <v>0</v>
          </cell>
          <cell r="L604">
            <v>0</v>
          </cell>
          <cell r="M604">
            <v>0</v>
          </cell>
          <cell r="N604">
            <v>141761.42000000001</v>
          </cell>
          <cell r="O604">
            <v>-141761.42000000001</v>
          </cell>
          <cell r="P604">
            <v>2447055.58</v>
          </cell>
          <cell r="Q604">
            <v>-2364232.09</v>
          </cell>
          <cell r="S604">
            <v>-3189.75</v>
          </cell>
          <cell r="T604">
            <v>86013.239999999991</v>
          </cell>
          <cell r="U604">
            <v>857503.96</v>
          </cell>
          <cell r="V604">
            <v>-32293.53</v>
          </cell>
          <cell r="W604">
            <v>-860693.71</v>
          </cell>
          <cell r="X604">
            <v>118306.76999999999</v>
          </cell>
          <cell r="Y604">
            <v>-3189.75</v>
          </cell>
          <cell r="Z604">
            <v>86013.239999999991</v>
          </cell>
          <cell r="AA604">
            <v>82823.489999999991</v>
          </cell>
          <cell r="AC604">
            <v>15325</v>
          </cell>
          <cell r="AD604">
            <v>0</v>
          </cell>
        </row>
        <row r="605">
          <cell r="S605">
            <v>0</v>
          </cell>
          <cell r="T605">
            <v>0</v>
          </cell>
          <cell r="U605">
            <v>0</v>
          </cell>
          <cell r="V605">
            <v>0</v>
          </cell>
          <cell r="W605">
            <v>0</v>
          </cell>
          <cell r="X605">
            <v>0</v>
          </cell>
          <cell r="Y605">
            <v>0</v>
          </cell>
          <cell r="Z605">
            <v>0</v>
          </cell>
          <cell r="AA605">
            <v>0</v>
          </cell>
          <cell r="AC605">
            <v>0</v>
          </cell>
          <cell r="AD605">
            <v>0</v>
          </cell>
        </row>
        <row r="606">
          <cell r="B606">
            <v>15332</v>
          </cell>
          <cell r="C606" t="str">
            <v>BASIC EXCISE DUTY RECOVERABLE - RG 23 C</v>
          </cell>
          <cell r="D606">
            <v>165948671.18000001</v>
          </cell>
          <cell r="E606">
            <v>-158068316.18000001</v>
          </cell>
          <cell r="F606">
            <v>19778010.239999998</v>
          </cell>
          <cell r="G606">
            <v>-1601736.54</v>
          </cell>
          <cell r="H606">
            <v>0</v>
          </cell>
          <cell r="I606">
            <v>0</v>
          </cell>
          <cell r="J606">
            <v>0</v>
          </cell>
          <cell r="K606">
            <v>0</v>
          </cell>
          <cell r="L606">
            <v>0</v>
          </cell>
          <cell r="M606">
            <v>0</v>
          </cell>
          <cell r="N606">
            <v>0</v>
          </cell>
          <cell r="O606">
            <v>0</v>
          </cell>
          <cell r="P606">
            <v>185726681.41999999</v>
          </cell>
          <cell r="Q606">
            <v>-159670052.72</v>
          </cell>
          <cell r="S606">
            <v>7880355</v>
          </cell>
          <cell r="T606">
            <v>18176273.699999999</v>
          </cell>
          <cell r="U606">
            <v>6786843.1399999997</v>
          </cell>
          <cell r="V606">
            <v>18176622.710000001</v>
          </cell>
          <cell r="W606">
            <v>1093511.8600000003</v>
          </cell>
          <cell r="X606">
            <v>-349.01000000163913</v>
          </cell>
          <cell r="Y606">
            <v>7880355</v>
          </cell>
          <cell r="Z606">
            <v>18176273.699999999</v>
          </cell>
          <cell r="AA606">
            <v>26056628.699999999</v>
          </cell>
          <cell r="AC606">
            <v>15332</v>
          </cell>
          <cell r="AD606">
            <v>0</v>
          </cell>
        </row>
        <row r="607">
          <cell r="S607">
            <v>0</v>
          </cell>
          <cell r="T607">
            <v>0</v>
          </cell>
          <cell r="U607">
            <v>0</v>
          </cell>
          <cell r="V607">
            <v>0</v>
          </cell>
          <cell r="W607">
            <v>0</v>
          </cell>
          <cell r="X607">
            <v>0</v>
          </cell>
          <cell r="Y607">
            <v>0</v>
          </cell>
          <cell r="Z607">
            <v>0</v>
          </cell>
          <cell r="AA607">
            <v>0</v>
          </cell>
          <cell r="AC607">
            <v>0</v>
          </cell>
          <cell r="AD607">
            <v>0</v>
          </cell>
        </row>
        <row r="608">
          <cell r="B608">
            <v>15333</v>
          </cell>
          <cell r="C608" t="str">
            <v>EDUCATION CESS - RG 23 C</v>
          </cell>
          <cell r="D608">
            <v>880463.1</v>
          </cell>
          <cell r="E608">
            <v>-857456.23</v>
          </cell>
          <cell r="F608">
            <v>30708.31</v>
          </cell>
          <cell r="G608">
            <v>-28780.61</v>
          </cell>
          <cell r="H608">
            <v>0</v>
          </cell>
          <cell r="I608">
            <v>0</v>
          </cell>
          <cell r="J608">
            <v>0</v>
          </cell>
          <cell r="K608">
            <v>0</v>
          </cell>
          <cell r="L608">
            <v>0</v>
          </cell>
          <cell r="M608">
            <v>0</v>
          </cell>
          <cell r="N608">
            <v>0</v>
          </cell>
          <cell r="O608">
            <v>0</v>
          </cell>
          <cell r="P608">
            <v>911171.41</v>
          </cell>
          <cell r="Q608">
            <v>-886236.84</v>
          </cell>
          <cell r="S608">
            <v>23006.869999999995</v>
          </cell>
          <cell r="T608">
            <v>1927.7000000000007</v>
          </cell>
          <cell r="U608">
            <v>4400.55</v>
          </cell>
          <cell r="V608">
            <v>1927.7</v>
          </cell>
          <cell r="W608">
            <v>18606.319999999996</v>
          </cell>
          <cell r="X608">
            <v>0</v>
          </cell>
          <cell r="Y608">
            <v>23006.869999999995</v>
          </cell>
          <cell r="Z608">
            <v>1927.7</v>
          </cell>
          <cell r="AA608">
            <v>24934.569999999996</v>
          </cell>
          <cell r="AC608">
            <v>15333</v>
          </cell>
          <cell r="AD608">
            <v>0</v>
          </cell>
        </row>
        <row r="609">
          <cell r="S609">
            <v>0</v>
          </cell>
          <cell r="T609">
            <v>0</v>
          </cell>
          <cell r="U609">
            <v>0</v>
          </cell>
          <cell r="V609">
            <v>0</v>
          </cell>
          <cell r="W609">
            <v>0</v>
          </cell>
          <cell r="X609">
            <v>0</v>
          </cell>
          <cell r="Y609">
            <v>0</v>
          </cell>
          <cell r="Z609">
            <v>0</v>
          </cell>
          <cell r="AA609">
            <v>0</v>
          </cell>
          <cell r="AC609">
            <v>0</v>
          </cell>
          <cell r="AD609">
            <v>0</v>
          </cell>
        </row>
        <row r="610">
          <cell r="B610">
            <v>15334</v>
          </cell>
          <cell r="C610" t="str">
            <v>HIGHER EDUCATION CESS - RG 23 C</v>
          </cell>
          <cell r="D610">
            <v>132027.34</v>
          </cell>
          <cell r="E610">
            <v>-120063.93</v>
          </cell>
          <cell r="F610">
            <v>14937.8</v>
          </cell>
          <cell r="G610">
            <v>-14000.27</v>
          </cell>
          <cell r="H610">
            <v>0</v>
          </cell>
          <cell r="I610">
            <v>0</v>
          </cell>
          <cell r="J610">
            <v>0</v>
          </cell>
          <cell r="K610">
            <v>0</v>
          </cell>
          <cell r="L610">
            <v>0</v>
          </cell>
          <cell r="M610">
            <v>0</v>
          </cell>
          <cell r="N610">
            <v>0</v>
          </cell>
          <cell r="O610">
            <v>0</v>
          </cell>
          <cell r="P610">
            <v>146965.14000000001</v>
          </cell>
          <cell r="Q610">
            <v>-134064.20000000001</v>
          </cell>
          <cell r="S610">
            <v>11963.410000000003</v>
          </cell>
          <cell r="T610">
            <v>937.52999999999884</v>
          </cell>
          <cell r="U610">
            <v>2224.4899999999998</v>
          </cell>
          <cell r="V610">
            <v>937.53</v>
          </cell>
          <cell r="W610">
            <v>9738.9200000000037</v>
          </cell>
          <cell r="X610">
            <v>-1.1368683772161603E-12</v>
          </cell>
          <cell r="Y610">
            <v>11963.410000000003</v>
          </cell>
          <cell r="Z610">
            <v>937.52999999999884</v>
          </cell>
          <cell r="AA610">
            <v>12900.940000000002</v>
          </cell>
          <cell r="AC610">
            <v>15334</v>
          </cell>
          <cell r="AD610">
            <v>0</v>
          </cell>
        </row>
        <row r="611">
          <cell r="S611">
            <v>0</v>
          </cell>
          <cell r="T611">
            <v>0</v>
          </cell>
          <cell r="U611">
            <v>0</v>
          </cell>
          <cell r="V611">
            <v>0</v>
          </cell>
          <cell r="W611">
            <v>0</v>
          </cell>
          <cell r="X611">
            <v>0</v>
          </cell>
          <cell r="Y611">
            <v>0</v>
          </cell>
          <cell r="Z611">
            <v>0</v>
          </cell>
          <cell r="AA611">
            <v>0</v>
          </cell>
          <cell r="AC611">
            <v>0</v>
          </cell>
          <cell r="AD611">
            <v>0</v>
          </cell>
        </row>
        <row r="612">
          <cell r="B612">
            <v>15339</v>
          </cell>
          <cell r="C612" t="str">
            <v>RG 23 D CENVAT CREDIT TRANSFER ACCOUNT</v>
          </cell>
          <cell r="D612">
            <v>0</v>
          </cell>
          <cell r="E612">
            <v>0</v>
          </cell>
          <cell r="F612">
            <v>33671</v>
          </cell>
          <cell r="G612">
            <v>-8384150</v>
          </cell>
          <cell r="H612">
            <v>0</v>
          </cell>
          <cell r="I612">
            <v>0</v>
          </cell>
          <cell r="J612">
            <v>0</v>
          </cell>
          <cell r="K612">
            <v>-4017</v>
          </cell>
          <cell r="L612">
            <v>0</v>
          </cell>
          <cell r="M612">
            <v>0</v>
          </cell>
          <cell r="N612">
            <v>0</v>
          </cell>
          <cell r="O612">
            <v>0</v>
          </cell>
          <cell r="P612">
            <v>33671</v>
          </cell>
          <cell r="Q612">
            <v>-8388167</v>
          </cell>
          <cell r="S612">
            <v>0</v>
          </cell>
          <cell r="T612">
            <v>-8354496</v>
          </cell>
          <cell r="U612">
            <v>0</v>
          </cell>
          <cell r="V612">
            <v>-5130234</v>
          </cell>
          <cell r="W612">
            <v>0</v>
          </cell>
          <cell r="X612">
            <v>-3224262</v>
          </cell>
          <cell r="Y612">
            <v>0</v>
          </cell>
          <cell r="Z612">
            <v>-8354496</v>
          </cell>
          <cell r="AA612">
            <v>-8354496</v>
          </cell>
          <cell r="AC612">
            <v>15339</v>
          </cell>
          <cell r="AD612">
            <v>0</v>
          </cell>
        </row>
        <row r="613">
          <cell r="S613">
            <v>0</v>
          </cell>
          <cell r="T613">
            <v>0</v>
          </cell>
          <cell r="U613">
            <v>0</v>
          </cell>
          <cell r="V613">
            <v>0</v>
          </cell>
          <cell r="W613">
            <v>0</v>
          </cell>
          <cell r="X613">
            <v>0</v>
          </cell>
          <cell r="Y613">
            <v>0</v>
          </cell>
          <cell r="Z613">
            <v>0</v>
          </cell>
          <cell r="AA613">
            <v>0</v>
          </cell>
          <cell r="AC613">
            <v>0</v>
          </cell>
          <cell r="AD613">
            <v>0</v>
          </cell>
        </row>
        <row r="614">
          <cell r="B614">
            <v>15340</v>
          </cell>
          <cell r="C614" t="str">
            <v>RG23D CENVAT CREDIT ACCOUNT</v>
          </cell>
          <cell r="D614">
            <v>734643.7</v>
          </cell>
          <cell r="E614">
            <v>-734643.7</v>
          </cell>
          <cell r="F614">
            <v>8289645.9400000004</v>
          </cell>
          <cell r="G614">
            <v>0</v>
          </cell>
          <cell r="H614">
            <v>0</v>
          </cell>
          <cell r="I614">
            <v>0</v>
          </cell>
          <cell r="J614">
            <v>0</v>
          </cell>
          <cell r="K614">
            <v>0</v>
          </cell>
          <cell r="L614">
            <v>0</v>
          </cell>
          <cell r="M614">
            <v>0</v>
          </cell>
          <cell r="N614">
            <v>0</v>
          </cell>
          <cell r="O614">
            <v>0</v>
          </cell>
          <cell r="P614">
            <v>9024289.6400000006</v>
          </cell>
          <cell r="Q614">
            <v>-734643.7</v>
          </cell>
          <cell r="S614">
            <v>0</v>
          </cell>
          <cell r="T614">
            <v>8289645.9400000004</v>
          </cell>
          <cell r="U614">
            <v>0</v>
          </cell>
          <cell r="V614">
            <v>5356508.9400000004</v>
          </cell>
          <cell r="W614">
            <v>0</v>
          </cell>
          <cell r="X614">
            <v>2933137</v>
          </cell>
          <cell r="Y614">
            <v>0</v>
          </cell>
          <cell r="Z614">
            <v>8289645.9400000004</v>
          </cell>
          <cell r="AA614">
            <v>8289645.9400000004</v>
          </cell>
          <cell r="AC614">
            <v>15340</v>
          </cell>
          <cell r="AD614">
            <v>0</v>
          </cell>
        </row>
        <row r="615">
          <cell r="S615">
            <v>0</v>
          </cell>
          <cell r="T615">
            <v>0</v>
          </cell>
          <cell r="U615">
            <v>0</v>
          </cell>
          <cell r="V615">
            <v>0</v>
          </cell>
          <cell r="W615">
            <v>0</v>
          </cell>
          <cell r="X615">
            <v>0</v>
          </cell>
          <cell r="Y615">
            <v>0</v>
          </cell>
          <cell r="Z615">
            <v>0</v>
          </cell>
          <cell r="AA615">
            <v>0</v>
          </cell>
          <cell r="AC615">
            <v>0</v>
          </cell>
          <cell r="AD615">
            <v>0</v>
          </cell>
        </row>
        <row r="616">
          <cell r="B616">
            <v>15344</v>
          </cell>
          <cell r="C616" t="str">
            <v>SERVICE TAX (RECEIVABLE)</v>
          </cell>
          <cell r="D616">
            <v>12831835.470000001</v>
          </cell>
          <cell r="E616">
            <v>-15806752.789999999</v>
          </cell>
          <cell r="F616">
            <v>45649552.560000002</v>
          </cell>
          <cell r="G616">
            <v>-15847279.52</v>
          </cell>
          <cell r="H616">
            <v>10020.08</v>
          </cell>
          <cell r="I616">
            <v>0</v>
          </cell>
          <cell r="J616">
            <v>0</v>
          </cell>
          <cell r="K616">
            <v>0</v>
          </cell>
          <cell r="L616">
            <v>2528053.69</v>
          </cell>
          <cell r="M616">
            <v>-22465.99</v>
          </cell>
          <cell r="N616">
            <v>0</v>
          </cell>
          <cell r="O616">
            <v>0</v>
          </cell>
          <cell r="P616">
            <v>58491408.109999999</v>
          </cell>
          <cell r="Q616">
            <v>-31654032.309999999</v>
          </cell>
          <cell r="S616">
            <v>-469329.61999999848</v>
          </cell>
          <cell r="T616">
            <v>29812293.120000001</v>
          </cell>
          <cell r="U616">
            <v>-4442713.3499999996</v>
          </cell>
          <cell r="V616">
            <v>22284397.309999999</v>
          </cell>
          <cell r="W616">
            <v>3973383.7300000014</v>
          </cell>
          <cell r="X616">
            <v>7527895.8100000024</v>
          </cell>
          <cell r="Y616">
            <v>-469329.61999999825</v>
          </cell>
          <cell r="Z616">
            <v>29812293.120000001</v>
          </cell>
          <cell r="AA616">
            <v>29342963.500000004</v>
          </cell>
          <cell r="AC616">
            <v>15344</v>
          </cell>
          <cell r="AD616">
            <v>0</v>
          </cell>
        </row>
        <row r="617">
          <cell r="S617">
            <v>0</v>
          </cell>
          <cell r="T617">
            <v>0</v>
          </cell>
          <cell r="U617">
            <v>0</v>
          </cell>
          <cell r="V617">
            <v>0</v>
          </cell>
          <cell r="W617">
            <v>0</v>
          </cell>
          <cell r="X617">
            <v>0</v>
          </cell>
          <cell r="Y617">
            <v>0</v>
          </cell>
          <cell r="Z617">
            <v>0</v>
          </cell>
          <cell r="AA617">
            <v>0</v>
          </cell>
          <cell r="AC617">
            <v>0</v>
          </cell>
          <cell r="AD617">
            <v>0</v>
          </cell>
        </row>
        <row r="618">
          <cell r="B618">
            <v>15345</v>
          </cell>
          <cell r="C618" t="str">
            <v>EDUCATION CESS ON SERVICE TAX (RECEIVABLE)</v>
          </cell>
          <cell r="D618">
            <v>188513.14</v>
          </cell>
          <cell r="E618">
            <v>-76667.11</v>
          </cell>
          <cell r="F618">
            <v>1464780.33</v>
          </cell>
          <cell r="G618">
            <v>-453154.65</v>
          </cell>
          <cell r="H618">
            <v>702.17</v>
          </cell>
          <cell r="I618">
            <v>0</v>
          </cell>
          <cell r="J618">
            <v>0</v>
          </cell>
          <cell r="K618">
            <v>0</v>
          </cell>
          <cell r="L618">
            <v>61376.68</v>
          </cell>
          <cell r="M618">
            <v>-494.03</v>
          </cell>
          <cell r="N618">
            <v>0</v>
          </cell>
          <cell r="O618">
            <v>0</v>
          </cell>
          <cell r="P618">
            <v>1653995.64</v>
          </cell>
          <cell r="Q618">
            <v>-529821.76</v>
          </cell>
          <cell r="S618">
            <v>172728.68000000002</v>
          </cell>
          <cell r="T618">
            <v>1012327.8500000001</v>
          </cell>
          <cell r="U618">
            <v>86715.12</v>
          </cell>
          <cell r="V618">
            <v>769664.15</v>
          </cell>
          <cell r="W618">
            <v>86013.560000000027</v>
          </cell>
          <cell r="X618">
            <v>242663.70000000007</v>
          </cell>
          <cell r="Y618">
            <v>172728.68000000002</v>
          </cell>
          <cell r="Z618">
            <v>1012327.8500000001</v>
          </cell>
          <cell r="AA618">
            <v>1185056.53</v>
          </cell>
          <cell r="AC618">
            <v>15345</v>
          </cell>
          <cell r="AD618">
            <v>0</v>
          </cell>
        </row>
        <row r="619">
          <cell r="S619">
            <v>0</v>
          </cell>
          <cell r="T619">
            <v>0</v>
          </cell>
          <cell r="U619">
            <v>0</v>
          </cell>
          <cell r="V619">
            <v>0</v>
          </cell>
          <cell r="W619">
            <v>0</v>
          </cell>
          <cell r="X619">
            <v>0</v>
          </cell>
          <cell r="Y619">
            <v>0</v>
          </cell>
          <cell r="Z619">
            <v>0</v>
          </cell>
          <cell r="AA619">
            <v>0</v>
          </cell>
          <cell r="AC619">
            <v>0</v>
          </cell>
          <cell r="AD619">
            <v>0</v>
          </cell>
        </row>
        <row r="620">
          <cell r="B620">
            <v>15346</v>
          </cell>
          <cell r="C620" t="str">
            <v>HIGHER EDUCATION CESS ON SERVICE TAX (RECEIVABLE)</v>
          </cell>
          <cell r="D620">
            <v>264984.03999999998</v>
          </cell>
          <cell r="E620">
            <v>-166332.96</v>
          </cell>
          <cell r="F620">
            <v>481901.72</v>
          </cell>
          <cell r="G620">
            <v>-101334.93</v>
          </cell>
          <cell r="H620">
            <v>350.29</v>
          </cell>
          <cell r="I620">
            <v>0</v>
          </cell>
          <cell r="J620">
            <v>0</v>
          </cell>
          <cell r="K620">
            <v>0</v>
          </cell>
          <cell r="L620">
            <v>30677.81</v>
          </cell>
          <cell r="M620">
            <v>-245.98</v>
          </cell>
          <cell r="N620">
            <v>0</v>
          </cell>
          <cell r="O620">
            <v>0</v>
          </cell>
          <cell r="P620">
            <v>747236.05</v>
          </cell>
          <cell r="Q620">
            <v>-267667.89</v>
          </cell>
          <cell r="S620">
            <v>129082.90999999999</v>
          </cell>
          <cell r="T620">
            <v>380917.07999999996</v>
          </cell>
          <cell r="U620">
            <v>86110.399999999994</v>
          </cell>
          <cell r="V620">
            <v>259594.36</v>
          </cell>
          <cell r="W620">
            <v>42972.509999999995</v>
          </cell>
          <cell r="X620">
            <v>121322.71999999997</v>
          </cell>
          <cell r="Y620">
            <v>129082.90999999999</v>
          </cell>
          <cell r="Z620">
            <v>380917.07999999996</v>
          </cell>
          <cell r="AA620">
            <v>509999.98999999993</v>
          </cell>
          <cell r="AC620">
            <v>15346</v>
          </cell>
          <cell r="AD620">
            <v>0</v>
          </cell>
        </row>
        <row r="621">
          <cell r="S621">
            <v>0</v>
          </cell>
          <cell r="T621">
            <v>0</v>
          </cell>
          <cell r="U621">
            <v>0</v>
          </cell>
          <cell r="V621">
            <v>0</v>
          </cell>
          <cell r="W621">
            <v>0</v>
          </cell>
          <cell r="X621">
            <v>0</v>
          </cell>
          <cell r="Y621">
            <v>0</v>
          </cell>
          <cell r="Z621">
            <v>0</v>
          </cell>
          <cell r="AA621">
            <v>0</v>
          </cell>
          <cell r="AC621">
            <v>0</v>
          </cell>
          <cell r="AD621">
            <v>0</v>
          </cell>
        </row>
        <row r="622">
          <cell r="B622">
            <v>15347</v>
          </cell>
          <cell r="C622" t="str">
            <v>SERVICE TAX (PAYABLE)</v>
          </cell>
          <cell r="D622">
            <v>1312190.21</v>
          </cell>
          <cell r="E622">
            <v>-2496033.36</v>
          </cell>
          <cell r="F622">
            <v>75867.62</v>
          </cell>
          <cell r="G622">
            <v>-1965375.64</v>
          </cell>
          <cell r="H622">
            <v>0</v>
          </cell>
          <cell r="I622">
            <v>-3672.3</v>
          </cell>
          <cell r="J622">
            <v>0</v>
          </cell>
          <cell r="K622">
            <v>0</v>
          </cell>
          <cell r="L622">
            <v>4911.88</v>
          </cell>
          <cell r="M622">
            <v>-106799.57</v>
          </cell>
          <cell r="N622">
            <v>0</v>
          </cell>
          <cell r="O622">
            <v>0</v>
          </cell>
          <cell r="P622">
            <v>1388057.83</v>
          </cell>
          <cell r="Q622">
            <v>-4465081.3</v>
          </cell>
          <cell r="S622">
            <v>-1285730.8400000001</v>
          </cell>
          <cell r="T622">
            <v>-1893180.32</v>
          </cell>
          <cell r="U622">
            <v>-678437.73</v>
          </cell>
          <cell r="V622">
            <v>-1008219.98</v>
          </cell>
          <cell r="W622">
            <v>-607293.1100000001</v>
          </cell>
          <cell r="X622">
            <v>-884960.34000000008</v>
          </cell>
          <cell r="Y622">
            <v>-1285730.8400000001</v>
          </cell>
          <cell r="Z622">
            <v>-1893180.32</v>
          </cell>
          <cell r="AA622">
            <v>-3178911.16</v>
          </cell>
          <cell r="AC622">
            <v>15347</v>
          </cell>
          <cell r="AD622">
            <v>0</v>
          </cell>
        </row>
        <row r="623">
          <cell r="S623">
            <v>0</v>
          </cell>
          <cell r="T623">
            <v>0</v>
          </cell>
          <cell r="U623">
            <v>0</v>
          </cell>
          <cell r="V623">
            <v>0</v>
          </cell>
          <cell r="W623">
            <v>0</v>
          </cell>
          <cell r="X623">
            <v>0</v>
          </cell>
          <cell r="Y623">
            <v>0</v>
          </cell>
          <cell r="Z623">
            <v>0</v>
          </cell>
          <cell r="AA623">
            <v>0</v>
          </cell>
          <cell r="AC623">
            <v>0</v>
          </cell>
          <cell r="AD623">
            <v>0</v>
          </cell>
        </row>
        <row r="624">
          <cell r="B624">
            <v>15348</v>
          </cell>
          <cell r="C624" t="str">
            <v>EDUCATION CESS ON SERVICE TAX (PAYABLE)</v>
          </cell>
          <cell r="D624">
            <v>4061.01</v>
          </cell>
          <cell r="E624">
            <v>-11876.76</v>
          </cell>
          <cell r="F624">
            <v>1289.3</v>
          </cell>
          <cell r="G624">
            <v>-36087.46</v>
          </cell>
          <cell r="H624">
            <v>0</v>
          </cell>
          <cell r="I624">
            <v>-73.44</v>
          </cell>
          <cell r="J624">
            <v>0</v>
          </cell>
          <cell r="K624">
            <v>0</v>
          </cell>
          <cell r="L624">
            <v>236.06</v>
          </cell>
          <cell r="M624">
            <v>-2135.9899999999998</v>
          </cell>
          <cell r="N624">
            <v>0</v>
          </cell>
          <cell r="O624">
            <v>0</v>
          </cell>
          <cell r="P624">
            <v>5350.31</v>
          </cell>
          <cell r="Q624">
            <v>-48037.66</v>
          </cell>
          <cell r="S624">
            <v>-9715.68</v>
          </cell>
          <cell r="T624">
            <v>-34871.599999999999</v>
          </cell>
          <cell r="U624">
            <v>1874.43</v>
          </cell>
          <cell r="V624">
            <v>-17481.48</v>
          </cell>
          <cell r="W624">
            <v>-11590.11</v>
          </cell>
          <cell r="X624">
            <v>-17390.12</v>
          </cell>
          <cell r="Y624">
            <v>-9715.68</v>
          </cell>
          <cell r="Z624">
            <v>-34871.599999999999</v>
          </cell>
          <cell r="AA624">
            <v>-44587.28</v>
          </cell>
          <cell r="AC624">
            <v>15348</v>
          </cell>
          <cell r="AD624">
            <v>0</v>
          </cell>
        </row>
        <row r="625">
          <cell r="S625">
            <v>0</v>
          </cell>
          <cell r="T625">
            <v>0</v>
          </cell>
          <cell r="U625">
            <v>0</v>
          </cell>
          <cell r="V625">
            <v>0</v>
          </cell>
          <cell r="W625">
            <v>0</v>
          </cell>
          <cell r="X625">
            <v>0</v>
          </cell>
          <cell r="Y625">
            <v>0</v>
          </cell>
          <cell r="Z625">
            <v>0</v>
          </cell>
          <cell r="AA625">
            <v>0</v>
          </cell>
          <cell r="AC625">
            <v>0</v>
          </cell>
          <cell r="AD625">
            <v>0</v>
          </cell>
        </row>
        <row r="626">
          <cell r="B626">
            <v>15349</v>
          </cell>
          <cell r="C626" t="str">
            <v>HIGHER EDUCATION CESS ON SERVICE TAX (PAYABLE)</v>
          </cell>
          <cell r="D626">
            <v>2030.67</v>
          </cell>
          <cell r="E626">
            <v>-5922.11</v>
          </cell>
          <cell r="F626">
            <v>646.36</v>
          </cell>
          <cell r="G626">
            <v>-17845.64</v>
          </cell>
          <cell r="H626">
            <v>0</v>
          </cell>
          <cell r="I626">
            <v>-36.72</v>
          </cell>
          <cell r="J626">
            <v>0</v>
          </cell>
          <cell r="K626">
            <v>0</v>
          </cell>
          <cell r="L626">
            <v>118.06</v>
          </cell>
          <cell r="M626">
            <v>-1068</v>
          </cell>
          <cell r="N626">
            <v>0</v>
          </cell>
          <cell r="O626">
            <v>0</v>
          </cell>
          <cell r="P626">
            <v>2677.03</v>
          </cell>
          <cell r="Q626">
            <v>-23804.47</v>
          </cell>
          <cell r="S626">
            <v>-4841.3799999999992</v>
          </cell>
          <cell r="T626">
            <v>-17236</v>
          </cell>
          <cell r="U626">
            <v>937.59</v>
          </cell>
          <cell r="V626">
            <v>-8685.5400000000009</v>
          </cell>
          <cell r="W626">
            <v>-5778.9699999999993</v>
          </cell>
          <cell r="X626">
            <v>-8550.4599999999991</v>
          </cell>
          <cell r="Y626">
            <v>-4841.3799999999992</v>
          </cell>
          <cell r="Z626">
            <v>-17236</v>
          </cell>
          <cell r="AA626">
            <v>-22077.379999999997</v>
          </cell>
          <cell r="AC626">
            <v>15349</v>
          </cell>
          <cell r="AD626">
            <v>0</v>
          </cell>
        </row>
        <row r="627">
          <cell r="S627">
            <v>0</v>
          </cell>
          <cell r="T627">
            <v>0</v>
          </cell>
          <cell r="U627">
            <v>0</v>
          </cell>
          <cell r="V627">
            <v>0</v>
          </cell>
          <cell r="W627">
            <v>0</v>
          </cell>
          <cell r="X627">
            <v>0</v>
          </cell>
          <cell r="Y627">
            <v>0</v>
          </cell>
          <cell r="Z627">
            <v>0</v>
          </cell>
          <cell r="AA627">
            <v>0</v>
          </cell>
          <cell r="AC627">
            <v>0</v>
          </cell>
          <cell r="AD627">
            <v>0</v>
          </cell>
        </row>
        <row r="628">
          <cell r="B628">
            <v>15350</v>
          </cell>
          <cell r="C628" t="str">
            <v>SERVICE TAX INTERIM PAYABLE</v>
          </cell>
          <cell r="D628">
            <v>631888.32999999996</v>
          </cell>
          <cell r="E628">
            <v>-503506.98</v>
          </cell>
          <cell r="F628">
            <v>1864812.48</v>
          </cell>
          <cell r="G628">
            <v>-1874713.12</v>
          </cell>
          <cell r="H628">
            <v>3782.46</v>
          </cell>
          <cell r="I628">
            <v>0</v>
          </cell>
          <cell r="J628">
            <v>0</v>
          </cell>
          <cell r="K628">
            <v>0</v>
          </cell>
          <cell r="L628">
            <v>110070.56</v>
          </cell>
          <cell r="M628">
            <v>-1105989.29</v>
          </cell>
          <cell r="N628">
            <v>0</v>
          </cell>
          <cell r="O628">
            <v>0</v>
          </cell>
          <cell r="P628">
            <v>2500483.27</v>
          </cell>
          <cell r="Q628">
            <v>-2378220.1</v>
          </cell>
          <cell r="S628">
            <v>-867537.38000000012</v>
          </cell>
          <cell r="T628">
            <v>-6118.1800000001303</v>
          </cell>
          <cell r="U628">
            <v>-1329716.05</v>
          </cell>
          <cell r="V628">
            <v>-164576.51</v>
          </cell>
          <cell r="W628">
            <v>462178.66999999993</v>
          </cell>
          <cell r="X628">
            <v>158458.32999999987</v>
          </cell>
          <cell r="Y628">
            <v>-867537.38000000012</v>
          </cell>
          <cell r="Z628">
            <v>-6118.1800000001385</v>
          </cell>
          <cell r="AA628">
            <v>-873655.56000000029</v>
          </cell>
          <cell r="AC628">
            <v>15350</v>
          </cell>
          <cell r="AD628">
            <v>0</v>
          </cell>
        </row>
        <row r="629">
          <cell r="S629">
            <v>0</v>
          </cell>
          <cell r="T629">
            <v>0</v>
          </cell>
          <cell r="U629">
            <v>0</v>
          </cell>
          <cell r="V629">
            <v>0</v>
          </cell>
          <cell r="W629">
            <v>0</v>
          </cell>
          <cell r="X629">
            <v>0</v>
          </cell>
          <cell r="Y629">
            <v>0</v>
          </cell>
          <cell r="Z629">
            <v>0</v>
          </cell>
          <cell r="AA629">
            <v>0</v>
          </cell>
          <cell r="AC629">
            <v>0</v>
          </cell>
          <cell r="AD629">
            <v>0</v>
          </cell>
        </row>
        <row r="630">
          <cell r="B630">
            <v>15351</v>
          </cell>
          <cell r="C630" t="str">
            <v>SERVICE TAX INTERIM RECOVERABLE</v>
          </cell>
          <cell r="D630">
            <v>4266675.6100000003</v>
          </cell>
          <cell r="E630">
            <v>-3937473.49</v>
          </cell>
          <cell r="F630">
            <v>9437630.5</v>
          </cell>
          <cell r="G630">
            <v>-11706128.380000001</v>
          </cell>
          <cell r="H630">
            <v>2472</v>
          </cell>
          <cell r="I630">
            <v>0</v>
          </cell>
          <cell r="J630">
            <v>0</v>
          </cell>
          <cell r="K630">
            <v>0</v>
          </cell>
          <cell r="L630">
            <v>1606616.34</v>
          </cell>
          <cell r="M630">
            <v>-1794774.34</v>
          </cell>
          <cell r="N630">
            <v>0</v>
          </cell>
          <cell r="O630">
            <v>0</v>
          </cell>
          <cell r="P630">
            <v>13706778.109999999</v>
          </cell>
          <cell r="Q630">
            <v>-15643601.869999999</v>
          </cell>
          <cell r="S630">
            <v>141044.12000000011</v>
          </cell>
          <cell r="T630">
            <v>-2266025.8800000008</v>
          </cell>
          <cell r="U630">
            <v>635589.6</v>
          </cell>
          <cell r="V630">
            <v>-394940.45</v>
          </cell>
          <cell r="W630">
            <v>-494545.47999999986</v>
          </cell>
          <cell r="X630">
            <v>-1871085.4300000009</v>
          </cell>
          <cell r="Y630">
            <v>141044.12000000011</v>
          </cell>
          <cell r="Z630">
            <v>-2266025.8800000008</v>
          </cell>
          <cell r="AA630">
            <v>-2124981.7600000007</v>
          </cell>
          <cell r="AC630">
            <v>15351</v>
          </cell>
          <cell r="AD630">
            <v>0</v>
          </cell>
        </row>
        <row r="631">
          <cell r="S631">
            <v>0</v>
          </cell>
          <cell r="T631">
            <v>0</v>
          </cell>
          <cell r="U631">
            <v>0</v>
          </cell>
          <cell r="V631">
            <v>0</v>
          </cell>
          <cell r="W631">
            <v>0</v>
          </cell>
          <cell r="X631">
            <v>0</v>
          </cell>
          <cell r="Y631">
            <v>0</v>
          </cell>
          <cell r="Z631">
            <v>0</v>
          </cell>
          <cell r="AA631">
            <v>0</v>
          </cell>
          <cell r="AC631">
            <v>0</v>
          </cell>
          <cell r="AD631">
            <v>0</v>
          </cell>
        </row>
        <row r="632">
          <cell r="B632">
            <v>15356</v>
          </cell>
          <cell r="C632" t="str">
            <v>RECOVERABLE FROM EXCISE</v>
          </cell>
          <cell r="D632">
            <v>10368704</v>
          </cell>
          <cell r="E632">
            <v>-9826883</v>
          </cell>
          <cell r="F632">
            <v>9229512.8000000007</v>
          </cell>
          <cell r="G632">
            <v>-12043352.630000001</v>
          </cell>
          <cell r="H632">
            <v>0</v>
          </cell>
          <cell r="I632">
            <v>0</v>
          </cell>
          <cell r="J632">
            <v>0</v>
          </cell>
          <cell r="K632">
            <v>0</v>
          </cell>
          <cell r="L632">
            <v>0</v>
          </cell>
          <cell r="M632">
            <v>0</v>
          </cell>
          <cell r="N632">
            <v>0</v>
          </cell>
          <cell r="O632">
            <v>0</v>
          </cell>
          <cell r="P632">
            <v>19598216.800000001</v>
          </cell>
          <cell r="Q632">
            <v>-21870235.629999999</v>
          </cell>
          <cell r="S632">
            <v>541821</v>
          </cell>
          <cell r="T632">
            <v>-2813839.83</v>
          </cell>
          <cell r="U632">
            <v>541821</v>
          </cell>
          <cell r="V632">
            <v>-2813839.83</v>
          </cell>
          <cell r="W632">
            <v>0</v>
          </cell>
          <cell r="X632">
            <v>0</v>
          </cell>
          <cell r="Y632">
            <v>541821</v>
          </cell>
          <cell r="Z632">
            <v>-2813839.83</v>
          </cell>
          <cell r="AA632">
            <v>-2272018.83</v>
          </cell>
          <cell r="AC632">
            <v>15356</v>
          </cell>
          <cell r="AD632">
            <v>0</v>
          </cell>
        </row>
        <row r="633">
          <cell r="S633">
            <v>0</v>
          </cell>
          <cell r="T633">
            <v>0</v>
          </cell>
          <cell r="U633">
            <v>0</v>
          </cell>
          <cell r="V633">
            <v>0</v>
          </cell>
          <cell r="W633">
            <v>0</v>
          </cell>
          <cell r="X633">
            <v>0</v>
          </cell>
          <cell r="Y633">
            <v>0</v>
          </cell>
          <cell r="Z633">
            <v>0</v>
          </cell>
          <cell r="AA633">
            <v>0</v>
          </cell>
          <cell r="AC633">
            <v>0</v>
          </cell>
          <cell r="AD633">
            <v>0</v>
          </cell>
        </row>
        <row r="634">
          <cell r="B634">
            <v>15357</v>
          </cell>
          <cell r="C634" t="str">
            <v>DEFERRED EXCISE DUTY (CAPITAL GOODS)</v>
          </cell>
          <cell r="D634">
            <v>4631718.3499999996</v>
          </cell>
          <cell r="E634">
            <v>-4982.5</v>
          </cell>
          <cell r="F634">
            <v>2469572.67</v>
          </cell>
          <cell r="G634">
            <v>-752.37</v>
          </cell>
          <cell r="H634">
            <v>5364.21</v>
          </cell>
          <cell r="I634">
            <v>0</v>
          </cell>
          <cell r="J634">
            <v>0</v>
          </cell>
          <cell r="K634">
            <v>0</v>
          </cell>
          <cell r="L634">
            <v>0</v>
          </cell>
          <cell r="M634">
            <v>0</v>
          </cell>
          <cell r="N634">
            <v>0</v>
          </cell>
          <cell r="O634">
            <v>0</v>
          </cell>
          <cell r="P634">
            <v>7106655.2300000004</v>
          </cell>
          <cell r="Q634">
            <v>-5734.87</v>
          </cell>
          <cell r="S634">
            <v>4626735.8499999996</v>
          </cell>
          <cell r="T634">
            <v>2474184.5099999998</v>
          </cell>
          <cell r="U634">
            <v>847620.29</v>
          </cell>
          <cell r="V634">
            <v>1839407.29</v>
          </cell>
          <cell r="W634">
            <v>3779115.5599999996</v>
          </cell>
          <cell r="X634">
            <v>634777.21999999974</v>
          </cell>
          <cell r="Y634">
            <v>4626735.8499999996</v>
          </cell>
          <cell r="Z634">
            <v>2474184.5099999998</v>
          </cell>
          <cell r="AA634">
            <v>7100920.3599999994</v>
          </cell>
          <cell r="AC634">
            <v>15357</v>
          </cell>
          <cell r="AD634">
            <v>0</v>
          </cell>
        </row>
        <row r="635">
          <cell r="S635">
            <v>0</v>
          </cell>
          <cell r="T635">
            <v>0</v>
          </cell>
          <cell r="U635">
            <v>0</v>
          </cell>
          <cell r="V635">
            <v>0</v>
          </cell>
          <cell r="W635">
            <v>0</v>
          </cell>
          <cell r="X635">
            <v>0</v>
          </cell>
          <cell r="Y635">
            <v>0</v>
          </cell>
          <cell r="Z635">
            <v>0</v>
          </cell>
          <cell r="AA635">
            <v>0</v>
          </cell>
          <cell r="AC635">
            <v>0</v>
          </cell>
          <cell r="AD635">
            <v>0</v>
          </cell>
        </row>
        <row r="636">
          <cell r="B636">
            <v>15358</v>
          </cell>
          <cell r="C636" t="str">
            <v>DEFERRED EDU. CESS (CAPITAL GOODS)</v>
          </cell>
          <cell r="D636">
            <v>44652.86</v>
          </cell>
          <cell r="E636">
            <v>-99.9</v>
          </cell>
          <cell r="F636">
            <v>16662.13</v>
          </cell>
          <cell r="G636">
            <v>-11.5</v>
          </cell>
          <cell r="H636">
            <v>107.5</v>
          </cell>
          <cell r="I636">
            <v>0</v>
          </cell>
          <cell r="J636">
            <v>0</v>
          </cell>
          <cell r="K636">
            <v>0</v>
          </cell>
          <cell r="L636">
            <v>0</v>
          </cell>
          <cell r="M636">
            <v>0</v>
          </cell>
          <cell r="N636">
            <v>0</v>
          </cell>
          <cell r="O636">
            <v>0</v>
          </cell>
          <cell r="P636">
            <v>61422.49</v>
          </cell>
          <cell r="Q636">
            <v>-111.4</v>
          </cell>
          <cell r="S636">
            <v>44552.959999999999</v>
          </cell>
          <cell r="T636">
            <v>16758.13</v>
          </cell>
          <cell r="U636">
            <v>11676.29</v>
          </cell>
          <cell r="V636">
            <v>7189.19</v>
          </cell>
          <cell r="W636">
            <v>32876.67</v>
          </cell>
          <cell r="X636">
            <v>9568.9400000000023</v>
          </cell>
          <cell r="Y636">
            <v>44552.959999999999</v>
          </cell>
          <cell r="Z636">
            <v>16758.13</v>
          </cell>
          <cell r="AA636">
            <v>61311.09</v>
          </cell>
          <cell r="AC636">
            <v>15358</v>
          </cell>
          <cell r="AD636">
            <v>0</v>
          </cell>
        </row>
        <row r="637">
          <cell r="S637">
            <v>0</v>
          </cell>
          <cell r="T637">
            <v>0</v>
          </cell>
          <cell r="U637">
            <v>0</v>
          </cell>
          <cell r="V637">
            <v>0</v>
          </cell>
          <cell r="W637">
            <v>0</v>
          </cell>
          <cell r="X637">
            <v>0</v>
          </cell>
          <cell r="Y637">
            <v>0</v>
          </cell>
          <cell r="Z637">
            <v>0</v>
          </cell>
          <cell r="AA637">
            <v>0</v>
          </cell>
          <cell r="AC637">
            <v>0</v>
          </cell>
          <cell r="AD637">
            <v>0</v>
          </cell>
        </row>
        <row r="638">
          <cell r="B638">
            <v>15359</v>
          </cell>
          <cell r="C638" t="str">
            <v>DEFERRED HIGHER EDU CESS (CAPITAL GOODS)</v>
          </cell>
          <cell r="D638">
            <v>23614.52</v>
          </cell>
          <cell r="E638">
            <v>-49.76</v>
          </cell>
          <cell r="F638">
            <v>9555.75</v>
          </cell>
          <cell r="G638">
            <v>-6</v>
          </cell>
          <cell r="H638">
            <v>53.5</v>
          </cell>
          <cell r="I638">
            <v>0</v>
          </cell>
          <cell r="J638">
            <v>0</v>
          </cell>
          <cell r="K638">
            <v>0</v>
          </cell>
          <cell r="L638">
            <v>0</v>
          </cell>
          <cell r="M638">
            <v>0</v>
          </cell>
          <cell r="N638">
            <v>0</v>
          </cell>
          <cell r="O638">
            <v>0</v>
          </cell>
          <cell r="P638">
            <v>33223.769999999997</v>
          </cell>
          <cell r="Q638">
            <v>-55.76</v>
          </cell>
          <cell r="S638">
            <v>23564.760000000002</v>
          </cell>
          <cell r="T638">
            <v>9603.25</v>
          </cell>
          <cell r="U638">
            <v>5841.74</v>
          </cell>
          <cell r="V638">
            <v>4897.92</v>
          </cell>
          <cell r="W638">
            <v>17723.020000000004</v>
          </cell>
          <cell r="X638">
            <v>4705.33</v>
          </cell>
          <cell r="Y638">
            <v>23564.760000000002</v>
          </cell>
          <cell r="Z638">
            <v>9603.25</v>
          </cell>
          <cell r="AA638">
            <v>33168.01</v>
          </cell>
          <cell r="AC638">
            <v>15359</v>
          </cell>
          <cell r="AD638">
            <v>0</v>
          </cell>
        </row>
        <row r="639">
          <cell r="S639">
            <v>0</v>
          </cell>
          <cell r="T639">
            <v>0</v>
          </cell>
          <cell r="U639">
            <v>0</v>
          </cell>
          <cell r="V639">
            <v>0</v>
          </cell>
          <cell r="W639">
            <v>0</v>
          </cell>
          <cell r="X639">
            <v>0</v>
          </cell>
          <cell r="Y639">
            <v>0</v>
          </cell>
          <cell r="Z639">
            <v>0</v>
          </cell>
          <cell r="AA639">
            <v>0</v>
          </cell>
          <cell r="AC639">
            <v>0</v>
          </cell>
          <cell r="AD639">
            <v>0</v>
          </cell>
        </row>
        <row r="640">
          <cell r="B640">
            <v>15368</v>
          </cell>
          <cell r="C640" t="str">
            <v>BASIC EXCISE DUTY PAYABLE</v>
          </cell>
          <cell r="D640">
            <v>139203415.27000001</v>
          </cell>
          <cell r="E640">
            <v>-143019708.97999999</v>
          </cell>
          <cell r="F640">
            <v>246196189.52000001</v>
          </cell>
          <cell r="G640">
            <v>-262726897.69</v>
          </cell>
          <cell r="H640">
            <v>1378807.2</v>
          </cell>
          <cell r="I640">
            <v>-1366327.2</v>
          </cell>
          <cell r="J640">
            <v>105707</v>
          </cell>
          <cell r="K640">
            <v>-105707</v>
          </cell>
          <cell r="L640">
            <v>0</v>
          </cell>
          <cell r="M640">
            <v>0</v>
          </cell>
          <cell r="N640">
            <v>0</v>
          </cell>
          <cell r="O640">
            <v>0</v>
          </cell>
          <cell r="P640">
            <v>386884118.99000001</v>
          </cell>
          <cell r="Q640">
            <v>-407218640.87</v>
          </cell>
          <cell r="S640">
            <v>-3816293.7099999785</v>
          </cell>
          <cell r="T640">
            <v>-16518228.169999987</v>
          </cell>
          <cell r="U640">
            <v>-82373869.200000003</v>
          </cell>
          <cell r="V640">
            <v>-35210270.25</v>
          </cell>
          <cell r="W640">
            <v>78557575.490000024</v>
          </cell>
          <cell r="X640">
            <v>18692042.080000013</v>
          </cell>
          <cell r="Y640">
            <v>-3816293.7099999785</v>
          </cell>
          <cell r="Z640">
            <v>-16518228.169999987</v>
          </cell>
          <cell r="AA640">
            <v>-20334521.879999965</v>
          </cell>
          <cell r="AC640">
            <v>15368</v>
          </cell>
          <cell r="AD640">
            <v>0</v>
          </cell>
        </row>
        <row r="641">
          <cell r="S641">
            <v>0</v>
          </cell>
          <cell r="T641">
            <v>0</v>
          </cell>
          <cell r="U641">
            <v>0</v>
          </cell>
          <cell r="V641">
            <v>0</v>
          </cell>
          <cell r="W641">
            <v>0</v>
          </cell>
          <cell r="X641">
            <v>0</v>
          </cell>
          <cell r="Y641">
            <v>0</v>
          </cell>
          <cell r="Z641">
            <v>0</v>
          </cell>
          <cell r="AA641">
            <v>0</v>
          </cell>
          <cell r="AC641">
            <v>0</v>
          </cell>
          <cell r="AD641">
            <v>0</v>
          </cell>
        </row>
        <row r="642">
          <cell r="B642">
            <v>15369</v>
          </cell>
          <cell r="C642" t="str">
            <v>EDUCATION CESS PAYABLE</v>
          </cell>
          <cell r="D642">
            <v>2784310.59</v>
          </cell>
          <cell r="E642">
            <v>-2860644.11</v>
          </cell>
          <cell r="F642">
            <v>4815123.54</v>
          </cell>
          <cell r="G642">
            <v>-5135311.24</v>
          </cell>
          <cell r="H642">
            <v>27586</v>
          </cell>
          <cell r="I642">
            <v>-27336</v>
          </cell>
          <cell r="J642">
            <v>2114</v>
          </cell>
          <cell r="K642">
            <v>-2114</v>
          </cell>
          <cell r="L642">
            <v>0</v>
          </cell>
          <cell r="M642">
            <v>0</v>
          </cell>
          <cell r="N642">
            <v>0</v>
          </cell>
          <cell r="O642">
            <v>0</v>
          </cell>
          <cell r="P642">
            <v>7629134.1299999999</v>
          </cell>
          <cell r="Q642">
            <v>-8025405.3499999996</v>
          </cell>
          <cell r="S642">
            <v>-76333.520000000019</v>
          </cell>
          <cell r="T642">
            <v>-319937.70000000019</v>
          </cell>
          <cell r="U642">
            <v>-1647514.4</v>
          </cell>
          <cell r="V642">
            <v>-686321.7</v>
          </cell>
          <cell r="W642">
            <v>1571180.88</v>
          </cell>
          <cell r="X642">
            <v>366383.99999999977</v>
          </cell>
          <cell r="Y642">
            <v>-76333.520000000019</v>
          </cell>
          <cell r="Z642">
            <v>-319937.70000000019</v>
          </cell>
          <cell r="AA642">
            <v>-396271.2200000002</v>
          </cell>
          <cell r="AC642">
            <v>15369</v>
          </cell>
          <cell r="AD642">
            <v>0</v>
          </cell>
        </row>
        <row r="643">
          <cell r="S643">
            <v>0</v>
          </cell>
          <cell r="T643">
            <v>0</v>
          </cell>
          <cell r="U643">
            <v>0</v>
          </cell>
          <cell r="V643">
            <v>0</v>
          </cell>
          <cell r="W643">
            <v>0</v>
          </cell>
          <cell r="X643">
            <v>0</v>
          </cell>
          <cell r="Y643">
            <v>0</v>
          </cell>
          <cell r="Z643">
            <v>0</v>
          </cell>
          <cell r="AA643">
            <v>0</v>
          </cell>
          <cell r="AC643">
            <v>0</v>
          </cell>
          <cell r="AD643">
            <v>0</v>
          </cell>
        </row>
        <row r="644">
          <cell r="B644">
            <v>15370</v>
          </cell>
          <cell r="C644" t="str">
            <v>HIGHER EDUCATION CESS PAYABLE</v>
          </cell>
          <cell r="D644">
            <v>1392067.73</v>
          </cell>
          <cell r="E644">
            <v>-1430226.5</v>
          </cell>
          <cell r="F644">
            <v>2407554.4</v>
          </cell>
          <cell r="G644">
            <v>-2567663.2999999998</v>
          </cell>
          <cell r="H644">
            <v>13783.7</v>
          </cell>
          <cell r="I644">
            <v>-13658.7</v>
          </cell>
          <cell r="J644">
            <v>1057</v>
          </cell>
          <cell r="K644">
            <v>-1057</v>
          </cell>
          <cell r="L644">
            <v>0</v>
          </cell>
          <cell r="M644">
            <v>0</v>
          </cell>
          <cell r="N644">
            <v>0</v>
          </cell>
          <cell r="O644">
            <v>0</v>
          </cell>
          <cell r="P644">
            <v>3814462.83</v>
          </cell>
          <cell r="Q644">
            <v>-4012605.5</v>
          </cell>
          <cell r="S644">
            <v>-38158.770000000019</v>
          </cell>
          <cell r="T644">
            <v>-159983.89999999991</v>
          </cell>
          <cell r="U644">
            <v>-823749.4</v>
          </cell>
          <cell r="V644">
            <v>-343184.9</v>
          </cell>
          <cell r="W644">
            <v>785590.63</v>
          </cell>
          <cell r="X644">
            <v>183201.00000000012</v>
          </cell>
          <cell r="Y644">
            <v>-38158.770000000019</v>
          </cell>
          <cell r="Z644">
            <v>-159983.89999999991</v>
          </cell>
          <cell r="AA644">
            <v>-198142.66999999993</v>
          </cell>
          <cell r="AC644">
            <v>15370</v>
          </cell>
          <cell r="AD644">
            <v>0</v>
          </cell>
        </row>
        <row r="645">
          <cell r="S645">
            <v>0</v>
          </cell>
          <cell r="T645">
            <v>0</v>
          </cell>
          <cell r="U645">
            <v>0</v>
          </cell>
          <cell r="V645">
            <v>0</v>
          </cell>
          <cell r="W645">
            <v>0</v>
          </cell>
          <cell r="X645">
            <v>0</v>
          </cell>
          <cell r="Y645">
            <v>0</v>
          </cell>
          <cell r="Z645">
            <v>0</v>
          </cell>
          <cell r="AA645">
            <v>0</v>
          </cell>
          <cell r="AC645">
            <v>0</v>
          </cell>
          <cell r="AD645">
            <v>0</v>
          </cell>
        </row>
        <row r="646">
          <cell r="B646">
            <v>15371</v>
          </cell>
          <cell r="C646" t="str">
            <v>RECOVERABLE FROM EXCISE (TILL THE TIME MATL IS WITH PROCESSO</v>
          </cell>
          <cell r="D646">
            <v>27203582.16</v>
          </cell>
          <cell r="E646">
            <v>-25938200.27</v>
          </cell>
          <cell r="F646">
            <v>74293</v>
          </cell>
          <cell r="G646">
            <v>0</v>
          </cell>
          <cell r="H646">
            <v>0</v>
          </cell>
          <cell r="I646">
            <v>0</v>
          </cell>
          <cell r="J646">
            <v>0</v>
          </cell>
          <cell r="K646">
            <v>0</v>
          </cell>
          <cell r="L646">
            <v>0</v>
          </cell>
          <cell r="M646">
            <v>0</v>
          </cell>
          <cell r="N646">
            <v>0</v>
          </cell>
          <cell r="O646">
            <v>0</v>
          </cell>
          <cell r="P646">
            <v>27277875.16</v>
          </cell>
          <cell r="Q646">
            <v>-25938200.27</v>
          </cell>
          <cell r="S646">
            <v>1265381.8900000006</v>
          </cell>
          <cell r="T646">
            <v>74293</v>
          </cell>
          <cell r="U646">
            <v>1218777.55</v>
          </cell>
          <cell r="V646">
            <v>74293</v>
          </cell>
          <cell r="W646">
            <v>46604.340000000549</v>
          </cell>
          <cell r="X646">
            <v>0</v>
          </cell>
          <cell r="Y646">
            <v>1265381.8900000006</v>
          </cell>
          <cell r="Z646">
            <v>74293</v>
          </cell>
          <cell r="AA646">
            <v>1339674.8900000006</v>
          </cell>
          <cell r="AC646">
            <v>15371</v>
          </cell>
          <cell r="AD646">
            <v>0</v>
          </cell>
        </row>
        <row r="647">
          <cell r="S647">
            <v>0</v>
          </cell>
          <cell r="T647">
            <v>0</v>
          </cell>
          <cell r="U647">
            <v>0</v>
          </cell>
          <cell r="V647">
            <v>0</v>
          </cell>
          <cell r="W647">
            <v>0</v>
          </cell>
          <cell r="X647">
            <v>0</v>
          </cell>
          <cell r="Y647">
            <v>0</v>
          </cell>
          <cell r="Z647">
            <v>0</v>
          </cell>
          <cell r="AA647">
            <v>0</v>
          </cell>
          <cell r="AC647">
            <v>0</v>
          </cell>
          <cell r="AD647">
            <v>0</v>
          </cell>
        </row>
        <row r="648">
          <cell r="B648">
            <v>15381</v>
          </cell>
          <cell r="C648" t="str">
            <v>RECOVERABLE FROM SALES TAX A/C</v>
          </cell>
          <cell r="D648">
            <v>7003735</v>
          </cell>
          <cell r="E648">
            <v>0</v>
          </cell>
          <cell r="F648">
            <v>0</v>
          </cell>
          <cell r="G648">
            <v>0</v>
          </cell>
          <cell r="H648">
            <v>0</v>
          </cell>
          <cell r="I648">
            <v>0</v>
          </cell>
          <cell r="J648">
            <v>0</v>
          </cell>
          <cell r="K648">
            <v>0</v>
          </cell>
          <cell r="L648">
            <v>0</v>
          </cell>
          <cell r="M648">
            <v>0</v>
          </cell>
          <cell r="N648">
            <v>0</v>
          </cell>
          <cell r="O648">
            <v>0</v>
          </cell>
          <cell r="P648">
            <v>7003735</v>
          </cell>
          <cell r="Q648">
            <v>0</v>
          </cell>
          <cell r="S648">
            <v>7003735</v>
          </cell>
          <cell r="T648">
            <v>0</v>
          </cell>
          <cell r="U648">
            <v>5003735</v>
          </cell>
          <cell r="V648">
            <v>0</v>
          </cell>
          <cell r="W648">
            <v>2000000</v>
          </cell>
          <cell r="X648">
            <v>0</v>
          </cell>
          <cell r="Y648">
            <v>7003735</v>
          </cell>
          <cell r="Z648">
            <v>0</v>
          </cell>
          <cell r="AA648">
            <v>7003735</v>
          </cell>
          <cell r="AC648">
            <v>15381</v>
          </cell>
          <cell r="AD648">
            <v>0</v>
          </cell>
        </row>
        <row r="649">
          <cell r="S649">
            <v>0</v>
          </cell>
          <cell r="T649">
            <v>0</v>
          </cell>
          <cell r="U649">
            <v>0</v>
          </cell>
          <cell r="V649">
            <v>0</v>
          </cell>
          <cell r="W649">
            <v>0</v>
          </cell>
          <cell r="X649">
            <v>0</v>
          </cell>
          <cell r="Y649">
            <v>0</v>
          </cell>
          <cell r="Z649">
            <v>0</v>
          </cell>
          <cell r="AA649">
            <v>0</v>
          </cell>
          <cell r="AC649">
            <v>0</v>
          </cell>
          <cell r="AD649">
            <v>0</v>
          </cell>
        </row>
        <row r="650">
          <cell r="B650">
            <v>15398</v>
          </cell>
          <cell r="C650" t="str">
            <v>ADVANCE INCOME TAX</v>
          </cell>
          <cell r="D650">
            <v>8004350</v>
          </cell>
          <cell r="E650">
            <v>-22963</v>
          </cell>
          <cell r="F650">
            <v>191392</v>
          </cell>
          <cell r="G650">
            <v>-88546</v>
          </cell>
          <cell r="H650">
            <v>0</v>
          </cell>
          <cell r="I650">
            <v>0</v>
          </cell>
          <cell r="J650">
            <v>0</v>
          </cell>
          <cell r="K650">
            <v>0</v>
          </cell>
          <cell r="L650">
            <v>168702885.09</v>
          </cell>
          <cell r="M650">
            <v>-146029641</v>
          </cell>
          <cell r="N650">
            <v>0</v>
          </cell>
          <cell r="O650">
            <v>0</v>
          </cell>
          <cell r="P650">
            <v>8195742</v>
          </cell>
          <cell r="Q650">
            <v>-111509</v>
          </cell>
          <cell r="S650">
            <v>30654631.090000004</v>
          </cell>
          <cell r="T650">
            <v>102846</v>
          </cell>
          <cell r="U650">
            <v>22635321.09</v>
          </cell>
          <cell r="V650">
            <v>88546</v>
          </cell>
          <cell r="W650">
            <v>8019310.0000000037</v>
          </cell>
          <cell r="X650">
            <v>14300</v>
          </cell>
          <cell r="Y650">
            <v>30654631.090000004</v>
          </cell>
          <cell r="Z650">
            <v>102846</v>
          </cell>
          <cell r="AA650">
            <v>30757477.090000004</v>
          </cell>
          <cell r="AC650">
            <v>15398</v>
          </cell>
          <cell r="AD650">
            <v>0</v>
          </cell>
        </row>
        <row r="651">
          <cell r="S651">
            <v>0</v>
          </cell>
          <cell r="T651">
            <v>0</v>
          </cell>
          <cell r="U651">
            <v>0</v>
          </cell>
          <cell r="V651">
            <v>0</v>
          </cell>
          <cell r="W651">
            <v>0</v>
          </cell>
          <cell r="X651">
            <v>0</v>
          </cell>
          <cell r="Y651">
            <v>0</v>
          </cell>
          <cell r="Z651">
            <v>0</v>
          </cell>
          <cell r="AA651">
            <v>0</v>
          </cell>
          <cell r="AC651">
            <v>0</v>
          </cell>
          <cell r="AD651">
            <v>0</v>
          </cell>
        </row>
        <row r="652">
          <cell r="B652">
            <v>15427</v>
          </cell>
          <cell r="C652" t="str">
            <v>SUNDRY CREDITORS DOMESTIC</v>
          </cell>
          <cell r="D652">
            <v>1057778684.04</v>
          </cell>
          <cell r="E652">
            <v>-1122394738.51</v>
          </cell>
          <cell r="F652">
            <v>702472448.32000005</v>
          </cell>
          <cell r="G652">
            <v>-727928628.30999994</v>
          </cell>
          <cell r="H652">
            <v>20558119.370000001</v>
          </cell>
          <cell r="I652">
            <v>-20590911.539999999</v>
          </cell>
          <cell r="J652">
            <v>993206.5</v>
          </cell>
          <cell r="K652">
            <v>-632445.5</v>
          </cell>
          <cell r="L652">
            <v>10493345.869999999</v>
          </cell>
          <cell r="M652">
            <v>-11629531.220000001</v>
          </cell>
          <cell r="N652">
            <v>0</v>
          </cell>
          <cell r="O652">
            <v>-1056352.77</v>
          </cell>
          <cell r="P652">
            <v>1781802458.23</v>
          </cell>
          <cell r="Q652">
            <v>-1872603076.6300001</v>
          </cell>
          <cell r="S652">
            <v>-66808592.590000033</v>
          </cell>
          <cell r="T652">
            <v>-25128211.159999888</v>
          </cell>
          <cell r="U652">
            <v>-47661789.469999999</v>
          </cell>
          <cell r="V652">
            <v>-27136917.510000002</v>
          </cell>
          <cell r="W652">
            <v>-19146803.120000035</v>
          </cell>
          <cell r="X652">
            <v>2008706.3500001132</v>
          </cell>
          <cell r="Y652">
            <v>-66808592.590000033</v>
          </cell>
          <cell r="Z652">
            <v>-25128211.159999888</v>
          </cell>
          <cell r="AA652">
            <v>-91936803.749999925</v>
          </cell>
          <cell r="AC652">
            <v>15427</v>
          </cell>
          <cell r="AD652">
            <v>0</v>
          </cell>
        </row>
        <row r="653">
          <cell r="S653">
            <v>0</v>
          </cell>
          <cell r="T653">
            <v>0</v>
          </cell>
          <cell r="U653">
            <v>0</v>
          </cell>
          <cell r="V653">
            <v>0</v>
          </cell>
          <cell r="W653">
            <v>0</v>
          </cell>
          <cell r="X653">
            <v>0</v>
          </cell>
          <cell r="Y653">
            <v>0</v>
          </cell>
          <cell r="Z653">
            <v>0</v>
          </cell>
          <cell r="AA653">
            <v>0</v>
          </cell>
          <cell r="AC653">
            <v>0</v>
          </cell>
          <cell r="AD653">
            <v>0</v>
          </cell>
        </row>
        <row r="654">
          <cell r="B654">
            <v>15428</v>
          </cell>
          <cell r="C654" t="str">
            <v>SUNDRY CREDITORS FOREIGN</v>
          </cell>
          <cell r="D654">
            <v>304051302.04000002</v>
          </cell>
          <cell r="E654">
            <v>-329785478.31999999</v>
          </cell>
          <cell r="F654">
            <v>1717076924.52</v>
          </cell>
          <cell r="G654">
            <v>-1819347054.4200001</v>
          </cell>
          <cell r="H654">
            <v>16752146.4</v>
          </cell>
          <cell r="I654">
            <v>-16752146.4</v>
          </cell>
          <cell r="J654">
            <v>0</v>
          </cell>
          <cell r="K654">
            <v>0</v>
          </cell>
          <cell r="L654">
            <v>0</v>
          </cell>
          <cell r="M654">
            <v>-685760.68</v>
          </cell>
          <cell r="N654">
            <v>139330444.31999999</v>
          </cell>
          <cell r="O654">
            <v>-139330444.31999999</v>
          </cell>
          <cell r="P654">
            <v>2177210817.2800002</v>
          </cell>
          <cell r="Q654">
            <v>-2305215123.46</v>
          </cell>
          <cell r="S654">
            <v>-26419936.959999979</v>
          </cell>
          <cell r="T654">
            <v>-102270129.9000001</v>
          </cell>
          <cell r="U654">
            <v>-23666906.75</v>
          </cell>
          <cell r="V654">
            <v>-103653649.8</v>
          </cell>
          <cell r="W654">
            <v>-2753030.2099999785</v>
          </cell>
          <cell r="X654">
            <v>1383519.8999999017</v>
          </cell>
          <cell r="Y654">
            <v>-26419936.959999979</v>
          </cell>
          <cell r="Z654">
            <v>-102270129.9000001</v>
          </cell>
          <cell r="AA654">
            <v>-128690066.86000007</v>
          </cell>
          <cell r="AC654">
            <v>15428</v>
          </cell>
          <cell r="AD654">
            <v>0</v>
          </cell>
        </row>
        <row r="655">
          <cell r="S655">
            <v>0</v>
          </cell>
          <cell r="T655">
            <v>0</v>
          </cell>
          <cell r="U655">
            <v>0</v>
          </cell>
          <cell r="V655">
            <v>0</v>
          </cell>
          <cell r="W655">
            <v>0</v>
          </cell>
          <cell r="X655">
            <v>0</v>
          </cell>
          <cell r="Y655">
            <v>0</v>
          </cell>
          <cell r="Z655">
            <v>0</v>
          </cell>
          <cell r="AA655">
            <v>0</v>
          </cell>
          <cell r="AC655">
            <v>0</v>
          </cell>
          <cell r="AD655">
            <v>0</v>
          </cell>
        </row>
        <row r="656">
          <cell r="B656">
            <v>15429</v>
          </cell>
          <cell r="C656" t="str">
            <v>PROVISION FOR PENDING GRN (PURC PACK SLIP OFFSET NET W15078)</v>
          </cell>
          <cell r="D656">
            <v>792681070.59000003</v>
          </cell>
          <cell r="E656">
            <v>-795020388.83000004</v>
          </cell>
          <cell r="F656">
            <v>23559613227.720001</v>
          </cell>
          <cell r="G656">
            <v>-23634781770.009998</v>
          </cell>
          <cell r="H656">
            <v>35514003.289999999</v>
          </cell>
          <cell r="I656">
            <v>-35514003.289999999</v>
          </cell>
          <cell r="J656">
            <v>169538.74</v>
          </cell>
          <cell r="K656">
            <v>-169538.74</v>
          </cell>
          <cell r="L656">
            <v>235743.96</v>
          </cell>
          <cell r="M656">
            <v>-235743.96</v>
          </cell>
          <cell r="N656">
            <v>0</v>
          </cell>
          <cell r="O656">
            <v>0</v>
          </cell>
          <cell r="P656">
            <v>24387977840.34</v>
          </cell>
          <cell r="Q656">
            <v>-24465485700.869999</v>
          </cell>
          <cell r="S656">
            <v>-2339318.2400000095</v>
          </cell>
          <cell r="T656">
            <v>-75168542.289997101</v>
          </cell>
          <cell r="U656">
            <v>-299870.06</v>
          </cell>
          <cell r="V656">
            <v>-22692</v>
          </cell>
          <cell r="W656">
            <v>-2039448.1800000095</v>
          </cell>
          <cell r="X656">
            <v>-75145850.289997101</v>
          </cell>
          <cell r="Y656">
            <v>-2339318.2400000095</v>
          </cell>
          <cell r="Z656">
            <v>-75168542.289997101</v>
          </cell>
          <cell r="AA656">
            <v>-77507860.52999711</v>
          </cell>
          <cell r="AC656">
            <v>15429</v>
          </cell>
          <cell r="AD656">
            <v>0</v>
          </cell>
        </row>
        <row r="657">
          <cell r="S657">
            <v>0</v>
          </cell>
          <cell r="T657">
            <v>0</v>
          </cell>
          <cell r="U657">
            <v>0</v>
          </cell>
          <cell r="V657">
            <v>0</v>
          </cell>
          <cell r="W657">
            <v>0</v>
          </cell>
          <cell r="X657">
            <v>0</v>
          </cell>
          <cell r="Y657">
            <v>0</v>
          </cell>
          <cell r="Z657">
            <v>0</v>
          </cell>
          <cell r="AA657">
            <v>0</v>
          </cell>
          <cell r="AC657">
            <v>0</v>
          </cell>
          <cell r="AD657">
            <v>0</v>
          </cell>
        </row>
        <row r="658">
          <cell r="B658">
            <v>15433</v>
          </cell>
          <cell r="C658" t="str">
            <v>STALE CHEQUE A/C</v>
          </cell>
          <cell r="D658">
            <v>87420</v>
          </cell>
          <cell r="E658">
            <v>-513354.8</v>
          </cell>
          <cell r="F658">
            <v>53540</v>
          </cell>
          <cell r="G658">
            <v>-527513.5</v>
          </cell>
          <cell r="H658">
            <v>0</v>
          </cell>
          <cell r="I658">
            <v>0</v>
          </cell>
          <cell r="J658">
            <v>0</v>
          </cell>
          <cell r="K658">
            <v>0</v>
          </cell>
          <cell r="L658">
            <v>0</v>
          </cell>
          <cell r="M658">
            <v>0</v>
          </cell>
          <cell r="N658">
            <v>0</v>
          </cell>
          <cell r="O658">
            <v>0</v>
          </cell>
          <cell r="P658">
            <v>140960</v>
          </cell>
          <cell r="Q658">
            <v>-1040868.3</v>
          </cell>
          <cell r="S658">
            <v>-425934.8</v>
          </cell>
          <cell r="T658">
            <v>-473973.5</v>
          </cell>
          <cell r="U658">
            <v>-462623.8</v>
          </cell>
          <cell r="V658">
            <v>-473973.5</v>
          </cell>
          <cell r="W658">
            <v>36689</v>
          </cell>
          <cell r="X658">
            <v>0</v>
          </cell>
          <cell r="Y658">
            <v>-425934.8</v>
          </cell>
          <cell r="Z658">
            <v>-473973.5</v>
          </cell>
          <cell r="AA658">
            <v>-899908.3</v>
          </cell>
          <cell r="AC658">
            <v>15433</v>
          </cell>
          <cell r="AD658">
            <v>0</v>
          </cell>
        </row>
        <row r="659">
          <cell r="S659">
            <v>0</v>
          </cell>
          <cell r="T659">
            <v>0</v>
          </cell>
          <cell r="U659">
            <v>0</v>
          </cell>
          <cell r="V659">
            <v>0</v>
          </cell>
          <cell r="W659">
            <v>0</v>
          </cell>
          <cell r="X659">
            <v>0</v>
          </cell>
          <cell r="Y659">
            <v>0</v>
          </cell>
          <cell r="Z659">
            <v>0</v>
          </cell>
          <cell r="AA659">
            <v>0</v>
          </cell>
          <cell r="AC659">
            <v>0</v>
          </cell>
          <cell r="AD659">
            <v>0</v>
          </cell>
        </row>
        <row r="660">
          <cell r="B660">
            <v>15434</v>
          </cell>
          <cell r="C660" t="str">
            <v>CREDITORS FOR EXPENSES (SERVICE PROVIDERS)</v>
          </cell>
          <cell r="D660">
            <v>41130069.030000001</v>
          </cell>
          <cell r="E660">
            <v>-41497520.090000004</v>
          </cell>
          <cell r="F660">
            <v>68456966.099999994</v>
          </cell>
          <cell r="G660">
            <v>-75116184.540000007</v>
          </cell>
          <cell r="H660">
            <v>0</v>
          </cell>
          <cell r="I660">
            <v>-18000</v>
          </cell>
          <cell r="J660">
            <v>0</v>
          </cell>
          <cell r="K660">
            <v>0</v>
          </cell>
          <cell r="L660">
            <v>21364900.609999999</v>
          </cell>
          <cell r="M660">
            <v>-21251883.850000001</v>
          </cell>
          <cell r="N660">
            <v>0</v>
          </cell>
          <cell r="O660">
            <v>0</v>
          </cell>
          <cell r="P660">
            <v>109587035.13</v>
          </cell>
          <cell r="Q660">
            <v>-116631704.63</v>
          </cell>
          <cell r="S660">
            <v>-254434.30000000447</v>
          </cell>
          <cell r="T660">
            <v>-6677218.4400000125</v>
          </cell>
          <cell r="U660">
            <v>-4118781.98</v>
          </cell>
          <cell r="V660">
            <v>-8440082.3100000005</v>
          </cell>
          <cell r="W660">
            <v>3864347.6799999955</v>
          </cell>
          <cell r="X660">
            <v>1762863.869999988</v>
          </cell>
          <cell r="Y660">
            <v>-254434.30000000447</v>
          </cell>
          <cell r="Z660">
            <v>-6677218.4400000125</v>
          </cell>
          <cell r="AA660">
            <v>-6931652.740000017</v>
          </cell>
          <cell r="AC660">
            <v>15434</v>
          </cell>
          <cell r="AD660">
            <v>0</v>
          </cell>
        </row>
        <row r="661">
          <cell r="S661">
            <v>0</v>
          </cell>
          <cell r="T661">
            <v>0</v>
          </cell>
          <cell r="U661">
            <v>0</v>
          </cell>
          <cell r="V661">
            <v>0</v>
          </cell>
          <cell r="W661">
            <v>0</v>
          </cell>
          <cell r="X661">
            <v>0</v>
          </cell>
          <cell r="Y661">
            <v>0</v>
          </cell>
          <cell r="Z661">
            <v>0</v>
          </cell>
          <cell r="AA661">
            <v>0</v>
          </cell>
          <cell r="AC661">
            <v>0</v>
          </cell>
          <cell r="AD661">
            <v>0</v>
          </cell>
        </row>
        <row r="662">
          <cell r="B662">
            <v>15435</v>
          </cell>
          <cell r="C662" t="str">
            <v>BL - LIABILITY TRAVEL</v>
          </cell>
          <cell r="D662">
            <v>55018</v>
          </cell>
          <cell r="E662">
            <v>-637888.13</v>
          </cell>
          <cell r="F662">
            <v>55158</v>
          </cell>
          <cell r="G662">
            <v>-152442</v>
          </cell>
          <cell r="H662">
            <v>0</v>
          </cell>
          <cell r="I662">
            <v>0</v>
          </cell>
          <cell r="J662">
            <v>0</v>
          </cell>
          <cell r="K662">
            <v>0</v>
          </cell>
          <cell r="L662">
            <v>1393859</v>
          </cell>
          <cell r="M662">
            <v>-2033242</v>
          </cell>
          <cell r="N662">
            <v>0</v>
          </cell>
          <cell r="O662">
            <v>0</v>
          </cell>
          <cell r="P662">
            <v>110176</v>
          </cell>
          <cell r="Q662">
            <v>-790330.13</v>
          </cell>
          <cell r="S662">
            <v>-1222253.1299999999</v>
          </cell>
          <cell r="T662">
            <v>-97284</v>
          </cell>
          <cell r="U662">
            <v>-2616112.13</v>
          </cell>
          <cell r="V662">
            <v>-97284</v>
          </cell>
          <cell r="W662">
            <v>1393859</v>
          </cell>
          <cell r="X662">
            <v>0</v>
          </cell>
          <cell r="Y662">
            <v>-1222253.1299999999</v>
          </cell>
          <cell r="Z662">
            <v>-97284</v>
          </cell>
          <cell r="AA662">
            <v>-1319537.1299999999</v>
          </cell>
          <cell r="AC662">
            <v>15435</v>
          </cell>
          <cell r="AD662">
            <v>0</v>
          </cell>
        </row>
        <row r="663">
          <cell r="S663">
            <v>0</v>
          </cell>
          <cell r="T663">
            <v>0</v>
          </cell>
          <cell r="U663">
            <v>0</v>
          </cell>
          <cell r="V663">
            <v>0</v>
          </cell>
          <cell r="W663">
            <v>0</v>
          </cell>
          <cell r="X663">
            <v>0</v>
          </cell>
          <cell r="Y663">
            <v>0</v>
          </cell>
          <cell r="Z663">
            <v>0</v>
          </cell>
          <cell r="AA663">
            <v>0</v>
          </cell>
          <cell r="AC663">
            <v>0</v>
          </cell>
          <cell r="AD663">
            <v>0</v>
          </cell>
        </row>
        <row r="664">
          <cell r="B664">
            <v>15436</v>
          </cell>
          <cell r="C664" t="str">
            <v>LIABILITY FOR EXPENSES (2010-11)</v>
          </cell>
          <cell r="D664">
            <v>222484</v>
          </cell>
          <cell r="E664">
            <v>-1428921.26</v>
          </cell>
          <cell r="F664">
            <v>446173.03</v>
          </cell>
          <cell r="G664">
            <v>-1958015</v>
          </cell>
          <cell r="H664">
            <v>0</v>
          </cell>
          <cell r="I664">
            <v>0</v>
          </cell>
          <cell r="J664">
            <v>0</v>
          </cell>
          <cell r="K664">
            <v>0</v>
          </cell>
          <cell r="L664">
            <v>0</v>
          </cell>
          <cell r="M664">
            <v>-66316</v>
          </cell>
          <cell r="N664">
            <v>0</v>
          </cell>
          <cell r="O664">
            <v>0</v>
          </cell>
          <cell r="P664">
            <v>668657.03</v>
          </cell>
          <cell r="Q664">
            <v>-3386936.26</v>
          </cell>
          <cell r="S664">
            <v>-1272753.26</v>
          </cell>
          <cell r="T664">
            <v>-1511841.97</v>
          </cell>
          <cell r="U664">
            <v>-1272753.26</v>
          </cell>
          <cell r="V664">
            <v>-1827177.97</v>
          </cell>
          <cell r="W664">
            <v>0</v>
          </cell>
          <cell r="X664">
            <v>315336</v>
          </cell>
          <cell r="Y664">
            <v>-1272753.26</v>
          </cell>
          <cell r="Z664">
            <v>-1511841.97</v>
          </cell>
          <cell r="AA664">
            <v>-2784595.23</v>
          </cell>
          <cell r="AC664">
            <v>15436</v>
          </cell>
          <cell r="AD664">
            <v>0</v>
          </cell>
        </row>
        <row r="665">
          <cell r="S665">
            <v>0</v>
          </cell>
          <cell r="T665">
            <v>0</v>
          </cell>
          <cell r="U665">
            <v>0</v>
          </cell>
          <cell r="V665">
            <v>0</v>
          </cell>
          <cell r="W665">
            <v>0</v>
          </cell>
          <cell r="X665">
            <v>0</v>
          </cell>
          <cell r="Y665">
            <v>0</v>
          </cell>
          <cell r="Z665">
            <v>0</v>
          </cell>
          <cell r="AA665">
            <v>0</v>
          </cell>
          <cell r="AC665">
            <v>0</v>
          </cell>
          <cell r="AD665">
            <v>0</v>
          </cell>
        </row>
        <row r="666">
          <cell r="B666">
            <v>15439</v>
          </cell>
          <cell r="C666" t="str">
            <v>SHARE APPLN MONEY BOI</v>
          </cell>
          <cell r="D666">
            <v>0</v>
          </cell>
          <cell r="E666">
            <v>0</v>
          </cell>
          <cell r="F666">
            <v>0</v>
          </cell>
          <cell r="G666">
            <v>0</v>
          </cell>
          <cell r="H666">
            <v>0</v>
          </cell>
          <cell r="I666">
            <v>0</v>
          </cell>
          <cell r="J666">
            <v>0</v>
          </cell>
          <cell r="K666">
            <v>0</v>
          </cell>
          <cell r="L666">
            <v>0</v>
          </cell>
          <cell r="M666">
            <v>-1550</v>
          </cell>
          <cell r="N666">
            <v>0</v>
          </cell>
          <cell r="O666">
            <v>0</v>
          </cell>
          <cell r="P666">
            <v>0</v>
          </cell>
          <cell r="Q666">
            <v>0</v>
          </cell>
          <cell r="S666">
            <v>-1550</v>
          </cell>
          <cell r="T666">
            <v>0</v>
          </cell>
          <cell r="U666">
            <v>-1550</v>
          </cell>
          <cell r="V666">
            <v>0</v>
          </cell>
          <cell r="W666">
            <v>0</v>
          </cell>
          <cell r="X666">
            <v>0</v>
          </cell>
          <cell r="Y666">
            <v>-1550</v>
          </cell>
          <cell r="Z666">
            <v>0</v>
          </cell>
          <cell r="AA666">
            <v>-1550</v>
          </cell>
          <cell r="AC666">
            <v>15439</v>
          </cell>
          <cell r="AD666">
            <v>0</v>
          </cell>
        </row>
        <row r="667">
          <cell r="S667">
            <v>0</v>
          </cell>
          <cell r="T667">
            <v>0</v>
          </cell>
          <cell r="U667">
            <v>0</v>
          </cell>
          <cell r="V667">
            <v>0</v>
          </cell>
          <cell r="W667">
            <v>0</v>
          </cell>
          <cell r="X667">
            <v>0</v>
          </cell>
          <cell r="Y667">
            <v>0</v>
          </cell>
          <cell r="Z667">
            <v>0</v>
          </cell>
          <cell r="AA667">
            <v>0</v>
          </cell>
          <cell r="AC667">
            <v>0</v>
          </cell>
          <cell r="AD667">
            <v>0</v>
          </cell>
        </row>
        <row r="668">
          <cell r="E668" t="str">
            <v>SDCT</v>
          </cell>
          <cell r="F668" t="str">
            <v>PCDT</v>
          </cell>
          <cell r="G668" t="str">
            <v>PCDC</v>
          </cell>
          <cell r="I668" t="str">
            <v>PCDN</v>
          </cell>
          <cell r="K668" t="str">
            <v>CORP</v>
          </cell>
          <cell r="M668" t="str">
            <v>OTHER</v>
          </cell>
          <cell r="O668" t="str">
            <v>TOTAL</v>
          </cell>
          <cell r="U668">
            <v>0</v>
          </cell>
          <cell r="V668">
            <v>0</v>
          </cell>
          <cell r="W668">
            <v>0</v>
          </cell>
          <cell r="X668">
            <v>0</v>
          </cell>
          <cell r="Y668">
            <v>0</v>
          </cell>
          <cell r="Z668">
            <v>0</v>
          </cell>
          <cell r="AA668">
            <v>0</v>
          </cell>
          <cell r="AC668">
            <v>0</v>
          </cell>
          <cell r="AD668">
            <v>0</v>
          </cell>
        </row>
        <row r="669">
          <cell r="B669" t="str">
            <v>GL CODE</v>
          </cell>
          <cell r="C669" t="str">
            <v>ACCOUNT HEAD</v>
          </cell>
          <cell r="S669">
            <v>0</v>
          </cell>
          <cell r="T669">
            <v>0</v>
          </cell>
          <cell r="U669" t="str">
            <v>SDCT</v>
          </cell>
          <cell r="V669" t="str">
            <v>PCDT</v>
          </cell>
          <cell r="AA669">
            <v>0</v>
          </cell>
          <cell r="AC669">
            <v>0</v>
          </cell>
          <cell r="AD669" t="e">
            <v>#VALUE!</v>
          </cell>
        </row>
        <row r="670">
          <cell r="S670">
            <v>0</v>
          </cell>
          <cell r="T670">
            <v>0</v>
          </cell>
          <cell r="U670">
            <v>0</v>
          </cell>
          <cell r="V670">
            <v>0</v>
          </cell>
          <cell r="W670">
            <v>0</v>
          </cell>
          <cell r="X670">
            <v>0</v>
          </cell>
          <cell r="Y670">
            <v>0</v>
          </cell>
          <cell r="Z670">
            <v>0</v>
          </cell>
          <cell r="AA670">
            <v>0</v>
          </cell>
          <cell r="AC670">
            <v>0</v>
          </cell>
          <cell r="AD670">
            <v>0</v>
          </cell>
        </row>
        <row r="671">
          <cell r="D671" t="str">
            <v>DR.</v>
          </cell>
          <cell r="E671" t="str">
            <v>CR.</v>
          </cell>
          <cell r="F671" t="str">
            <v>DR.</v>
          </cell>
          <cell r="G671" t="str">
            <v>CR.</v>
          </cell>
          <cell r="H671" t="str">
            <v>DR.</v>
          </cell>
          <cell r="I671" t="str">
            <v>CR.</v>
          </cell>
          <cell r="J671" t="str">
            <v>DR.</v>
          </cell>
          <cell r="K671" t="str">
            <v>CR.</v>
          </cell>
          <cell r="L671" t="str">
            <v>DR.</v>
          </cell>
          <cell r="M671" t="str">
            <v>CR.</v>
          </cell>
          <cell r="N671" t="str">
            <v>DR.</v>
          </cell>
          <cell r="O671" t="str">
            <v>CR.</v>
          </cell>
          <cell r="P671" t="str">
            <v>DR.</v>
          </cell>
          <cell r="Q671" t="str">
            <v>CR.</v>
          </cell>
          <cell r="U671">
            <v>0</v>
          </cell>
          <cell r="V671">
            <v>0</v>
          </cell>
          <cell r="W671">
            <v>0</v>
          </cell>
          <cell r="X671">
            <v>0</v>
          </cell>
          <cell r="Y671">
            <v>0</v>
          </cell>
          <cell r="Z671">
            <v>0</v>
          </cell>
          <cell r="AA671">
            <v>0</v>
          </cell>
          <cell r="AC671">
            <v>0</v>
          </cell>
          <cell r="AD671">
            <v>0</v>
          </cell>
        </row>
        <row r="672">
          <cell r="S672">
            <v>0</v>
          </cell>
          <cell r="T672">
            <v>0</v>
          </cell>
          <cell r="U672">
            <v>0</v>
          </cell>
          <cell r="V672">
            <v>0</v>
          </cell>
          <cell r="W672">
            <v>0</v>
          </cell>
          <cell r="X672">
            <v>0</v>
          </cell>
          <cell r="Y672">
            <v>0</v>
          </cell>
          <cell r="Z672">
            <v>0</v>
          </cell>
          <cell r="AA672">
            <v>0</v>
          </cell>
          <cell r="AC672">
            <v>0</v>
          </cell>
          <cell r="AD672">
            <v>0</v>
          </cell>
        </row>
        <row r="673">
          <cell r="S673">
            <v>0</v>
          </cell>
          <cell r="T673">
            <v>0</v>
          </cell>
          <cell r="U673">
            <v>0</v>
          </cell>
          <cell r="V673">
            <v>0</v>
          </cell>
          <cell r="W673">
            <v>0</v>
          </cell>
          <cell r="X673">
            <v>0</v>
          </cell>
          <cell r="Y673">
            <v>0</v>
          </cell>
          <cell r="Z673">
            <v>0</v>
          </cell>
          <cell r="AA673">
            <v>0</v>
          </cell>
          <cell r="AC673">
            <v>0</v>
          </cell>
          <cell r="AD673">
            <v>0</v>
          </cell>
        </row>
        <row r="674">
          <cell r="B674">
            <v>15440</v>
          </cell>
          <cell r="C674" t="str">
            <v>NET SALARY ADJUSTABLE</v>
          </cell>
          <cell r="D674">
            <v>62671178</v>
          </cell>
          <cell r="E674">
            <v>-37433213</v>
          </cell>
          <cell r="F674">
            <v>46526058</v>
          </cell>
          <cell r="G674">
            <v>-26545092</v>
          </cell>
          <cell r="H674">
            <v>0</v>
          </cell>
          <cell r="I674">
            <v>0</v>
          </cell>
          <cell r="J674">
            <v>0</v>
          </cell>
          <cell r="K674">
            <v>0</v>
          </cell>
          <cell r="L674">
            <v>18394813</v>
          </cell>
          <cell r="M674">
            <v>-10156273</v>
          </cell>
          <cell r="N674">
            <v>0</v>
          </cell>
          <cell r="O674">
            <v>0</v>
          </cell>
          <cell r="P674">
            <v>109197236</v>
          </cell>
          <cell r="Q674">
            <v>-63978305</v>
          </cell>
          <cell r="S674">
            <v>33476505</v>
          </cell>
          <cell r="T674">
            <v>19980966</v>
          </cell>
          <cell r="U674">
            <v>-3941883</v>
          </cell>
          <cell r="V674">
            <v>-1515947</v>
          </cell>
          <cell r="W674">
            <v>37418388</v>
          </cell>
          <cell r="X674">
            <v>21496913</v>
          </cell>
          <cell r="Y674">
            <v>33476505</v>
          </cell>
          <cell r="Z674">
            <v>19980966</v>
          </cell>
          <cell r="AA674">
            <v>53457471</v>
          </cell>
          <cell r="AC674">
            <v>15440</v>
          </cell>
          <cell r="AD674">
            <v>0</v>
          </cell>
        </row>
        <row r="675">
          <cell r="S675">
            <v>0</v>
          </cell>
          <cell r="T675">
            <v>0</v>
          </cell>
          <cell r="U675">
            <v>0</v>
          </cell>
          <cell r="V675">
            <v>0</v>
          </cell>
          <cell r="W675">
            <v>0</v>
          </cell>
          <cell r="X675">
            <v>0</v>
          </cell>
          <cell r="Y675">
            <v>0</v>
          </cell>
          <cell r="Z675">
            <v>0</v>
          </cell>
          <cell r="AA675">
            <v>0</v>
          </cell>
          <cell r="AC675">
            <v>0</v>
          </cell>
          <cell r="AD675">
            <v>0</v>
          </cell>
        </row>
        <row r="676">
          <cell r="B676">
            <v>15441</v>
          </cell>
          <cell r="C676" t="str">
            <v>SUPERANNUATION ADJUSTABLE</v>
          </cell>
          <cell r="D676">
            <v>49234</v>
          </cell>
          <cell r="E676">
            <v>-70935</v>
          </cell>
          <cell r="F676">
            <v>76116</v>
          </cell>
          <cell r="G676">
            <v>-76116</v>
          </cell>
          <cell r="H676">
            <v>0</v>
          </cell>
          <cell r="I676">
            <v>0</v>
          </cell>
          <cell r="J676">
            <v>0</v>
          </cell>
          <cell r="K676">
            <v>0</v>
          </cell>
          <cell r="L676">
            <v>62559</v>
          </cell>
          <cell r="M676">
            <v>-62559</v>
          </cell>
          <cell r="N676">
            <v>0</v>
          </cell>
          <cell r="O676">
            <v>0</v>
          </cell>
          <cell r="P676">
            <v>125350</v>
          </cell>
          <cell r="Q676">
            <v>-147051</v>
          </cell>
          <cell r="S676">
            <v>-21701</v>
          </cell>
          <cell r="T676">
            <v>0</v>
          </cell>
          <cell r="U676">
            <v>-21701</v>
          </cell>
          <cell r="V676">
            <v>0</v>
          </cell>
          <cell r="W676">
            <v>0</v>
          </cell>
          <cell r="X676">
            <v>0</v>
          </cell>
          <cell r="Y676">
            <v>-21701</v>
          </cell>
          <cell r="Z676">
            <v>0</v>
          </cell>
          <cell r="AA676">
            <v>-21701</v>
          </cell>
          <cell r="AC676">
            <v>15441</v>
          </cell>
          <cell r="AD676">
            <v>0</v>
          </cell>
        </row>
        <row r="677">
          <cell r="S677">
            <v>0</v>
          </cell>
          <cell r="T677">
            <v>0</v>
          </cell>
          <cell r="U677">
            <v>0</v>
          </cell>
          <cell r="V677">
            <v>0</v>
          </cell>
          <cell r="W677">
            <v>0</v>
          </cell>
          <cell r="X677">
            <v>0</v>
          </cell>
          <cell r="Y677">
            <v>0</v>
          </cell>
          <cell r="Z677">
            <v>0</v>
          </cell>
          <cell r="AA677">
            <v>0</v>
          </cell>
          <cell r="AC677">
            <v>0</v>
          </cell>
          <cell r="AD677">
            <v>0</v>
          </cell>
        </row>
        <row r="678">
          <cell r="B678">
            <v>15442</v>
          </cell>
          <cell r="C678" t="str">
            <v>WELFARE FUND ADJUSTABLE</v>
          </cell>
          <cell r="D678">
            <v>5370</v>
          </cell>
          <cell r="E678">
            <v>-62262</v>
          </cell>
          <cell r="F678">
            <v>6636</v>
          </cell>
          <cell r="G678">
            <v>-6000</v>
          </cell>
          <cell r="H678">
            <v>0</v>
          </cell>
          <cell r="I678">
            <v>0</v>
          </cell>
          <cell r="J678">
            <v>0</v>
          </cell>
          <cell r="K678">
            <v>0</v>
          </cell>
          <cell r="L678">
            <v>0</v>
          </cell>
          <cell r="M678">
            <v>0</v>
          </cell>
          <cell r="N678">
            <v>0</v>
          </cell>
          <cell r="O678">
            <v>0</v>
          </cell>
          <cell r="P678">
            <v>12006</v>
          </cell>
          <cell r="Q678">
            <v>-68262</v>
          </cell>
          <cell r="S678">
            <v>-56892</v>
          </cell>
          <cell r="T678">
            <v>636</v>
          </cell>
          <cell r="U678">
            <v>-58638</v>
          </cell>
          <cell r="V678">
            <v>0</v>
          </cell>
          <cell r="W678">
            <v>1746</v>
          </cell>
          <cell r="X678">
            <v>636</v>
          </cell>
          <cell r="Y678">
            <v>-56892</v>
          </cell>
          <cell r="Z678">
            <v>636</v>
          </cell>
          <cell r="AA678">
            <v>-56256</v>
          </cell>
          <cell r="AC678">
            <v>15442</v>
          </cell>
          <cell r="AD678">
            <v>0</v>
          </cell>
        </row>
        <row r="679">
          <cell r="S679">
            <v>0</v>
          </cell>
          <cell r="T679">
            <v>0</v>
          </cell>
          <cell r="U679">
            <v>0</v>
          </cell>
          <cell r="V679">
            <v>0</v>
          </cell>
          <cell r="W679">
            <v>0</v>
          </cell>
          <cell r="X679">
            <v>0</v>
          </cell>
          <cell r="Y679">
            <v>0</v>
          </cell>
          <cell r="Z679">
            <v>0</v>
          </cell>
          <cell r="AA679">
            <v>0</v>
          </cell>
          <cell r="AC679">
            <v>0</v>
          </cell>
          <cell r="AD679">
            <v>0</v>
          </cell>
        </row>
        <row r="680">
          <cell r="B680">
            <v>15443</v>
          </cell>
          <cell r="C680" t="str">
            <v>BANK LOAN ADJUSTABLE A/C</v>
          </cell>
          <cell r="D680">
            <v>4304717</v>
          </cell>
          <cell r="E680">
            <v>-2832359</v>
          </cell>
          <cell r="F680">
            <v>2127623</v>
          </cell>
          <cell r="G680">
            <v>-1237173</v>
          </cell>
          <cell r="H680">
            <v>0</v>
          </cell>
          <cell r="I680">
            <v>0</v>
          </cell>
          <cell r="J680">
            <v>0</v>
          </cell>
          <cell r="K680">
            <v>0</v>
          </cell>
          <cell r="L680">
            <v>100258</v>
          </cell>
          <cell r="M680">
            <v>-67966</v>
          </cell>
          <cell r="N680">
            <v>0</v>
          </cell>
          <cell r="O680">
            <v>0</v>
          </cell>
          <cell r="P680">
            <v>6432340</v>
          </cell>
          <cell r="Q680">
            <v>-4069532</v>
          </cell>
          <cell r="S680">
            <v>1504650</v>
          </cell>
          <cell r="T680">
            <v>890450</v>
          </cell>
          <cell r="U680">
            <v>-385575</v>
          </cell>
          <cell r="V680">
            <v>94750</v>
          </cell>
          <cell r="W680">
            <v>1890225</v>
          </cell>
          <cell r="X680">
            <v>795700</v>
          </cell>
          <cell r="Y680">
            <v>1504650</v>
          </cell>
          <cell r="Z680">
            <v>890450</v>
          </cell>
          <cell r="AA680">
            <v>2395100</v>
          </cell>
          <cell r="AC680">
            <v>15443</v>
          </cell>
          <cell r="AD680">
            <v>0</v>
          </cell>
        </row>
        <row r="681">
          <cell r="S681">
            <v>0</v>
          </cell>
          <cell r="T681">
            <v>0</v>
          </cell>
          <cell r="U681">
            <v>0</v>
          </cell>
          <cell r="V681">
            <v>0</v>
          </cell>
          <cell r="W681">
            <v>0</v>
          </cell>
          <cell r="X681">
            <v>0</v>
          </cell>
          <cell r="Y681">
            <v>0</v>
          </cell>
          <cell r="Z681">
            <v>0</v>
          </cell>
          <cell r="AA681">
            <v>0</v>
          </cell>
          <cell r="AC681">
            <v>0</v>
          </cell>
          <cell r="AD681">
            <v>0</v>
          </cell>
        </row>
        <row r="682">
          <cell r="B682">
            <v>15444</v>
          </cell>
          <cell r="C682" t="str">
            <v>L I C ADJUSTABLE</v>
          </cell>
          <cell r="D682">
            <v>2236170.38</v>
          </cell>
          <cell r="E682">
            <v>-1348754.2</v>
          </cell>
          <cell r="F682">
            <v>989254</v>
          </cell>
          <cell r="G682">
            <v>-631461</v>
          </cell>
          <cell r="H682">
            <v>0</v>
          </cell>
          <cell r="I682">
            <v>0</v>
          </cell>
          <cell r="J682">
            <v>0</v>
          </cell>
          <cell r="K682">
            <v>0</v>
          </cell>
          <cell r="L682">
            <v>1383</v>
          </cell>
          <cell r="M682">
            <v>-19152</v>
          </cell>
          <cell r="N682">
            <v>0</v>
          </cell>
          <cell r="O682">
            <v>0</v>
          </cell>
          <cell r="P682">
            <v>3225424.38</v>
          </cell>
          <cell r="Q682">
            <v>-1980215.2</v>
          </cell>
          <cell r="S682">
            <v>869647.17999999993</v>
          </cell>
          <cell r="T682">
            <v>357793</v>
          </cell>
          <cell r="U682">
            <v>-113295.02</v>
          </cell>
          <cell r="V682">
            <v>-36399</v>
          </cell>
          <cell r="W682">
            <v>982942.2</v>
          </cell>
          <cell r="X682">
            <v>394192</v>
          </cell>
          <cell r="Y682">
            <v>869647.17999999993</v>
          </cell>
          <cell r="Z682">
            <v>357793</v>
          </cell>
          <cell r="AA682">
            <v>1227440.18</v>
          </cell>
          <cell r="AC682">
            <v>15444</v>
          </cell>
          <cell r="AD682">
            <v>0</v>
          </cell>
        </row>
        <row r="683">
          <cell r="S683">
            <v>0</v>
          </cell>
          <cell r="T683">
            <v>0</v>
          </cell>
          <cell r="U683">
            <v>0</v>
          </cell>
          <cell r="V683">
            <v>0</v>
          </cell>
          <cell r="W683">
            <v>0</v>
          </cell>
          <cell r="X683">
            <v>0</v>
          </cell>
          <cell r="Y683">
            <v>0</v>
          </cell>
          <cell r="Z683">
            <v>0</v>
          </cell>
          <cell r="AA683">
            <v>0</v>
          </cell>
          <cell r="AC683">
            <v>0</v>
          </cell>
          <cell r="AD683">
            <v>0</v>
          </cell>
        </row>
        <row r="684">
          <cell r="B684">
            <v>15445</v>
          </cell>
          <cell r="C684" t="str">
            <v>MISC DEDUCTION SALARY ADJUSTABLE A/C</v>
          </cell>
          <cell r="D684">
            <v>2289614.6</v>
          </cell>
          <cell r="E684">
            <v>-1677831.66</v>
          </cell>
          <cell r="F684">
            <v>2185894</v>
          </cell>
          <cell r="G684">
            <v>-1966677.94</v>
          </cell>
          <cell r="H684">
            <v>0</v>
          </cell>
          <cell r="I684">
            <v>0</v>
          </cell>
          <cell r="J684">
            <v>0</v>
          </cell>
          <cell r="K684">
            <v>0</v>
          </cell>
          <cell r="L684">
            <v>1054517</v>
          </cell>
          <cell r="M684">
            <v>-1586526</v>
          </cell>
          <cell r="N684">
            <v>0</v>
          </cell>
          <cell r="O684">
            <v>0</v>
          </cell>
          <cell r="P684">
            <v>4475508.5999999996</v>
          </cell>
          <cell r="Q684">
            <v>-3644509.6</v>
          </cell>
          <cell r="S684">
            <v>79773.940000000177</v>
          </cell>
          <cell r="T684">
            <v>219216.06000000006</v>
          </cell>
          <cell r="U684">
            <v>-143464.06</v>
          </cell>
          <cell r="V684">
            <v>111793.06</v>
          </cell>
          <cell r="W684">
            <v>223238.00000000017</v>
          </cell>
          <cell r="X684">
            <v>107423.00000000006</v>
          </cell>
          <cell r="Y684">
            <v>79773.940000000177</v>
          </cell>
          <cell r="Z684">
            <v>219216.06000000006</v>
          </cell>
          <cell r="AA684">
            <v>298990.00000000023</v>
          </cell>
          <cell r="AC684">
            <v>15445</v>
          </cell>
          <cell r="AD684">
            <v>0</v>
          </cell>
        </row>
        <row r="685">
          <cell r="S685">
            <v>0</v>
          </cell>
          <cell r="T685">
            <v>0</v>
          </cell>
          <cell r="U685">
            <v>0</v>
          </cell>
          <cell r="V685">
            <v>0</v>
          </cell>
          <cell r="W685">
            <v>0</v>
          </cell>
          <cell r="X685">
            <v>0</v>
          </cell>
          <cell r="Y685">
            <v>0</v>
          </cell>
          <cell r="Z685">
            <v>0</v>
          </cell>
          <cell r="AA685">
            <v>0</v>
          </cell>
          <cell r="AC685">
            <v>0</v>
          </cell>
          <cell r="AD685">
            <v>0</v>
          </cell>
        </row>
        <row r="686">
          <cell r="B686">
            <v>15446</v>
          </cell>
          <cell r="C686" t="str">
            <v>EMPLOYEES CO-OP CREDIT SOCIETY</v>
          </cell>
          <cell r="D686">
            <v>4572064</v>
          </cell>
          <cell r="E686">
            <v>-2526421</v>
          </cell>
          <cell r="F686">
            <v>4885593</v>
          </cell>
          <cell r="G686">
            <v>-3123426</v>
          </cell>
          <cell r="H686">
            <v>0</v>
          </cell>
          <cell r="I686">
            <v>0</v>
          </cell>
          <cell r="J686">
            <v>0</v>
          </cell>
          <cell r="K686">
            <v>0</v>
          </cell>
          <cell r="L686">
            <v>233935</v>
          </cell>
          <cell r="M686">
            <v>-484657</v>
          </cell>
          <cell r="N686">
            <v>0</v>
          </cell>
          <cell r="O686">
            <v>0</v>
          </cell>
          <cell r="P686">
            <v>9457657</v>
          </cell>
          <cell r="Q686">
            <v>-5649847</v>
          </cell>
          <cell r="S686">
            <v>1794921</v>
          </cell>
          <cell r="T686">
            <v>1762167</v>
          </cell>
          <cell r="U686">
            <v>-224899</v>
          </cell>
          <cell r="V686">
            <v>-206626</v>
          </cell>
          <cell r="W686">
            <v>2019820</v>
          </cell>
          <cell r="X686">
            <v>1968793</v>
          </cell>
          <cell r="Y686">
            <v>1794921</v>
          </cell>
          <cell r="Z686">
            <v>1762167</v>
          </cell>
          <cell r="AA686">
            <v>3557088</v>
          </cell>
          <cell r="AC686">
            <v>15446</v>
          </cell>
          <cell r="AD686">
            <v>0</v>
          </cell>
        </row>
        <row r="687">
          <cell r="S687">
            <v>0</v>
          </cell>
          <cell r="T687">
            <v>0</v>
          </cell>
          <cell r="U687">
            <v>0</v>
          </cell>
          <cell r="V687">
            <v>0</v>
          </cell>
          <cell r="W687">
            <v>0</v>
          </cell>
          <cell r="X687">
            <v>0</v>
          </cell>
          <cell r="Y687">
            <v>0</v>
          </cell>
          <cell r="Z687">
            <v>0</v>
          </cell>
          <cell r="AA687">
            <v>0</v>
          </cell>
          <cell r="AC687">
            <v>0</v>
          </cell>
          <cell r="AD687">
            <v>0</v>
          </cell>
        </row>
        <row r="688">
          <cell r="B688">
            <v>15447</v>
          </cell>
          <cell r="C688" t="str">
            <v>HOUSING LOAN ADJUSTABLE A/C</v>
          </cell>
          <cell r="D688">
            <v>0</v>
          </cell>
          <cell r="E688">
            <v>0</v>
          </cell>
          <cell r="F688">
            <v>750487</v>
          </cell>
          <cell r="G688">
            <v>-481567</v>
          </cell>
          <cell r="H688">
            <v>0</v>
          </cell>
          <cell r="I688">
            <v>0</v>
          </cell>
          <cell r="J688">
            <v>0</v>
          </cell>
          <cell r="K688">
            <v>0</v>
          </cell>
          <cell r="L688">
            <v>0</v>
          </cell>
          <cell r="M688">
            <v>0</v>
          </cell>
          <cell r="N688">
            <v>0</v>
          </cell>
          <cell r="O688">
            <v>0</v>
          </cell>
          <cell r="P688">
            <v>750487</v>
          </cell>
          <cell r="Q688">
            <v>-481567</v>
          </cell>
          <cell r="S688">
            <v>0</v>
          </cell>
          <cell r="T688">
            <v>268920</v>
          </cell>
          <cell r="U688">
            <v>0</v>
          </cell>
          <cell r="V688">
            <v>-33615</v>
          </cell>
          <cell r="W688">
            <v>0</v>
          </cell>
          <cell r="X688">
            <v>302535</v>
          </cell>
          <cell r="Y688">
            <v>0</v>
          </cell>
          <cell r="Z688">
            <v>268920</v>
          </cell>
          <cell r="AA688">
            <v>268920</v>
          </cell>
          <cell r="AC688">
            <v>15447</v>
          </cell>
          <cell r="AD688">
            <v>0</v>
          </cell>
        </row>
        <row r="689">
          <cell r="S689">
            <v>0</v>
          </cell>
          <cell r="T689">
            <v>0</v>
          </cell>
          <cell r="U689">
            <v>0</v>
          </cell>
          <cell r="V689">
            <v>0</v>
          </cell>
          <cell r="W689">
            <v>0</v>
          </cell>
          <cell r="X689">
            <v>0</v>
          </cell>
          <cell r="Y689">
            <v>0</v>
          </cell>
          <cell r="Z689">
            <v>0</v>
          </cell>
          <cell r="AA689">
            <v>0</v>
          </cell>
          <cell r="AC689">
            <v>0</v>
          </cell>
          <cell r="AD689">
            <v>0</v>
          </cell>
        </row>
        <row r="690">
          <cell r="B690">
            <v>15448</v>
          </cell>
          <cell r="C690" t="str">
            <v>UNCLAIMED SALARY/WAGES</v>
          </cell>
          <cell r="D690">
            <v>0</v>
          </cell>
          <cell r="E690">
            <v>-22791</v>
          </cell>
          <cell r="F690">
            <v>0</v>
          </cell>
          <cell r="G690">
            <v>0</v>
          </cell>
          <cell r="H690">
            <v>0</v>
          </cell>
          <cell r="I690">
            <v>0</v>
          </cell>
          <cell r="J690">
            <v>0</v>
          </cell>
          <cell r="K690">
            <v>0</v>
          </cell>
          <cell r="L690">
            <v>0</v>
          </cell>
          <cell r="M690">
            <v>0</v>
          </cell>
          <cell r="N690">
            <v>0</v>
          </cell>
          <cell r="O690">
            <v>0</v>
          </cell>
          <cell r="P690">
            <v>0</v>
          </cell>
          <cell r="Q690">
            <v>-22791</v>
          </cell>
          <cell r="S690">
            <v>-22791</v>
          </cell>
          <cell r="T690">
            <v>0</v>
          </cell>
          <cell r="U690">
            <v>-22791</v>
          </cell>
          <cell r="V690">
            <v>0</v>
          </cell>
          <cell r="W690">
            <v>0</v>
          </cell>
          <cell r="X690">
            <v>0</v>
          </cell>
          <cell r="Y690">
            <v>-22791</v>
          </cell>
          <cell r="Z690">
            <v>0</v>
          </cell>
          <cell r="AA690">
            <v>-22791</v>
          </cell>
          <cell r="AC690">
            <v>15448</v>
          </cell>
          <cell r="AD690">
            <v>0</v>
          </cell>
        </row>
        <row r="691">
          <cell r="S691">
            <v>0</v>
          </cell>
          <cell r="T691">
            <v>0</v>
          </cell>
          <cell r="U691">
            <v>0</v>
          </cell>
          <cell r="V691">
            <v>0</v>
          </cell>
          <cell r="W691">
            <v>0</v>
          </cell>
          <cell r="X691">
            <v>0</v>
          </cell>
          <cell r="Y691">
            <v>0</v>
          </cell>
          <cell r="Z691">
            <v>0</v>
          </cell>
          <cell r="AA691">
            <v>0</v>
          </cell>
          <cell r="AC691">
            <v>0</v>
          </cell>
          <cell r="AD691">
            <v>0</v>
          </cell>
        </row>
        <row r="692">
          <cell r="B692">
            <v>15449</v>
          </cell>
          <cell r="C692" t="str">
            <v>UNCLAIMED BONUS</v>
          </cell>
          <cell r="D692">
            <v>0</v>
          </cell>
          <cell r="E692">
            <v>-11945.59</v>
          </cell>
          <cell r="F692">
            <v>0</v>
          </cell>
          <cell r="G692">
            <v>-3026</v>
          </cell>
          <cell r="H692">
            <v>0</v>
          </cell>
          <cell r="I692">
            <v>0</v>
          </cell>
          <cell r="J692">
            <v>0</v>
          </cell>
          <cell r="K692">
            <v>0</v>
          </cell>
          <cell r="L692">
            <v>0</v>
          </cell>
          <cell r="M692">
            <v>0</v>
          </cell>
          <cell r="N692">
            <v>0</v>
          </cell>
          <cell r="O692">
            <v>0</v>
          </cell>
          <cell r="P692">
            <v>0</v>
          </cell>
          <cell r="Q692">
            <v>-14971.59</v>
          </cell>
          <cell r="S692">
            <v>-11945.59</v>
          </cell>
          <cell r="T692">
            <v>-3026</v>
          </cell>
          <cell r="U692">
            <v>-11945.59</v>
          </cell>
          <cell r="V692">
            <v>-3026</v>
          </cell>
          <cell r="W692">
            <v>0</v>
          </cell>
          <cell r="X692">
            <v>0</v>
          </cell>
          <cell r="Y692">
            <v>-11945.59</v>
          </cell>
          <cell r="Z692">
            <v>-3026</v>
          </cell>
          <cell r="AA692">
            <v>-14971.59</v>
          </cell>
          <cell r="AC692">
            <v>15449</v>
          </cell>
          <cell r="AD692">
            <v>0</v>
          </cell>
        </row>
        <row r="693">
          <cell r="S693">
            <v>0</v>
          </cell>
          <cell r="T693">
            <v>0</v>
          </cell>
          <cell r="U693">
            <v>0</v>
          </cell>
          <cell r="V693">
            <v>0</v>
          </cell>
          <cell r="W693">
            <v>0</v>
          </cell>
          <cell r="X693">
            <v>0</v>
          </cell>
          <cell r="Y693">
            <v>0</v>
          </cell>
          <cell r="Z693">
            <v>0</v>
          </cell>
          <cell r="AA693">
            <v>0</v>
          </cell>
          <cell r="AC693">
            <v>0</v>
          </cell>
          <cell r="AD693">
            <v>0</v>
          </cell>
        </row>
        <row r="694">
          <cell r="B694">
            <v>15450</v>
          </cell>
          <cell r="C694" t="str">
            <v>COIN ADJ</v>
          </cell>
          <cell r="D694">
            <v>2000652.34</v>
          </cell>
          <cell r="E694">
            <v>-2000695.7</v>
          </cell>
          <cell r="F694">
            <v>2790578.91</v>
          </cell>
          <cell r="G694">
            <v>-2490850.5</v>
          </cell>
          <cell r="H694">
            <v>0</v>
          </cell>
          <cell r="I694">
            <v>0</v>
          </cell>
          <cell r="J694">
            <v>0</v>
          </cell>
          <cell r="K694">
            <v>0</v>
          </cell>
          <cell r="L694">
            <v>12.15</v>
          </cell>
          <cell r="M694">
            <v>-12.15</v>
          </cell>
          <cell r="N694">
            <v>0</v>
          </cell>
          <cell r="O694">
            <v>0</v>
          </cell>
          <cell r="P694">
            <v>4791231.25</v>
          </cell>
          <cell r="Q694">
            <v>-4491546.2</v>
          </cell>
          <cell r="S694">
            <v>-43.359999999869615</v>
          </cell>
          <cell r="T694">
            <v>299728.41000000015</v>
          </cell>
          <cell r="U694">
            <v>0</v>
          </cell>
          <cell r="V694">
            <v>22403.63</v>
          </cell>
          <cell r="W694">
            <v>-43.359999999869615</v>
          </cell>
          <cell r="X694">
            <v>277324.78000000014</v>
          </cell>
          <cell r="Y694">
            <v>-43.359999999869615</v>
          </cell>
          <cell r="Z694">
            <v>299728.41000000015</v>
          </cell>
          <cell r="AA694">
            <v>299685.05000000028</v>
          </cell>
          <cell r="AC694">
            <v>15450</v>
          </cell>
          <cell r="AD694">
            <v>0</v>
          </cell>
        </row>
        <row r="695">
          <cell r="S695">
            <v>0</v>
          </cell>
          <cell r="T695">
            <v>0</v>
          </cell>
          <cell r="U695">
            <v>0</v>
          </cell>
          <cell r="V695">
            <v>0</v>
          </cell>
          <cell r="W695">
            <v>0</v>
          </cell>
          <cell r="X695">
            <v>0</v>
          </cell>
          <cell r="Y695">
            <v>0</v>
          </cell>
          <cell r="Z695">
            <v>0</v>
          </cell>
          <cell r="AA695">
            <v>0</v>
          </cell>
          <cell r="AC695">
            <v>0</v>
          </cell>
          <cell r="AD695">
            <v>0</v>
          </cell>
        </row>
        <row r="696">
          <cell r="B696">
            <v>15452</v>
          </cell>
          <cell r="C696" t="str">
            <v>PROVISION FOR MANAGERIAL EXP.</v>
          </cell>
          <cell r="D696">
            <v>0</v>
          </cell>
          <cell r="E696">
            <v>0</v>
          </cell>
          <cell r="F696">
            <v>0</v>
          </cell>
          <cell r="G696">
            <v>0</v>
          </cell>
          <cell r="H696">
            <v>0</v>
          </cell>
          <cell r="I696">
            <v>0</v>
          </cell>
          <cell r="J696">
            <v>0</v>
          </cell>
          <cell r="K696">
            <v>0</v>
          </cell>
          <cell r="L696">
            <v>259878</v>
          </cell>
          <cell r="M696">
            <v>0</v>
          </cell>
          <cell r="N696">
            <v>0</v>
          </cell>
          <cell r="O696">
            <v>0</v>
          </cell>
          <cell r="P696">
            <v>0</v>
          </cell>
          <cell r="Q696">
            <v>0</v>
          </cell>
          <cell r="S696">
            <v>259878</v>
          </cell>
          <cell r="T696">
            <v>0</v>
          </cell>
          <cell r="U696">
            <v>0</v>
          </cell>
          <cell r="V696">
            <v>0</v>
          </cell>
          <cell r="W696">
            <v>259878</v>
          </cell>
          <cell r="X696">
            <v>0</v>
          </cell>
          <cell r="Y696">
            <v>259878</v>
          </cell>
          <cell r="Z696">
            <v>0</v>
          </cell>
          <cell r="AA696">
            <v>259878</v>
          </cell>
          <cell r="AC696">
            <v>15452</v>
          </cell>
          <cell r="AD696">
            <v>0</v>
          </cell>
        </row>
        <row r="697">
          <cell r="S697">
            <v>0</v>
          </cell>
          <cell r="T697">
            <v>0</v>
          </cell>
          <cell r="U697">
            <v>0</v>
          </cell>
          <cell r="V697">
            <v>0</v>
          </cell>
          <cell r="W697">
            <v>0</v>
          </cell>
          <cell r="X697">
            <v>0</v>
          </cell>
          <cell r="Y697">
            <v>0</v>
          </cell>
          <cell r="Z697">
            <v>0</v>
          </cell>
          <cell r="AA697">
            <v>0</v>
          </cell>
          <cell r="AC697">
            <v>0</v>
          </cell>
          <cell r="AD697">
            <v>0</v>
          </cell>
        </row>
        <row r="698">
          <cell r="B698">
            <v>15454</v>
          </cell>
          <cell r="C698" t="str">
            <v>PAYABLE TO EMPLOYEES</v>
          </cell>
          <cell r="D698">
            <v>0</v>
          </cell>
          <cell r="E698">
            <v>-123857.5</v>
          </cell>
          <cell r="F698">
            <v>0</v>
          </cell>
          <cell r="G698">
            <v>-15000</v>
          </cell>
          <cell r="H698">
            <v>0</v>
          </cell>
          <cell r="I698">
            <v>0</v>
          </cell>
          <cell r="J698">
            <v>0</v>
          </cell>
          <cell r="K698">
            <v>0</v>
          </cell>
          <cell r="L698">
            <v>0</v>
          </cell>
          <cell r="M698">
            <v>-25314</v>
          </cell>
          <cell r="N698">
            <v>0</v>
          </cell>
          <cell r="O698">
            <v>0</v>
          </cell>
          <cell r="P698">
            <v>0</v>
          </cell>
          <cell r="Q698">
            <v>-138857.5</v>
          </cell>
          <cell r="S698">
            <v>-149171.5</v>
          </cell>
          <cell r="T698">
            <v>-15000</v>
          </cell>
          <cell r="U698">
            <v>-149171.5</v>
          </cell>
          <cell r="V698">
            <v>-15000</v>
          </cell>
          <cell r="W698">
            <v>0</v>
          </cell>
          <cell r="X698">
            <v>0</v>
          </cell>
          <cell r="Y698">
            <v>-149171.5</v>
          </cell>
          <cell r="Z698">
            <v>-15000</v>
          </cell>
          <cell r="AA698">
            <v>-164171.5</v>
          </cell>
          <cell r="AC698">
            <v>15454</v>
          </cell>
          <cell r="AD698">
            <v>0</v>
          </cell>
        </row>
        <row r="699">
          <cell r="S699">
            <v>0</v>
          </cell>
          <cell r="T699">
            <v>0</v>
          </cell>
          <cell r="U699">
            <v>0</v>
          </cell>
          <cell r="V699">
            <v>0</v>
          </cell>
          <cell r="W699">
            <v>0</v>
          </cell>
          <cell r="X699">
            <v>0</v>
          </cell>
          <cell r="Y699">
            <v>0</v>
          </cell>
          <cell r="Z699">
            <v>0</v>
          </cell>
          <cell r="AA699">
            <v>0</v>
          </cell>
          <cell r="AC699">
            <v>0</v>
          </cell>
          <cell r="AD699">
            <v>0</v>
          </cell>
        </row>
        <row r="700">
          <cell r="B700">
            <v>15456</v>
          </cell>
          <cell r="C700" t="str">
            <v>ADVANCE HP (SALE OF PROPERTY)</v>
          </cell>
          <cell r="D700">
            <v>0</v>
          </cell>
          <cell r="E700">
            <v>0</v>
          </cell>
          <cell r="F700">
            <v>0</v>
          </cell>
          <cell r="G700">
            <v>0</v>
          </cell>
          <cell r="H700">
            <v>0</v>
          </cell>
          <cell r="I700">
            <v>0</v>
          </cell>
          <cell r="J700">
            <v>0</v>
          </cell>
          <cell r="K700">
            <v>0</v>
          </cell>
          <cell r="L700">
            <v>0</v>
          </cell>
          <cell r="M700">
            <v>0</v>
          </cell>
          <cell r="N700">
            <v>0</v>
          </cell>
          <cell r="O700">
            <v>-2225000</v>
          </cell>
          <cell r="P700">
            <v>0</v>
          </cell>
          <cell r="Q700">
            <v>-2225000</v>
          </cell>
          <cell r="S700">
            <v>-2225000</v>
          </cell>
          <cell r="T700">
            <v>0</v>
          </cell>
          <cell r="U700">
            <v>-2225000</v>
          </cell>
          <cell r="V700">
            <v>0</v>
          </cell>
          <cell r="W700">
            <v>0</v>
          </cell>
          <cell r="X700">
            <v>0</v>
          </cell>
          <cell r="Y700">
            <v>-2225000</v>
          </cell>
          <cell r="Z700">
            <v>0</v>
          </cell>
          <cell r="AA700">
            <v>-2225000</v>
          </cell>
          <cell r="AC700">
            <v>15456</v>
          </cell>
          <cell r="AD700">
            <v>0</v>
          </cell>
        </row>
        <row r="701">
          <cell r="S701">
            <v>0</v>
          </cell>
          <cell r="T701">
            <v>0</v>
          </cell>
          <cell r="U701">
            <v>0</v>
          </cell>
          <cell r="V701">
            <v>0</v>
          </cell>
          <cell r="W701">
            <v>0</v>
          </cell>
          <cell r="X701">
            <v>0</v>
          </cell>
          <cell r="Y701">
            <v>0</v>
          </cell>
          <cell r="Z701">
            <v>0</v>
          </cell>
          <cell r="AA701">
            <v>0</v>
          </cell>
          <cell r="AC701">
            <v>0</v>
          </cell>
          <cell r="AD701">
            <v>0</v>
          </cell>
        </row>
        <row r="702">
          <cell r="B702">
            <v>15457</v>
          </cell>
          <cell r="C702" t="str">
            <v>LIABILITY FOR MISC. CHG (FERA)</v>
          </cell>
          <cell r="D702">
            <v>42341.61</v>
          </cell>
          <cell r="E702">
            <v>-42341.61</v>
          </cell>
          <cell r="F702">
            <v>0</v>
          </cell>
          <cell r="G702">
            <v>0</v>
          </cell>
          <cell r="H702">
            <v>0</v>
          </cell>
          <cell r="I702">
            <v>0</v>
          </cell>
          <cell r="J702">
            <v>0</v>
          </cell>
          <cell r="K702">
            <v>0</v>
          </cell>
          <cell r="L702">
            <v>0</v>
          </cell>
          <cell r="M702">
            <v>0</v>
          </cell>
          <cell r="N702">
            <v>0</v>
          </cell>
          <cell r="O702">
            <v>0</v>
          </cell>
          <cell r="P702">
            <v>42341.61</v>
          </cell>
          <cell r="Q702">
            <v>-42341.61</v>
          </cell>
          <cell r="S702">
            <v>0</v>
          </cell>
          <cell r="T702">
            <v>0</v>
          </cell>
          <cell r="U702">
            <v>0</v>
          </cell>
          <cell r="V702">
            <v>0</v>
          </cell>
          <cell r="W702">
            <v>0</v>
          </cell>
          <cell r="X702">
            <v>0</v>
          </cell>
          <cell r="Y702">
            <v>0</v>
          </cell>
          <cell r="Z702">
            <v>0</v>
          </cell>
          <cell r="AA702">
            <v>0</v>
          </cell>
          <cell r="AC702">
            <v>15457</v>
          </cell>
          <cell r="AD702">
            <v>0</v>
          </cell>
        </row>
        <row r="703">
          <cell r="S703">
            <v>0</v>
          </cell>
          <cell r="T703">
            <v>0</v>
          </cell>
          <cell r="U703">
            <v>0</v>
          </cell>
          <cell r="V703">
            <v>0</v>
          </cell>
          <cell r="W703">
            <v>0</v>
          </cell>
          <cell r="X703">
            <v>0</v>
          </cell>
          <cell r="Y703">
            <v>0</v>
          </cell>
          <cell r="Z703">
            <v>0</v>
          </cell>
          <cell r="AA703">
            <v>0</v>
          </cell>
          <cell r="AC703">
            <v>0</v>
          </cell>
          <cell r="AD703">
            <v>0</v>
          </cell>
        </row>
        <row r="704">
          <cell r="B704">
            <v>15458</v>
          </cell>
          <cell r="C704" t="str">
            <v>LIABILITY FOR CLG FRD CHG (FERA)</v>
          </cell>
          <cell r="D704">
            <v>8626300.5399999991</v>
          </cell>
          <cell r="E704">
            <v>-10821691.24</v>
          </cell>
          <cell r="F704">
            <v>19632159233.240002</v>
          </cell>
          <cell r="G704">
            <v>-19640950504.5</v>
          </cell>
          <cell r="H704">
            <v>0</v>
          </cell>
          <cell r="I704">
            <v>0</v>
          </cell>
          <cell r="J704">
            <v>0</v>
          </cell>
          <cell r="K704">
            <v>0</v>
          </cell>
          <cell r="L704">
            <v>0</v>
          </cell>
          <cell r="M704">
            <v>0</v>
          </cell>
          <cell r="N704">
            <v>635850.38</v>
          </cell>
          <cell r="O704">
            <v>-635850.38</v>
          </cell>
          <cell r="P704">
            <v>19641421384.16</v>
          </cell>
          <cell r="Q704">
            <v>-19652408046.119999</v>
          </cell>
          <cell r="S704">
            <v>-2195390.7000000011</v>
          </cell>
          <cell r="T704">
            <v>-8791271.2599983215</v>
          </cell>
          <cell r="U704">
            <v>0</v>
          </cell>
          <cell r="V704">
            <v>0</v>
          </cell>
          <cell r="W704">
            <v>-2195390.7000000011</v>
          </cell>
          <cell r="X704">
            <v>-8791271.2599983215</v>
          </cell>
          <cell r="Y704">
            <v>-2195390.7000000011</v>
          </cell>
          <cell r="Z704">
            <v>-8791271.2599983215</v>
          </cell>
          <cell r="AA704">
            <v>-10986661.959998323</v>
          </cell>
          <cell r="AC704">
            <v>15458</v>
          </cell>
          <cell r="AD704">
            <v>0</v>
          </cell>
        </row>
        <row r="705">
          <cell r="S705">
            <v>0</v>
          </cell>
          <cell r="T705">
            <v>0</v>
          </cell>
          <cell r="U705">
            <v>0</v>
          </cell>
          <cell r="V705">
            <v>0</v>
          </cell>
          <cell r="W705">
            <v>0</v>
          </cell>
          <cell r="X705">
            <v>0</v>
          </cell>
          <cell r="Y705">
            <v>0</v>
          </cell>
          <cell r="Z705">
            <v>0</v>
          </cell>
          <cell r="AA705">
            <v>0</v>
          </cell>
          <cell r="AC705">
            <v>0</v>
          </cell>
          <cell r="AD705">
            <v>0</v>
          </cell>
        </row>
        <row r="706">
          <cell r="B706">
            <v>15459</v>
          </cell>
          <cell r="C706" t="str">
            <v>LIABILITY FOR EXPENSES (2011-12)</v>
          </cell>
          <cell r="D706">
            <v>21059729.890000001</v>
          </cell>
          <cell r="E706">
            <v>-18054756.379999999</v>
          </cell>
          <cell r="F706">
            <v>15701729.83</v>
          </cell>
          <cell r="G706">
            <v>-15888919.85</v>
          </cell>
          <cell r="H706">
            <v>0</v>
          </cell>
          <cell r="I706">
            <v>0</v>
          </cell>
          <cell r="J706">
            <v>12222</v>
          </cell>
          <cell r="K706">
            <v>-12222</v>
          </cell>
          <cell r="L706">
            <v>3760810.05</v>
          </cell>
          <cell r="M706">
            <v>-8614425.2599999998</v>
          </cell>
          <cell r="N706">
            <v>0</v>
          </cell>
          <cell r="O706">
            <v>0</v>
          </cell>
          <cell r="P706">
            <v>36773681.719999999</v>
          </cell>
          <cell r="Q706">
            <v>-33955898.229999997</v>
          </cell>
          <cell r="S706">
            <v>-1848641.6999999983</v>
          </cell>
          <cell r="T706">
            <v>-187190.01999999955</v>
          </cell>
          <cell r="U706">
            <v>-7113250.7000000002</v>
          </cell>
          <cell r="V706">
            <v>-187190.02</v>
          </cell>
          <cell r="W706">
            <v>5264609.0000000019</v>
          </cell>
          <cell r="X706">
            <v>4.3655745685100555E-10</v>
          </cell>
          <cell r="Y706">
            <v>-1848641.6999999983</v>
          </cell>
          <cell r="Z706">
            <v>-187190.01999999955</v>
          </cell>
          <cell r="AA706">
            <v>-2035831.7199999979</v>
          </cell>
          <cell r="AC706">
            <v>15459</v>
          </cell>
          <cell r="AD706">
            <v>0</v>
          </cell>
        </row>
        <row r="707">
          <cell r="S707">
            <v>0</v>
          </cell>
          <cell r="T707">
            <v>0</v>
          </cell>
          <cell r="U707">
            <v>0</v>
          </cell>
          <cell r="V707">
            <v>0</v>
          </cell>
          <cell r="W707">
            <v>0</v>
          </cell>
          <cell r="X707">
            <v>0</v>
          </cell>
          <cell r="Y707">
            <v>0</v>
          </cell>
          <cell r="Z707">
            <v>0</v>
          </cell>
          <cell r="AA707">
            <v>0</v>
          </cell>
          <cell r="AC707">
            <v>0</v>
          </cell>
          <cell r="AD707">
            <v>0</v>
          </cell>
        </row>
        <row r="708">
          <cell r="B708">
            <v>15461</v>
          </cell>
          <cell r="C708" t="str">
            <v>LIABILITY OF FREIGHT IN (FOB) EXPORT</v>
          </cell>
          <cell r="D708">
            <v>5674764.3200000003</v>
          </cell>
          <cell r="E708">
            <v>-6130924.3899999997</v>
          </cell>
          <cell r="F708">
            <v>207444.43</v>
          </cell>
          <cell r="G708">
            <v>-461721.73</v>
          </cell>
          <cell r="H708">
            <v>0</v>
          </cell>
          <cell r="I708">
            <v>0</v>
          </cell>
          <cell r="J708">
            <v>0</v>
          </cell>
          <cell r="K708">
            <v>0</v>
          </cell>
          <cell r="L708">
            <v>0</v>
          </cell>
          <cell r="M708">
            <v>0</v>
          </cell>
          <cell r="N708">
            <v>635850.38</v>
          </cell>
          <cell r="O708">
            <v>-635850.38</v>
          </cell>
          <cell r="P708">
            <v>6518059.1299999999</v>
          </cell>
          <cell r="Q708">
            <v>-7228496.5</v>
          </cell>
          <cell r="S708">
            <v>-456160.06999999937</v>
          </cell>
          <cell r="T708">
            <v>-254277.3</v>
          </cell>
          <cell r="U708">
            <v>0</v>
          </cell>
          <cell r="V708">
            <v>0</v>
          </cell>
          <cell r="W708">
            <v>-456160.06999999937</v>
          </cell>
          <cell r="X708">
            <v>-254277.3</v>
          </cell>
          <cell r="Y708">
            <v>-456160.06999999937</v>
          </cell>
          <cell r="Z708">
            <v>-254277.3</v>
          </cell>
          <cell r="AA708">
            <v>-710437.36999999941</v>
          </cell>
          <cell r="AC708">
            <v>15461</v>
          </cell>
          <cell r="AD708">
            <v>0</v>
          </cell>
        </row>
        <row r="709">
          <cell r="S709">
            <v>0</v>
          </cell>
          <cell r="T709">
            <v>0</v>
          </cell>
          <cell r="U709">
            <v>0</v>
          </cell>
          <cell r="V709">
            <v>0</v>
          </cell>
          <cell r="W709">
            <v>0</v>
          </cell>
          <cell r="X709">
            <v>0</v>
          </cell>
          <cell r="Y709">
            <v>0</v>
          </cell>
          <cell r="Z709">
            <v>0</v>
          </cell>
          <cell r="AA709">
            <v>0</v>
          </cell>
          <cell r="AC709">
            <v>0</v>
          </cell>
          <cell r="AD709">
            <v>0</v>
          </cell>
        </row>
        <row r="710">
          <cell r="B710">
            <v>15462</v>
          </cell>
          <cell r="C710" t="str">
            <v>LIABILITY FOR EXPENSES (2012-13)</v>
          </cell>
          <cell r="D710">
            <v>19401988.800000001</v>
          </cell>
          <cell r="E710">
            <v>-18266690</v>
          </cell>
          <cell r="F710">
            <v>12356760.439999999</v>
          </cell>
          <cell r="G710">
            <v>-17814412.440000001</v>
          </cell>
          <cell r="H710">
            <v>0</v>
          </cell>
          <cell r="I710">
            <v>0</v>
          </cell>
          <cell r="J710">
            <v>0</v>
          </cell>
          <cell r="K710">
            <v>0</v>
          </cell>
          <cell r="L710">
            <v>3871266.72</v>
          </cell>
          <cell r="M710">
            <v>-5665024.7199999997</v>
          </cell>
          <cell r="N710">
            <v>0</v>
          </cell>
          <cell r="O710">
            <v>0</v>
          </cell>
          <cell r="P710">
            <v>31758749.239999998</v>
          </cell>
          <cell r="Q710">
            <v>-36081102.439999998</v>
          </cell>
          <cell r="S710">
            <v>-658459.19999999832</v>
          </cell>
          <cell r="T710">
            <v>-5457652.0000000019</v>
          </cell>
          <cell r="U710">
            <v>-15327904.720000001</v>
          </cell>
          <cell r="V710">
            <v>-15710753.52</v>
          </cell>
          <cell r="W710">
            <v>14669445.520000003</v>
          </cell>
          <cell r="X710">
            <v>10253101.519999998</v>
          </cell>
          <cell r="Y710">
            <v>-658459.19999999739</v>
          </cell>
          <cell r="Z710">
            <v>-5457652.0000000019</v>
          </cell>
          <cell r="AA710">
            <v>-6116111.1999999993</v>
          </cell>
          <cell r="AC710">
            <v>15462</v>
          </cell>
          <cell r="AD710">
            <v>0</v>
          </cell>
        </row>
        <row r="711">
          <cell r="S711">
            <v>0</v>
          </cell>
          <cell r="T711">
            <v>0</v>
          </cell>
          <cell r="U711">
            <v>0</v>
          </cell>
          <cell r="V711">
            <v>0</v>
          </cell>
          <cell r="W711">
            <v>0</v>
          </cell>
          <cell r="X711">
            <v>0</v>
          </cell>
          <cell r="Y711">
            <v>0</v>
          </cell>
          <cell r="Z711">
            <v>0</v>
          </cell>
          <cell r="AA711">
            <v>0</v>
          </cell>
          <cell r="AC711">
            <v>0</v>
          </cell>
          <cell r="AD711">
            <v>0</v>
          </cell>
        </row>
        <row r="712">
          <cell r="B712">
            <v>15470</v>
          </cell>
          <cell r="C712" t="str">
            <v>LIABILITY FOR EXPENSES (OLD [UPTO 2010])</v>
          </cell>
          <cell r="D712">
            <v>4399690</v>
          </cell>
          <cell r="E712">
            <v>-5203204.26</v>
          </cell>
          <cell r="F712">
            <v>3378635.57</v>
          </cell>
          <cell r="G712">
            <v>-3638671.2</v>
          </cell>
          <cell r="H712">
            <v>0</v>
          </cell>
          <cell r="I712">
            <v>0</v>
          </cell>
          <cell r="J712">
            <v>0</v>
          </cell>
          <cell r="K712">
            <v>0</v>
          </cell>
          <cell r="L712">
            <v>0</v>
          </cell>
          <cell r="M712">
            <v>0</v>
          </cell>
          <cell r="N712">
            <v>0</v>
          </cell>
          <cell r="O712">
            <v>0</v>
          </cell>
          <cell r="P712">
            <v>7778325.5700000003</v>
          </cell>
          <cell r="Q712">
            <v>-8841875.4600000009</v>
          </cell>
          <cell r="S712">
            <v>-803514.25999999978</v>
          </cell>
          <cell r="T712">
            <v>-260035.63000000035</v>
          </cell>
          <cell r="U712">
            <v>-1204278.26</v>
          </cell>
          <cell r="V712">
            <v>-260035.63</v>
          </cell>
          <cell r="W712">
            <v>400764.00000000023</v>
          </cell>
          <cell r="X712">
            <v>-3.4924596548080444E-10</v>
          </cell>
          <cell r="Y712">
            <v>-803514.25999999978</v>
          </cell>
          <cell r="Z712">
            <v>-260035.63000000035</v>
          </cell>
          <cell r="AA712">
            <v>-1063549.8900000001</v>
          </cell>
          <cell r="AC712">
            <v>15470</v>
          </cell>
          <cell r="AD712">
            <v>0</v>
          </cell>
        </row>
        <row r="713">
          <cell r="S713">
            <v>0</v>
          </cell>
          <cell r="T713">
            <v>0</v>
          </cell>
          <cell r="U713">
            <v>0</v>
          </cell>
          <cell r="V713">
            <v>0</v>
          </cell>
          <cell r="W713">
            <v>0</v>
          </cell>
          <cell r="X713">
            <v>0</v>
          </cell>
          <cell r="Y713">
            <v>0</v>
          </cell>
          <cell r="Z713">
            <v>0</v>
          </cell>
          <cell r="AA713">
            <v>0</v>
          </cell>
          <cell r="AC713">
            <v>0</v>
          </cell>
          <cell r="AD713">
            <v>0</v>
          </cell>
        </row>
        <row r="714">
          <cell r="B714">
            <v>15474</v>
          </cell>
          <cell r="C714" t="str">
            <v>INT ACCRUED BUT NOT DUE ON LOAN</v>
          </cell>
          <cell r="D714">
            <v>197976.23</v>
          </cell>
          <cell r="E714">
            <v>-197976.23</v>
          </cell>
          <cell r="F714">
            <v>0</v>
          </cell>
          <cell r="G714">
            <v>0</v>
          </cell>
          <cell r="H714">
            <v>0</v>
          </cell>
          <cell r="I714">
            <v>0</v>
          </cell>
          <cell r="J714">
            <v>0</v>
          </cell>
          <cell r="K714">
            <v>0</v>
          </cell>
          <cell r="L714">
            <v>29664207.609999999</v>
          </cell>
          <cell r="M714">
            <v>-29664207.609999999</v>
          </cell>
          <cell r="N714">
            <v>0</v>
          </cell>
          <cell r="O714">
            <v>0</v>
          </cell>
          <cell r="P714">
            <v>197976.23</v>
          </cell>
          <cell r="Q714">
            <v>-197976.23</v>
          </cell>
          <cell r="S714">
            <v>0</v>
          </cell>
          <cell r="T714">
            <v>0</v>
          </cell>
          <cell r="U714">
            <v>-197976.23</v>
          </cell>
          <cell r="V714">
            <v>0</v>
          </cell>
          <cell r="W714">
            <v>197976.23</v>
          </cell>
          <cell r="X714">
            <v>0</v>
          </cell>
          <cell r="Y714">
            <v>0</v>
          </cell>
          <cell r="Z714">
            <v>0</v>
          </cell>
          <cell r="AA714">
            <v>0</v>
          </cell>
          <cell r="AC714">
            <v>15474</v>
          </cell>
          <cell r="AD714">
            <v>0</v>
          </cell>
        </row>
        <row r="715">
          <cell r="S715">
            <v>0</v>
          </cell>
          <cell r="T715">
            <v>0</v>
          </cell>
          <cell r="U715">
            <v>0</v>
          </cell>
          <cell r="V715">
            <v>0</v>
          </cell>
          <cell r="W715">
            <v>0</v>
          </cell>
          <cell r="X715">
            <v>0</v>
          </cell>
          <cell r="Y715">
            <v>0</v>
          </cell>
          <cell r="Z715">
            <v>0</v>
          </cell>
          <cell r="AA715">
            <v>0</v>
          </cell>
          <cell r="AC715">
            <v>0</v>
          </cell>
          <cell r="AD715">
            <v>0</v>
          </cell>
        </row>
        <row r="716">
          <cell r="B716">
            <v>15489</v>
          </cell>
          <cell r="C716" t="str">
            <v>DIVIDEND (LIAB) A/C (1734-1742)</v>
          </cell>
          <cell r="D716">
            <v>0</v>
          </cell>
          <cell r="E716">
            <v>0</v>
          </cell>
          <cell r="F716">
            <v>0</v>
          </cell>
          <cell r="G716">
            <v>0</v>
          </cell>
          <cell r="H716">
            <v>0</v>
          </cell>
          <cell r="I716">
            <v>0</v>
          </cell>
          <cell r="J716">
            <v>0</v>
          </cell>
          <cell r="K716">
            <v>0</v>
          </cell>
          <cell r="L716">
            <v>241367.82</v>
          </cell>
          <cell r="M716">
            <v>-48433160.329999998</v>
          </cell>
          <cell r="N716">
            <v>0</v>
          </cell>
          <cell r="O716">
            <v>0</v>
          </cell>
          <cell r="P716">
            <v>0</v>
          </cell>
          <cell r="Q716">
            <v>0</v>
          </cell>
          <cell r="S716">
            <v>-48191792.509999998</v>
          </cell>
          <cell r="T716">
            <v>0</v>
          </cell>
          <cell r="U716">
            <v>-935750.51</v>
          </cell>
          <cell r="V716">
            <v>0</v>
          </cell>
          <cell r="W716">
            <v>-47256042</v>
          </cell>
          <cell r="X716">
            <v>0</v>
          </cell>
          <cell r="Y716">
            <v>-48191792.509999998</v>
          </cell>
          <cell r="Z716">
            <v>0</v>
          </cell>
          <cell r="AA716">
            <v>-48191792.509999998</v>
          </cell>
          <cell r="AC716">
            <v>15489</v>
          </cell>
          <cell r="AD716">
            <v>0</v>
          </cell>
        </row>
        <row r="717">
          <cell r="S717">
            <v>0</v>
          </cell>
          <cell r="T717">
            <v>0</v>
          </cell>
          <cell r="U717">
            <v>0</v>
          </cell>
          <cell r="V717">
            <v>0</v>
          </cell>
          <cell r="W717">
            <v>0</v>
          </cell>
          <cell r="X717">
            <v>0</v>
          </cell>
          <cell r="Y717">
            <v>0</v>
          </cell>
          <cell r="Z717">
            <v>0</v>
          </cell>
          <cell r="AA717">
            <v>0</v>
          </cell>
          <cell r="AC717">
            <v>0</v>
          </cell>
          <cell r="AD717">
            <v>0</v>
          </cell>
        </row>
        <row r="718">
          <cell r="B718">
            <v>15497</v>
          </cell>
          <cell r="C718" t="str">
            <v>DEPOSIT RECEIVED</v>
          </cell>
          <cell r="D718">
            <v>1524102</v>
          </cell>
          <cell r="E718">
            <v>-2908384</v>
          </cell>
          <cell r="F718">
            <v>1891092</v>
          </cell>
          <cell r="G718">
            <v>-7326282.0300000003</v>
          </cell>
          <cell r="H718">
            <v>0</v>
          </cell>
          <cell r="I718">
            <v>0</v>
          </cell>
          <cell r="J718">
            <v>0</v>
          </cell>
          <cell r="K718">
            <v>0</v>
          </cell>
          <cell r="L718">
            <v>0</v>
          </cell>
          <cell r="M718">
            <v>0</v>
          </cell>
          <cell r="N718">
            <v>0</v>
          </cell>
          <cell r="O718">
            <v>0</v>
          </cell>
          <cell r="P718">
            <v>3415194</v>
          </cell>
          <cell r="Q718">
            <v>-10234666.029999999</v>
          </cell>
          <cell r="S718">
            <v>-1384282</v>
          </cell>
          <cell r="T718">
            <v>-5435190.0300000003</v>
          </cell>
          <cell r="U718">
            <v>-1732143</v>
          </cell>
          <cell r="V718">
            <v>-5165815.03</v>
          </cell>
          <cell r="W718">
            <v>347861</v>
          </cell>
          <cell r="X718">
            <v>-269375</v>
          </cell>
          <cell r="Y718">
            <v>-1384282</v>
          </cell>
          <cell r="Z718">
            <v>-5435190.0300000003</v>
          </cell>
          <cell r="AA718">
            <v>-6819472.0300000003</v>
          </cell>
          <cell r="AC718">
            <v>15497</v>
          </cell>
          <cell r="AD718">
            <v>0</v>
          </cell>
        </row>
        <row r="719">
          <cell r="S719">
            <v>0</v>
          </cell>
          <cell r="T719">
            <v>0</v>
          </cell>
          <cell r="U719">
            <v>0</v>
          </cell>
          <cell r="V719">
            <v>0</v>
          </cell>
          <cell r="W719">
            <v>0</v>
          </cell>
          <cell r="X719">
            <v>0</v>
          </cell>
          <cell r="Y719">
            <v>0</v>
          </cell>
          <cell r="Z719">
            <v>0</v>
          </cell>
          <cell r="AA719">
            <v>0</v>
          </cell>
          <cell r="AC719">
            <v>0</v>
          </cell>
          <cell r="AD719">
            <v>0</v>
          </cell>
        </row>
        <row r="720">
          <cell r="B720">
            <v>15498</v>
          </cell>
          <cell r="C720" t="str">
            <v>EMD RECEIVED</v>
          </cell>
          <cell r="D720">
            <v>979500</v>
          </cell>
          <cell r="E720">
            <v>-584500</v>
          </cell>
          <cell r="F720">
            <v>0</v>
          </cell>
          <cell r="G720">
            <v>0</v>
          </cell>
          <cell r="H720">
            <v>0</v>
          </cell>
          <cell r="I720">
            <v>0</v>
          </cell>
          <cell r="J720">
            <v>0</v>
          </cell>
          <cell r="K720">
            <v>0</v>
          </cell>
          <cell r="L720">
            <v>0</v>
          </cell>
          <cell r="M720">
            <v>0</v>
          </cell>
          <cell r="N720">
            <v>0</v>
          </cell>
          <cell r="O720">
            <v>0</v>
          </cell>
          <cell r="P720">
            <v>979500</v>
          </cell>
          <cell r="Q720">
            <v>-584500</v>
          </cell>
          <cell r="S720">
            <v>395000</v>
          </cell>
          <cell r="T720">
            <v>0</v>
          </cell>
          <cell r="U720">
            <v>395000</v>
          </cell>
          <cell r="V720">
            <v>0</v>
          </cell>
          <cell r="W720">
            <v>0</v>
          </cell>
          <cell r="X720">
            <v>0</v>
          </cell>
          <cell r="Y720">
            <v>395000</v>
          </cell>
          <cell r="Z720">
            <v>0</v>
          </cell>
          <cell r="AA720">
            <v>395000</v>
          </cell>
          <cell r="AC720">
            <v>15498</v>
          </cell>
          <cell r="AD720">
            <v>0</v>
          </cell>
        </row>
        <row r="721">
          <cell r="S721">
            <v>0</v>
          </cell>
          <cell r="T721">
            <v>0</v>
          </cell>
          <cell r="U721">
            <v>0</v>
          </cell>
          <cell r="V721">
            <v>0</v>
          </cell>
          <cell r="W721">
            <v>0</v>
          </cell>
          <cell r="X721">
            <v>0</v>
          </cell>
          <cell r="Y721">
            <v>0</v>
          </cell>
          <cell r="Z721">
            <v>0</v>
          </cell>
          <cell r="AA721">
            <v>0</v>
          </cell>
          <cell r="AC721">
            <v>0</v>
          </cell>
          <cell r="AD721">
            <v>0</v>
          </cell>
        </row>
        <row r="722">
          <cell r="B722">
            <v>15499</v>
          </cell>
          <cell r="C722" t="str">
            <v>ADVANCE RECEIVED FROM CUST</v>
          </cell>
          <cell r="D722">
            <v>5168815.7300000004</v>
          </cell>
          <cell r="E722">
            <v>-6959491.96</v>
          </cell>
          <cell r="F722">
            <v>0</v>
          </cell>
          <cell r="G722">
            <v>-278091</v>
          </cell>
          <cell r="H722">
            <v>0</v>
          </cell>
          <cell r="I722">
            <v>0</v>
          </cell>
          <cell r="J722">
            <v>0</v>
          </cell>
          <cell r="K722">
            <v>0</v>
          </cell>
          <cell r="L722">
            <v>0</v>
          </cell>
          <cell r="M722">
            <v>0</v>
          </cell>
          <cell r="N722">
            <v>0</v>
          </cell>
          <cell r="O722">
            <v>0</v>
          </cell>
          <cell r="P722">
            <v>5168815.7300000004</v>
          </cell>
          <cell r="Q722">
            <v>-7237582.96</v>
          </cell>
          <cell r="S722">
            <v>-1790676.2299999995</v>
          </cell>
          <cell r="T722">
            <v>-278091</v>
          </cell>
          <cell r="U722">
            <v>-1942505.96</v>
          </cell>
          <cell r="V722">
            <v>0</v>
          </cell>
          <cell r="W722">
            <v>151829.73000000045</v>
          </cell>
          <cell r="X722">
            <v>-278091</v>
          </cell>
          <cell r="Y722">
            <v>-1790676.2299999995</v>
          </cell>
          <cell r="Z722">
            <v>-278091</v>
          </cell>
          <cell r="AA722">
            <v>-2068767.2299999995</v>
          </cell>
          <cell r="AC722">
            <v>15499</v>
          </cell>
          <cell r="AD722">
            <v>0</v>
          </cell>
        </row>
        <row r="723">
          <cell r="S723">
            <v>0</v>
          </cell>
          <cell r="T723">
            <v>0</v>
          </cell>
          <cell r="U723">
            <v>0</v>
          </cell>
          <cell r="V723">
            <v>0</v>
          </cell>
          <cell r="W723">
            <v>0</v>
          </cell>
          <cell r="X723">
            <v>0</v>
          </cell>
          <cell r="Y723">
            <v>0</v>
          </cell>
          <cell r="Z723">
            <v>0</v>
          </cell>
          <cell r="AA723">
            <v>0</v>
          </cell>
          <cell r="AC723">
            <v>0</v>
          </cell>
          <cell r="AD723">
            <v>0</v>
          </cell>
        </row>
        <row r="724">
          <cell r="B724">
            <v>15500</v>
          </cell>
          <cell r="C724" t="str">
            <v>DEBTORS CREDIT BALANCES (2010-11)</v>
          </cell>
          <cell r="D724">
            <v>798126.82</v>
          </cell>
          <cell r="E724">
            <v>-1421966.64</v>
          </cell>
          <cell r="F724">
            <v>3541875.74</v>
          </cell>
          <cell r="G724">
            <v>-5462699.9199999999</v>
          </cell>
          <cell r="H724">
            <v>0</v>
          </cell>
          <cell r="I724">
            <v>0</v>
          </cell>
          <cell r="J724">
            <v>0</v>
          </cell>
          <cell r="K724">
            <v>0</v>
          </cell>
          <cell r="L724">
            <v>0</v>
          </cell>
          <cell r="M724">
            <v>0</v>
          </cell>
          <cell r="N724">
            <v>0</v>
          </cell>
          <cell r="O724">
            <v>0</v>
          </cell>
          <cell r="P724">
            <v>4340002.5599999996</v>
          </cell>
          <cell r="Q724">
            <v>-6884666.5599999996</v>
          </cell>
          <cell r="S724">
            <v>-623839.81999999995</v>
          </cell>
          <cell r="T724">
            <v>-1920824.1799999997</v>
          </cell>
          <cell r="U724">
            <v>-623839.81999999995</v>
          </cell>
          <cell r="V724">
            <v>-1920824.18</v>
          </cell>
          <cell r="W724">
            <v>0</v>
          </cell>
          <cell r="X724">
            <v>0</v>
          </cell>
          <cell r="Y724">
            <v>-623839.81999999995</v>
          </cell>
          <cell r="Z724">
            <v>-1920824.18</v>
          </cell>
          <cell r="AA724">
            <v>-2544664</v>
          </cell>
          <cell r="AC724">
            <v>15500</v>
          </cell>
          <cell r="AD724">
            <v>0</v>
          </cell>
        </row>
        <row r="725">
          <cell r="S725">
            <v>0</v>
          </cell>
          <cell r="T725">
            <v>0</v>
          </cell>
          <cell r="U725">
            <v>0</v>
          </cell>
          <cell r="V725">
            <v>0</v>
          </cell>
          <cell r="W725">
            <v>0</v>
          </cell>
          <cell r="X725">
            <v>0</v>
          </cell>
          <cell r="Y725">
            <v>0</v>
          </cell>
          <cell r="Z725">
            <v>0</v>
          </cell>
          <cell r="AA725">
            <v>0</v>
          </cell>
          <cell r="AC725">
            <v>0</v>
          </cell>
          <cell r="AD725">
            <v>0</v>
          </cell>
        </row>
        <row r="726">
          <cell r="B726">
            <v>15506</v>
          </cell>
          <cell r="C726" t="str">
            <v>VAT PAYABLE</v>
          </cell>
          <cell r="D726">
            <v>79193754.219999999</v>
          </cell>
          <cell r="E726">
            <v>-63405532.280000001</v>
          </cell>
          <cell r="F726">
            <v>45962756.32</v>
          </cell>
          <cell r="G726">
            <v>-83851096.909999996</v>
          </cell>
          <cell r="H726">
            <v>467723.84</v>
          </cell>
          <cell r="I726">
            <v>-459785</v>
          </cell>
          <cell r="J726">
            <v>47211</v>
          </cell>
          <cell r="K726">
            <v>-49037</v>
          </cell>
          <cell r="L726">
            <v>12138.39</v>
          </cell>
          <cell r="M726">
            <v>-63.5</v>
          </cell>
          <cell r="N726">
            <v>0</v>
          </cell>
          <cell r="O726">
            <v>0</v>
          </cell>
          <cell r="P726">
            <v>125671445.38</v>
          </cell>
          <cell r="Q726">
            <v>-147765451.19</v>
          </cell>
          <cell r="S726">
            <v>15800296.829999998</v>
          </cell>
          <cell r="T726">
            <v>-37882227.749999993</v>
          </cell>
          <cell r="U726">
            <v>-31970</v>
          </cell>
          <cell r="V726">
            <v>-195546.3</v>
          </cell>
          <cell r="W726">
            <v>15832266.829999998</v>
          </cell>
          <cell r="X726">
            <v>-37686681.449999996</v>
          </cell>
          <cell r="Y726">
            <v>15800296.829999998</v>
          </cell>
          <cell r="Z726">
            <v>-37882227.749999993</v>
          </cell>
          <cell r="AA726">
            <v>-22081930.919999994</v>
          </cell>
          <cell r="AC726">
            <v>15506</v>
          </cell>
          <cell r="AD726">
            <v>0</v>
          </cell>
        </row>
        <row r="727">
          <cell r="S727">
            <v>0</v>
          </cell>
          <cell r="T727">
            <v>0</v>
          </cell>
          <cell r="U727">
            <v>0</v>
          </cell>
          <cell r="V727">
            <v>0</v>
          </cell>
          <cell r="W727">
            <v>0</v>
          </cell>
          <cell r="X727">
            <v>0</v>
          </cell>
          <cell r="Y727">
            <v>0</v>
          </cell>
          <cell r="Z727">
            <v>0</v>
          </cell>
          <cell r="AA727">
            <v>0</v>
          </cell>
          <cell r="AC727">
            <v>0</v>
          </cell>
          <cell r="AD727">
            <v>0</v>
          </cell>
        </row>
        <row r="728">
          <cell r="B728">
            <v>15507</v>
          </cell>
          <cell r="C728" t="str">
            <v>VAT RECEIVABLE</v>
          </cell>
          <cell r="D728">
            <v>13597358.75</v>
          </cell>
          <cell r="E728">
            <v>-13114357.310000001</v>
          </cell>
          <cell r="F728">
            <v>3996168.28</v>
          </cell>
          <cell r="G728">
            <v>-3701499.41</v>
          </cell>
          <cell r="H728">
            <v>20735</v>
          </cell>
          <cell r="I728">
            <v>-20735</v>
          </cell>
          <cell r="J728">
            <v>13158</v>
          </cell>
          <cell r="K728">
            <v>-13158</v>
          </cell>
          <cell r="L728">
            <v>349432.54</v>
          </cell>
          <cell r="M728">
            <v>-261512.93</v>
          </cell>
          <cell r="N728">
            <v>0</v>
          </cell>
          <cell r="O728">
            <v>0</v>
          </cell>
          <cell r="P728">
            <v>17627420.030000001</v>
          </cell>
          <cell r="Q728">
            <v>-16849749.719999999</v>
          </cell>
          <cell r="S728">
            <v>570921.04999999958</v>
          </cell>
          <cell r="T728">
            <v>294668.86999999965</v>
          </cell>
          <cell r="U728">
            <v>50071</v>
          </cell>
          <cell r="V728">
            <v>0</v>
          </cell>
          <cell r="W728">
            <v>520850.04999999958</v>
          </cell>
          <cell r="X728">
            <v>294668.86999999965</v>
          </cell>
          <cell r="Y728">
            <v>570921.04999999958</v>
          </cell>
          <cell r="Z728">
            <v>294668.86999999965</v>
          </cell>
          <cell r="AA728">
            <v>865589.91999999923</v>
          </cell>
          <cell r="AC728">
            <v>15507</v>
          </cell>
          <cell r="AD728">
            <v>0</v>
          </cell>
        </row>
        <row r="729">
          <cell r="S729">
            <v>0</v>
          </cell>
          <cell r="T729">
            <v>0</v>
          </cell>
          <cell r="U729">
            <v>0</v>
          </cell>
          <cell r="V729">
            <v>0</v>
          </cell>
          <cell r="W729">
            <v>0</v>
          </cell>
          <cell r="X729">
            <v>0</v>
          </cell>
          <cell r="Y729">
            <v>0</v>
          </cell>
          <cell r="Z729">
            <v>0</v>
          </cell>
          <cell r="AA729">
            <v>0</v>
          </cell>
          <cell r="AC729">
            <v>0</v>
          </cell>
          <cell r="AD729">
            <v>0</v>
          </cell>
        </row>
        <row r="730">
          <cell r="B730">
            <v>15511</v>
          </cell>
          <cell r="C730" t="str">
            <v>CST PAYABLE</v>
          </cell>
          <cell r="D730">
            <v>3631710.08</v>
          </cell>
          <cell r="E730">
            <v>-6688290.4800000004</v>
          </cell>
          <cell r="F730">
            <v>6569149.25</v>
          </cell>
          <cell r="G730">
            <v>-12208651.35</v>
          </cell>
          <cell r="H730">
            <v>121673.4</v>
          </cell>
          <cell r="I730">
            <v>-119336.3</v>
          </cell>
          <cell r="J730">
            <v>4887.1000000000004</v>
          </cell>
          <cell r="K730">
            <v>-4887.1000000000004</v>
          </cell>
          <cell r="L730">
            <v>0</v>
          </cell>
          <cell r="M730">
            <v>0</v>
          </cell>
          <cell r="N730">
            <v>0</v>
          </cell>
          <cell r="O730">
            <v>0</v>
          </cell>
          <cell r="P730">
            <v>10327419.83</v>
          </cell>
          <cell r="Q730">
            <v>-19021165.23</v>
          </cell>
          <cell r="S730">
            <v>-3056580.4000000004</v>
          </cell>
          <cell r="T730">
            <v>-5637164.9999999991</v>
          </cell>
          <cell r="U730">
            <v>0</v>
          </cell>
          <cell r="V730">
            <v>0</v>
          </cell>
          <cell r="W730">
            <v>-3056580.4000000004</v>
          </cell>
          <cell r="X730">
            <v>-5637164.9999999991</v>
          </cell>
          <cell r="Y730">
            <v>-3056580.4000000004</v>
          </cell>
          <cell r="Z730">
            <v>-5637164.9999999991</v>
          </cell>
          <cell r="AA730">
            <v>-8693745.3999999985</v>
          </cell>
          <cell r="AC730">
            <v>15511</v>
          </cell>
          <cell r="AD730">
            <v>0</v>
          </cell>
        </row>
        <row r="731">
          <cell r="S731">
            <v>0</v>
          </cell>
          <cell r="T731">
            <v>0</v>
          </cell>
          <cell r="U731">
            <v>0</v>
          </cell>
          <cell r="V731">
            <v>0</v>
          </cell>
          <cell r="W731">
            <v>0</v>
          </cell>
          <cell r="X731">
            <v>0</v>
          </cell>
          <cell r="Y731">
            <v>0</v>
          </cell>
          <cell r="Z731">
            <v>0</v>
          </cell>
          <cell r="AA731">
            <v>0</v>
          </cell>
          <cell r="AC731">
            <v>0</v>
          </cell>
          <cell r="AD731">
            <v>0</v>
          </cell>
        </row>
        <row r="732">
          <cell r="B732">
            <v>15518</v>
          </cell>
          <cell r="C732" t="str">
            <v>COCHIN VAT PAYABLE</v>
          </cell>
          <cell r="D732">
            <v>0</v>
          </cell>
          <cell r="E732">
            <v>0</v>
          </cell>
          <cell r="F732">
            <v>143658</v>
          </cell>
          <cell r="G732">
            <v>-143658</v>
          </cell>
          <cell r="H732">
            <v>0</v>
          </cell>
          <cell r="I732">
            <v>0</v>
          </cell>
          <cell r="J732">
            <v>0</v>
          </cell>
          <cell r="K732">
            <v>0</v>
          </cell>
          <cell r="L732">
            <v>0</v>
          </cell>
          <cell r="M732">
            <v>0</v>
          </cell>
          <cell r="N732">
            <v>0</v>
          </cell>
          <cell r="O732">
            <v>0</v>
          </cell>
          <cell r="P732">
            <v>143658</v>
          </cell>
          <cell r="Q732">
            <v>-143658</v>
          </cell>
          <cell r="S732">
            <v>0</v>
          </cell>
          <cell r="T732">
            <v>0</v>
          </cell>
          <cell r="U732">
            <v>0</v>
          </cell>
          <cell r="V732">
            <v>0</v>
          </cell>
          <cell r="W732">
            <v>0</v>
          </cell>
          <cell r="X732">
            <v>0</v>
          </cell>
          <cell r="Y732">
            <v>0</v>
          </cell>
          <cell r="Z732">
            <v>0</v>
          </cell>
          <cell r="AA732">
            <v>0</v>
          </cell>
          <cell r="AC732">
            <v>15518</v>
          </cell>
          <cell r="AD732">
            <v>0</v>
          </cell>
        </row>
        <row r="733">
          <cell r="S733">
            <v>0</v>
          </cell>
          <cell r="T733">
            <v>0</v>
          </cell>
          <cell r="U733">
            <v>0</v>
          </cell>
          <cell r="V733">
            <v>0</v>
          </cell>
          <cell r="W733">
            <v>0</v>
          </cell>
          <cell r="X733">
            <v>0</v>
          </cell>
          <cell r="Y733">
            <v>0</v>
          </cell>
          <cell r="Z733">
            <v>0</v>
          </cell>
          <cell r="AA733">
            <v>0</v>
          </cell>
          <cell r="AC733">
            <v>0</v>
          </cell>
          <cell r="AD733">
            <v>0</v>
          </cell>
        </row>
        <row r="734">
          <cell r="B734">
            <v>15522</v>
          </cell>
          <cell r="C734" t="str">
            <v>CST PAYABLE (COCHIN)</v>
          </cell>
          <cell r="D734">
            <v>0</v>
          </cell>
          <cell r="E734">
            <v>0</v>
          </cell>
          <cell r="F734">
            <v>4083.7</v>
          </cell>
          <cell r="G734">
            <v>-13113</v>
          </cell>
          <cell r="H734">
            <v>0</v>
          </cell>
          <cell r="I734">
            <v>0</v>
          </cell>
          <cell r="J734">
            <v>0</v>
          </cell>
          <cell r="K734">
            <v>0</v>
          </cell>
          <cell r="L734">
            <v>0</v>
          </cell>
          <cell r="M734">
            <v>0</v>
          </cell>
          <cell r="N734">
            <v>0</v>
          </cell>
          <cell r="O734">
            <v>0</v>
          </cell>
          <cell r="P734">
            <v>4083.7</v>
          </cell>
          <cell r="Q734">
            <v>-13113</v>
          </cell>
          <cell r="S734">
            <v>0</v>
          </cell>
          <cell r="T734">
            <v>-9029.2999999999993</v>
          </cell>
          <cell r="U734">
            <v>0</v>
          </cell>
          <cell r="V734">
            <v>0</v>
          </cell>
          <cell r="W734">
            <v>0</v>
          </cell>
          <cell r="X734">
            <v>-9029.2999999999993</v>
          </cell>
          <cell r="Y734">
            <v>0</v>
          </cell>
          <cell r="Z734">
            <v>-9029.2999999999993</v>
          </cell>
          <cell r="AA734">
            <v>-9029.2999999999993</v>
          </cell>
          <cell r="AC734">
            <v>15522</v>
          </cell>
          <cell r="AD734">
            <v>0</v>
          </cell>
        </row>
        <row r="735">
          <cell r="S735">
            <v>0</v>
          </cell>
          <cell r="T735">
            <v>0</v>
          </cell>
          <cell r="U735">
            <v>0</v>
          </cell>
          <cell r="V735">
            <v>0</v>
          </cell>
          <cell r="W735">
            <v>0</v>
          </cell>
          <cell r="X735">
            <v>0</v>
          </cell>
          <cell r="Y735">
            <v>0</v>
          </cell>
          <cell r="Z735">
            <v>0</v>
          </cell>
          <cell r="AA735">
            <v>0</v>
          </cell>
          <cell r="AC735">
            <v>0</v>
          </cell>
          <cell r="AD735">
            <v>0</v>
          </cell>
        </row>
        <row r="736">
          <cell r="B736">
            <v>15526</v>
          </cell>
          <cell r="C736" t="str">
            <v>LIABILITES TOWARDS SALES TAX</v>
          </cell>
          <cell r="D736">
            <v>0</v>
          </cell>
          <cell r="E736">
            <v>-4897049</v>
          </cell>
          <cell r="F736">
            <v>0</v>
          </cell>
          <cell r="G736">
            <v>-6603701</v>
          </cell>
          <cell r="H736">
            <v>0</v>
          </cell>
          <cell r="I736">
            <v>0</v>
          </cell>
          <cell r="J736">
            <v>0</v>
          </cell>
          <cell r="K736">
            <v>0</v>
          </cell>
          <cell r="L736">
            <v>0</v>
          </cell>
          <cell r="M736">
            <v>0</v>
          </cell>
          <cell r="N736">
            <v>0</v>
          </cell>
          <cell r="O736">
            <v>0</v>
          </cell>
          <cell r="P736">
            <v>0</v>
          </cell>
          <cell r="Q736">
            <v>-11500750</v>
          </cell>
          <cell r="S736">
            <v>-4897049</v>
          </cell>
          <cell r="T736">
            <v>-6603701</v>
          </cell>
          <cell r="U736">
            <v>-4897049</v>
          </cell>
          <cell r="V736">
            <v>-6603701</v>
          </cell>
          <cell r="W736">
            <v>0</v>
          </cell>
          <cell r="X736">
            <v>0</v>
          </cell>
          <cell r="Y736">
            <v>-4897049</v>
          </cell>
          <cell r="Z736">
            <v>-6603701</v>
          </cell>
          <cell r="AA736">
            <v>-11500750</v>
          </cell>
          <cell r="AC736">
            <v>15526</v>
          </cell>
          <cell r="AD736">
            <v>0</v>
          </cell>
        </row>
        <row r="737">
          <cell r="S737">
            <v>0</v>
          </cell>
          <cell r="T737">
            <v>0</v>
          </cell>
          <cell r="U737">
            <v>0</v>
          </cell>
          <cell r="V737">
            <v>0</v>
          </cell>
          <cell r="W737">
            <v>0</v>
          </cell>
          <cell r="X737">
            <v>0</v>
          </cell>
          <cell r="Y737">
            <v>0</v>
          </cell>
          <cell r="Z737">
            <v>0</v>
          </cell>
          <cell r="AA737">
            <v>0</v>
          </cell>
          <cell r="AC737">
            <v>0</v>
          </cell>
          <cell r="AD737">
            <v>0</v>
          </cell>
        </row>
        <row r="738">
          <cell r="B738">
            <v>15531</v>
          </cell>
          <cell r="C738" t="str">
            <v>PURCHASE TAX PAYABLE (vat)</v>
          </cell>
          <cell r="D738">
            <v>419250.83</v>
          </cell>
          <cell r="E738">
            <v>-328502.63</v>
          </cell>
          <cell r="F738">
            <v>995521.17</v>
          </cell>
          <cell r="G738">
            <v>-978372.39</v>
          </cell>
          <cell r="H738">
            <v>0</v>
          </cell>
          <cell r="I738">
            <v>0</v>
          </cell>
          <cell r="J738">
            <v>0</v>
          </cell>
          <cell r="K738">
            <v>0</v>
          </cell>
          <cell r="L738">
            <v>0</v>
          </cell>
          <cell r="M738">
            <v>0</v>
          </cell>
          <cell r="N738">
            <v>0</v>
          </cell>
          <cell r="O738">
            <v>0</v>
          </cell>
          <cell r="P738">
            <v>1414772</v>
          </cell>
          <cell r="Q738">
            <v>-1306875.02</v>
          </cell>
          <cell r="S738">
            <v>90748.200000000012</v>
          </cell>
          <cell r="T738">
            <v>17148.780000000028</v>
          </cell>
          <cell r="U738">
            <v>-0.33</v>
          </cell>
          <cell r="V738">
            <v>0</v>
          </cell>
          <cell r="W738">
            <v>90748.530000000013</v>
          </cell>
          <cell r="X738">
            <v>17148.780000000028</v>
          </cell>
          <cell r="Y738">
            <v>90748.200000000012</v>
          </cell>
          <cell r="Z738">
            <v>17148.780000000028</v>
          </cell>
          <cell r="AA738">
            <v>107896.98000000004</v>
          </cell>
          <cell r="AC738">
            <v>15531</v>
          </cell>
          <cell r="AD738">
            <v>0</v>
          </cell>
        </row>
        <row r="739">
          <cell r="S739">
            <v>0</v>
          </cell>
          <cell r="T739">
            <v>0</v>
          </cell>
          <cell r="U739">
            <v>0</v>
          </cell>
          <cell r="V739">
            <v>0</v>
          </cell>
          <cell r="W739">
            <v>0</v>
          </cell>
          <cell r="X739">
            <v>0</v>
          </cell>
          <cell r="Y739">
            <v>0</v>
          </cell>
          <cell r="Z739">
            <v>0</v>
          </cell>
          <cell r="AA739">
            <v>0</v>
          </cell>
          <cell r="AC739">
            <v>0</v>
          </cell>
          <cell r="AD739">
            <v>0</v>
          </cell>
        </row>
        <row r="740">
          <cell r="B740">
            <v>15535</v>
          </cell>
          <cell r="C740" t="str">
            <v>TCS - SCRAP SALES</v>
          </cell>
          <cell r="D740">
            <v>699922</v>
          </cell>
          <cell r="E740">
            <v>-1600335.48</v>
          </cell>
          <cell r="F740">
            <v>23865</v>
          </cell>
          <cell r="G740">
            <v>-24713</v>
          </cell>
          <cell r="H740">
            <v>0</v>
          </cell>
          <cell r="I740">
            <v>0</v>
          </cell>
          <cell r="J740">
            <v>0</v>
          </cell>
          <cell r="K740">
            <v>0</v>
          </cell>
          <cell r="L740">
            <v>0</v>
          </cell>
          <cell r="M740">
            <v>0</v>
          </cell>
          <cell r="N740">
            <v>814272.48</v>
          </cell>
          <cell r="O740">
            <v>0</v>
          </cell>
          <cell r="P740">
            <v>1538059.48</v>
          </cell>
          <cell r="Q740">
            <v>-1625048.48</v>
          </cell>
          <cell r="S740">
            <v>-86141</v>
          </cell>
          <cell r="T740">
            <v>-848</v>
          </cell>
          <cell r="U740">
            <v>0</v>
          </cell>
          <cell r="V740">
            <v>0</v>
          </cell>
          <cell r="W740">
            <v>-86141</v>
          </cell>
          <cell r="X740">
            <v>-848</v>
          </cell>
          <cell r="Y740">
            <v>-86141</v>
          </cell>
          <cell r="Z740">
            <v>-848</v>
          </cell>
          <cell r="AA740">
            <v>-86989</v>
          </cell>
          <cell r="AC740">
            <v>15535</v>
          </cell>
          <cell r="AD740">
            <v>0</v>
          </cell>
        </row>
        <row r="741">
          <cell r="S741">
            <v>0</v>
          </cell>
          <cell r="T741">
            <v>0</v>
          </cell>
          <cell r="U741">
            <v>0</v>
          </cell>
          <cell r="V741">
            <v>0</v>
          </cell>
          <cell r="W741">
            <v>0</v>
          </cell>
          <cell r="X741">
            <v>0</v>
          </cell>
          <cell r="Y741">
            <v>0</v>
          </cell>
          <cell r="Z741">
            <v>0</v>
          </cell>
          <cell r="AA741">
            <v>0</v>
          </cell>
          <cell r="AC741">
            <v>0</v>
          </cell>
          <cell r="AD741">
            <v>0</v>
          </cell>
        </row>
        <row r="742">
          <cell r="E742" t="str">
            <v>SDCT</v>
          </cell>
          <cell r="F742" t="str">
            <v>PCDT</v>
          </cell>
          <cell r="G742" t="str">
            <v>PCDC</v>
          </cell>
          <cell r="I742" t="str">
            <v>PCDN</v>
          </cell>
          <cell r="K742" t="str">
            <v>CORP</v>
          </cell>
          <cell r="M742" t="str">
            <v>OTHER</v>
          </cell>
          <cell r="O742" t="str">
            <v>TOTAL</v>
          </cell>
          <cell r="U742">
            <v>0</v>
          </cell>
          <cell r="V742">
            <v>0</v>
          </cell>
          <cell r="W742">
            <v>0</v>
          </cell>
          <cell r="X742">
            <v>0</v>
          </cell>
          <cell r="Y742">
            <v>0</v>
          </cell>
          <cell r="Z742">
            <v>0</v>
          </cell>
          <cell r="AA742">
            <v>0</v>
          </cell>
          <cell r="AC742">
            <v>0</v>
          </cell>
          <cell r="AD742">
            <v>0</v>
          </cell>
        </row>
        <row r="743">
          <cell r="B743" t="str">
            <v>GL CODE</v>
          </cell>
          <cell r="C743" t="str">
            <v>ACCOUNT HEAD</v>
          </cell>
          <cell r="S743">
            <v>0</v>
          </cell>
          <cell r="T743">
            <v>0</v>
          </cell>
          <cell r="U743" t="str">
            <v>SDCT</v>
          </cell>
          <cell r="V743" t="str">
            <v>PCDT</v>
          </cell>
          <cell r="AA743">
            <v>0</v>
          </cell>
          <cell r="AC743">
            <v>0</v>
          </cell>
          <cell r="AD743" t="e">
            <v>#VALUE!</v>
          </cell>
        </row>
        <row r="744">
          <cell r="S744">
            <v>0</v>
          </cell>
          <cell r="T744">
            <v>0</v>
          </cell>
          <cell r="U744">
            <v>0</v>
          </cell>
          <cell r="V744">
            <v>0</v>
          </cell>
          <cell r="W744">
            <v>0</v>
          </cell>
          <cell r="X744">
            <v>0</v>
          </cell>
          <cell r="Y744">
            <v>0</v>
          </cell>
          <cell r="Z744">
            <v>0</v>
          </cell>
          <cell r="AA744">
            <v>0</v>
          </cell>
          <cell r="AC744">
            <v>0</v>
          </cell>
          <cell r="AD744">
            <v>0</v>
          </cell>
        </row>
        <row r="745">
          <cell r="D745" t="str">
            <v>DR.</v>
          </cell>
          <cell r="E745" t="str">
            <v>CR.</v>
          </cell>
          <cell r="F745" t="str">
            <v>DR.</v>
          </cell>
          <cell r="G745" t="str">
            <v>CR.</v>
          </cell>
          <cell r="H745" t="str">
            <v>DR.</v>
          </cell>
          <cell r="I745" t="str">
            <v>CR.</v>
          </cell>
          <cell r="J745" t="str">
            <v>DR.</v>
          </cell>
          <cell r="K745" t="str">
            <v>CR.</v>
          </cell>
          <cell r="L745" t="str">
            <v>DR.</v>
          </cell>
          <cell r="M745" t="str">
            <v>CR.</v>
          </cell>
          <cell r="N745" t="str">
            <v>DR.</v>
          </cell>
          <cell r="O745" t="str">
            <v>CR.</v>
          </cell>
          <cell r="P745" t="str">
            <v>DR.</v>
          </cell>
          <cell r="Q745" t="str">
            <v>CR.</v>
          </cell>
          <cell r="U745">
            <v>0</v>
          </cell>
          <cell r="V745">
            <v>0</v>
          </cell>
          <cell r="W745">
            <v>0</v>
          </cell>
          <cell r="X745">
            <v>0</v>
          </cell>
          <cell r="Y745">
            <v>0</v>
          </cell>
          <cell r="Z745">
            <v>0</v>
          </cell>
          <cell r="AA745">
            <v>0</v>
          </cell>
          <cell r="AC745">
            <v>0</v>
          </cell>
          <cell r="AD745">
            <v>0</v>
          </cell>
        </row>
        <row r="746">
          <cell r="S746">
            <v>0</v>
          </cell>
          <cell r="T746">
            <v>0</v>
          </cell>
          <cell r="U746">
            <v>0</v>
          </cell>
          <cell r="V746">
            <v>0</v>
          </cell>
          <cell r="W746">
            <v>0</v>
          </cell>
          <cell r="X746">
            <v>0</v>
          </cell>
          <cell r="Y746">
            <v>0</v>
          </cell>
          <cell r="Z746">
            <v>0</v>
          </cell>
          <cell r="AA746">
            <v>0</v>
          </cell>
          <cell r="AC746">
            <v>0</v>
          </cell>
          <cell r="AD746">
            <v>0</v>
          </cell>
        </row>
        <row r="747">
          <cell r="S747">
            <v>0</v>
          </cell>
          <cell r="T747">
            <v>0</v>
          </cell>
          <cell r="U747">
            <v>0</v>
          </cell>
          <cell r="V747">
            <v>0</v>
          </cell>
          <cell r="W747">
            <v>0</v>
          </cell>
          <cell r="X747">
            <v>0</v>
          </cell>
          <cell r="Y747">
            <v>0</v>
          </cell>
          <cell r="Z747">
            <v>0</v>
          </cell>
          <cell r="AA747">
            <v>0</v>
          </cell>
          <cell r="AC747">
            <v>0</v>
          </cell>
          <cell r="AD747">
            <v>0</v>
          </cell>
        </row>
        <row r="748">
          <cell r="B748">
            <v>15537</v>
          </cell>
          <cell r="C748" t="str">
            <v>TDS - EMPLOYEES (192)</v>
          </cell>
          <cell r="D748">
            <v>2009730</v>
          </cell>
          <cell r="E748">
            <v>-1708918</v>
          </cell>
          <cell r="F748">
            <v>2405284</v>
          </cell>
          <cell r="G748">
            <v>-1577151</v>
          </cell>
          <cell r="H748">
            <v>0</v>
          </cell>
          <cell r="I748">
            <v>0</v>
          </cell>
          <cell r="J748">
            <v>0</v>
          </cell>
          <cell r="K748">
            <v>0</v>
          </cell>
          <cell r="L748">
            <v>2961468</v>
          </cell>
          <cell r="M748">
            <v>-1935421</v>
          </cell>
          <cell r="N748">
            <v>0</v>
          </cell>
          <cell r="O748">
            <v>0</v>
          </cell>
          <cell r="P748">
            <v>4415014</v>
          </cell>
          <cell r="Q748">
            <v>-3286069</v>
          </cell>
          <cell r="S748">
            <v>1326859</v>
          </cell>
          <cell r="T748">
            <v>828133</v>
          </cell>
          <cell r="U748">
            <v>-554329</v>
          </cell>
          <cell r="V748">
            <v>-166181</v>
          </cell>
          <cell r="W748">
            <v>1881188</v>
          </cell>
          <cell r="X748">
            <v>994314</v>
          </cell>
          <cell r="Y748">
            <v>1326859</v>
          </cell>
          <cell r="Z748">
            <v>828133</v>
          </cell>
          <cell r="AA748">
            <v>2154992</v>
          </cell>
          <cell r="AC748">
            <v>15537</v>
          </cell>
          <cell r="AD748">
            <v>0</v>
          </cell>
        </row>
        <row r="749">
          <cell r="S749">
            <v>0</v>
          </cell>
          <cell r="T749">
            <v>0</v>
          </cell>
          <cell r="U749">
            <v>0</v>
          </cell>
          <cell r="V749">
            <v>0</v>
          </cell>
          <cell r="W749">
            <v>0</v>
          </cell>
          <cell r="X749">
            <v>0</v>
          </cell>
          <cell r="Y749">
            <v>0</v>
          </cell>
          <cell r="Z749">
            <v>0</v>
          </cell>
          <cell r="AA749">
            <v>0</v>
          </cell>
          <cell r="AC749">
            <v>0</v>
          </cell>
          <cell r="AD749">
            <v>0</v>
          </cell>
        </row>
        <row r="750">
          <cell r="B750">
            <v>15538</v>
          </cell>
          <cell r="C750" t="str">
            <v>TDS - INT OTHER THAN SECURITIES (193)</v>
          </cell>
          <cell r="D750">
            <v>117733</v>
          </cell>
          <cell r="E750">
            <v>-130308</v>
          </cell>
          <cell r="F750">
            <v>25198</v>
          </cell>
          <cell r="G750">
            <v>-25198</v>
          </cell>
          <cell r="H750">
            <v>0</v>
          </cell>
          <cell r="I750">
            <v>0</v>
          </cell>
          <cell r="J750">
            <v>0</v>
          </cell>
          <cell r="K750">
            <v>0</v>
          </cell>
          <cell r="L750">
            <v>0</v>
          </cell>
          <cell r="M750">
            <v>-58685</v>
          </cell>
          <cell r="N750">
            <v>71260</v>
          </cell>
          <cell r="O750">
            <v>0</v>
          </cell>
          <cell r="P750">
            <v>214191</v>
          </cell>
          <cell r="Q750">
            <v>-155506</v>
          </cell>
          <cell r="S750">
            <v>0</v>
          </cell>
          <cell r="T750">
            <v>0</v>
          </cell>
          <cell r="U750">
            <v>0</v>
          </cell>
          <cell r="V750">
            <v>-18426</v>
          </cell>
          <cell r="W750">
            <v>0</v>
          </cell>
          <cell r="X750">
            <v>18426</v>
          </cell>
          <cell r="Y750">
            <v>0</v>
          </cell>
          <cell r="Z750">
            <v>0</v>
          </cell>
          <cell r="AA750">
            <v>0</v>
          </cell>
          <cell r="AC750">
            <v>15538</v>
          </cell>
          <cell r="AD750">
            <v>0</v>
          </cell>
        </row>
        <row r="751">
          <cell r="S751">
            <v>0</v>
          </cell>
          <cell r="T751">
            <v>0</v>
          </cell>
          <cell r="U751">
            <v>0</v>
          </cell>
          <cell r="V751">
            <v>0</v>
          </cell>
          <cell r="W751">
            <v>0</v>
          </cell>
          <cell r="X751">
            <v>0</v>
          </cell>
          <cell r="Y751">
            <v>0</v>
          </cell>
          <cell r="Z751">
            <v>0</v>
          </cell>
          <cell r="AA751">
            <v>0</v>
          </cell>
          <cell r="AC751">
            <v>0</v>
          </cell>
          <cell r="AD751">
            <v>0</v>
          </cell>
        </row>
        <row r="752">
          <cell r="B752">
            <v>15539</v>
          </cell>
          <cell r="C752" t="str">
            <v>TDS - CONTRACTORS (194 C)</v>
          </cell>
          <cell r="D752">
            <v>855523</v>
          </cell>
          <cell r="E752">
            <v>-1503869</v>
          </cell>
          <cell r="F752">
            <v>976005</v>
          </cell>
          <cell r="G752">
            <v>-1931789</v>
          </cell>
          <cell r="H752">
            <v>20920</v>
          </cell>
          <cell r="I752">
            <v>-21078</v>
          </cell>
          <cell r="J752">
            <v>5209</v>
          </cell>
          <cell r="K752">
            <v>-5209</v>
          </cell>
          <cell r="L752">
            <v>73754</v>
          </cell>
          <cell r="M752">
            <v>-119757</v>
          </cell>
          <cell r="N752">
            <v>1555517</v>
          </cell>
          <cell r="O752">
            <v>0</v>
          </cell>
          <cell r="P752">
            <v>3413174</v>
          </cell>
          <cell r="Q752">
            <v>-3461945</v>
          </cell>
          <cell r="S752">
            <v>861168</v>
          </cell>
          <cell r="T752">
            <v>-955942</v>
          </cell>
          <cell r="U752">
            <v>869109</v>
          </cell>
          <cell r="V752">
            <v>-869109</v>
          </cell>
          <cell r="W752">
            <v>-7941</v>
          </cell>
          <cell r="X752">
            <v>-86833</v>
          </cell>
          <cell r="Y752">
            <v>861168</v>
          </cell>
          <cell r="Z752">
            <v>-955942</v>
          </cell>
          <cell r="AA752">
            <v>-94774</v>
          </cell>
          <cell r="AC752">
            <v>15539</v>
          </cell>
          <cell r="AD752">
            <v>0</v>
          </cell>
        </row>
        <row r="753">
          <cell r="S753">
            <v>0</v>
          </cell>
          <cell r="T753">
            <v>0</v>
          </cell>
          <cell r="U753">
            <v>0</v>
          </cell>
          <cell r="V753">
            <v>0</v>
          </cell>
          <cell r="W753">
            <v>0</v>
          </cell>
          <cell r="X753">
            <v>0</v>
          </cell>
          <cell r="Y753">
            <v>0</v>
          </cell>
          <cell r="Z753">
            <v>0</v>
          </cell>
          <cell r="AA753">
            <v>0</v>
          </cell>
          <cell r="AC753">
            <v>0</v>
          </cell>
          <cell r="AD753">
            <v>0</v>
          </cell>
        </row>
        <row r="754">
          <cell r="B754">
            <v>15540</v>
          </cell>
          <cell r="C754" t="str">
            <v>TDS - COMMISSION/ BROKERAGE (195 H)</v>
          </cell>
          <cell r="D754">
            <v>0</v>
          </cell>
          <cell r="E754">
            <v>-18113.72</v>
          </cell>
          <cell r="F754">
            <v>173453</v>
          </cell>
          <cell r="G754">
            <v>-687017</v>
          </cell>
          <cell r="H754">
            <v>0</v>
          </cell>
          <cell r="I754">
            <v>0</v>
          </cell>
          <cell r="J754">
            <v>0</v>
          </cell>
          <cell r="K754">
            <v>0</v>
          </cell>
          <cell r="L754">
            <v>0</v>
          </cell>
          <cell r="M754">
            <v>0</v>
          </cell>
          <cell r="N754">
            <v>531677.72</v>
          </cell>
          <cell r="O754">
            <v>0</v>
          </cell>
          <cell r="P754">
            <v>705130.72</v>
          </cell>
          <cell r="Q754">
            <v>-705130.72</v>
          </cell>
          <cell r="S754">
            <v>513564</v>
          </cell>
          <cell r="T754">
            <v>-513564</v>
          </cell>
          <cell r="U754">
            <v>513564</v>
          </cell>
          <cell r="V754">
            <v>-513564</v>
          </cell>
          <cell r="W754">
            <v>0</v>
          </cell>
          <cell r="X754">
            <v>0</v>
          </cell>
          <cell r="Y754">
            <v>513564</v>
          </cell>
          <cell r="Z754">
            <v>-513564</v>
          </cell>
          <cell r="AA754">
            <v>0</v>
          </cell>
          <cell r="AC754">
            <v>15540</v>
          </cell>
          <cell r="AD754">
            <v>0</v>
          </cell>
        </row>
        <row r="755">
          <cell r="S755">
            <v>0</v>
          </cell>
          <cell r="T755">
            <v>0</v>
          </cell>
          <cell r="U755">
            <v>0</v>
          </cell>
          <cell r="V755">
            <v>0</v>
          </cell>
          <cell r="W755">
            <v>0</v>
          </cell>
          <cell r="X755">
            <v>0</v>
          </cell>
          <cell r="Y755">
            <v>0</v>
          </cell>
          <cell r="Z755">
            <v>0</v>
          </cell>
          <cell r="AA755">
            <v>0</v>
          </cell>
          <cell r="AC755">
            <v>0</v>
          </cell>
          <cell r="AD755">
            <v>0</v>
          </cell>
        </row>
        <row r="756">
          <cell r="B756">
            <v>15541</v>
          </cell>
          <cell r="C756" t="str">
            <v>TDS - RENT (194 I)</v>
          </cell>
          <cell r="D756">
            <v>5951</v>
          </cell>
          <cell r="E756">
            <v>-23928</v>
          </cell>
          <cell r="F756">
            <v>79989</v>
          </cell>
          <cell r="G756">
            <v>-98412</v>
          </cell>
          <cell r="H756">
            <v>0</v>
          </cell>
          <cell r="I756">
            <v>0</v>
          </cell>
          <cell r="J756">
            <v>0</v>
          </cell>
          <cell r="K756">
            <v>0</v>
          </cell>
          <cell r="L756">
            <v>12591</v>
          </cell>
          <cell r="M756">
            <v>-27280</v>
          </cell>
          <cell r="N756">
            <v>34438</v>
          </cell>
          <cell r="O756">
            <v>0</v>
          </cell>
          <cell r="P756">
            <v>120378</v>
          </cell>
          <cell r="Q756">
            <v>-122340</v>
          </cell>
          <cell r="S756">
            <v>1772</v>
          </cell>
          <cell r="T756">
            <v>-18423</v>
          </cell>
          <cell r="U756">
            <v>13674</v>
          </cell>
          <cell r="V756">
            <v>-13674</v>
          </cell>
          <cell r="W756">
            <v>-11902</v>
          </cell>
          <cell r="X756">
            <v>-4749</v>
          </cell>
          <cell r="Y756">
            <v>1772</v>
          </cell>
          <cell r="Z756">
            <v>-18423</v>
          </cell>
          <cell r="AA756">
            <v>-16651</v>
          </cell>
          <cell r="AC756">
            <v>15541</v>
          </cell>
          <cell r="AD756">
            <v>0</v>
          </cell>
        </row>
        <row r="757">
          <cell r="S757">
            <v>0</v>
          </cell>
          <cell r="T757">
            <v>0</v>
          </cell>
          <cell r="U757">
            <v>0</v>
          </cell>
          <cell r="V757">
            <v>0</v>
          </cell>
          <cell r="W757">
            <v>0</v>
          </cell>
          <cell r="X757">
            <v>0</v>
          </cell>
          <cell r="Y757">
            <v>0</v>
          </cell>
          <cell r="Z757">
            <v>0</v>
          </cell>
          <cell r="AA757">
            <v>0</v>
          </cell>
          <cell r="AC757">
            <v>0</v>
          </cell>
          <cell r="AD757">
            <v>0</v>
          </cell>
        </row>
        <row r="758">
          <cell r="B758">
            <v>15542</v>
          </cell>
          <cell r="C758" t="str">
            <v>TDS - PROFESSIONALS/ TECHNICAL SERVICES</v>
          </cell>
          <cell r="D758">
            <v>177560</v>
          </cell>
          <cell r="E758">
            <v>-440340</v>
          </cell>
          <cell r="F758">
            <v>25736</v>
          </cell>
          <cell r="G758">
            <v>-96982</v>
          </cell>
          <cell r="H758">
            <v>0</v>
          </cell>
          <cell r="I758">
            <v>-2000</v>
          </cell>
          <cell r="J758">
            <v>0</v>
          </cell>
          <cell r="K758">
            <v>0</v>
          </cell>
          <cell r="L758">
            <v>229464</v>
          </cell>
          <cell r="M758">
            <v>-675411</v>
          </cell>
          <cell r="N758">
            <v>478006</v>
          </cell>
          <cell r="O758">
            <v>0</v>
          </cell>
          <cell r="P758">
            <v>681302</v>
          </cell>
          <cell r="Q758">
            <v>-539322</v>
          </cell>
          <cell r="S758">
            <v>-230721</v>
          </cell>
          <cell r="T758">
            <v>-73246</v>
          </cell>
          <cell r="U758">
            <v>47332</v>
          </cell>
          <cell r="V758">
            <v>-47332</v>
          </cell>
          <cell r="W758">
            <v>-278053</v>
          </cell>
          <cell r="X758">
            <v>-25914</v>
          </cell>
          <cell r="Y758">
            <v>-230721</v>
          </cell>
          <cell r="Z758">
            <v>-73246</v>
          </cell>
          <cell r="AA758">
            <v>-303967</v>
          </cell>
          <cell r="AC758">
            <v>15542</v>
          </cell>
          <cell r="AD758">
            <v>0</v>
          </cell>
        </row>
        <row r="759">
          <cell r="S759">
            <v>0</v>
          </cell>
          <cell r="T759">
            <v>0</v>
          </cell>
          <cell r="U759">
            <v>0</v>
          </cell>
          <cell r="V759">
            <v>0</v>
          </cell>
          <cell r="W759">
            <v>0</v>
          </cell>
          <cell r="X759">
            <v>0</v>
          </cell>
          <cell r="Y759">
            <v>0</v>
          </cell>
          <cell r="Z759">
            <v>0</v>
          </cell>
          <cell r="AA759">
            <v>0</v>
          </cell>
          <cell r="AC759">
            <v>0</v>
          </cell>
          <cell r="AD759">
            <v>0</v>
          </cell>
        </row>
        <row r="760">
          <cell r="B760">
            <v>15543</v>
          </cell>
          <cell r="C760" t="str">
            <v>TDS/ TCS - ADJUSTMENT (OPENING BALANCE)</v>
          </cell>
          <cell r="D760">
            <v>3096025</v>
          </cell>
          <cell r="E760">
            <v>-4069359</v>
          </cell>
          <cell r="F760">
            <v>399413</v>
          </cell>
          <cell r="G760">
            <v>-399414</v>
          </cell>
          <cell r="H760">
            <v>0</v>
          </cell>
          <cell r="I760">
            <v>0</v>
          </cell>
          <cell r="J760">
            <v>0</v>
          </cell>
          <cell r="K760">
            <v>0</v>
          </cell>
          <cell r="L760">
            <v>973335</v>
          </cell>
          <cell r="M760">
            <v>0</v>
          </cell>
          <cell r="N760">
            <v>0</v>
          </cell>
          <cell r="O760">
            <v>0</v>
          </cell>
          <cell r="P760">
            <v>3495438</v>
          </cell>
          <cell r="Q760">
            <v>-4468773</v>
          </cell>
          <cell r="S760">
            <v>1</v>
          </cell>
          <cell r="T760">
            <v>-1</v>
          </cell>
          <cell r="U760">
            <v>1</v>
          </cell>
          <cell r="V760">
            <v>-1</v>
          </cell>
          <cell r="W760">
            <v>0</v>
          </cell>
          <cell r="X760">
            <v>0</v>
          </cell>
          <cell r="Y760">
            <v>1</v>
          </cell>
          <cell r="Z760">
            <v>-1</v>
          </cell>
          <cell r="AA760">
            <v>0</v>
          </cell>
          <cell r="AC760">
            <v>15543</v>
          </cell>
          <cell r="AD760">
            <v>0</v>
          </cell>
        </row>
        <row r="761">
          <cell r="S761">
            <v>0</v>
          </cell>
          <cell r="T761">
            <v>0</v>
          </cell>
          <cell r="U761">
            <v>0</v>
          </cell>
          <cell r="V761">
            <v>0</v>
          </cell>
          <cell r="W761">
            <v>0</v>
          </cell>
          <cell r="X761">
            <v>0</v>
          </cell>
          <cell r="Y761">
            <v>0</v>
          </cell>
          <cell r="Z761">
            <v>0</v>
          </cell>
          <cell r="AA761">
            <v>0</v>
          </cell>
          <cell r="AC761">
            <v>0</v>
          </cell>
          <cell r="AD761">
            <v>0</v>
          </cell>
        </row>
        <row r="762">
          <cell r="B762">
            <v>15544</v>
          </cell>
          <cell r="C762" t="str">
            <v>TDS - ON VAT</v>
          </cell>
          <cell r="D762">
            <v>94761</v>
          </cell>
          <cell r="E762">
            <v>-94761</v>
          </cell>
          <cell r="F762">
            <v>38105</v>
          </cell>
          <cell r="G762">
            <v>-38105</v>
          </cell>
          <cell r="H762">
            <v>0</v>
          </cell>
          <cell r="I762">
            <v>0</v>
          </cell>
          <cell r="J762">
            <v>0</v>
          </cell>
          <cell r="K762">
            <v>0</v>
          </cell>
          <cell r="L762">
            <v>0</v>
          </cell>
          <cell r="M762">
            <v>0</v>
          </cell>
          <cell r="N762">
            <v>0</v>
          </cell>
          <cell r="O762">
            <v>0</v>
          </cell>
          <cell r="P762">
            <v>132866</v>
          </cell>
          <cell r="Q762">
            <v>-132866</v>
          </cell>
          <cell r="S762">
            <v>0</v>
          </cell>
          <cell r="T762">
            <v>0</v>
          </cell>
          <cell r="U762">
            <v>-76627</v>
          </cell>
          <cell r="V762">
            <v>-38105</v>
          </cell>
          <cell r="W762">
            <v>76627</v>
          </cell>
          <cell r="X762">
            <v>38105</v>
          </cell>
          <cell r="Y762">
            <v>0</v>
          </cell>
          <cell r="Z762">
            <v>0</v>
          </cell>
          <cell r="AA762">
            <v>0</v>
          </cell>
          <cell r="AC762">
            <v>15544</v>
          </cell>
          <cell r="AD762">
            <v>0</v>
          </cell>
        </row>
        <row r="763">
          <cell r="S763">
            <v>0</v>
          </cell>
          <cell r="T763">
            <v>0</v>
          </cell>
          <cell r="U763">
            <v>0</v>
          </cell>
          <cell r="V763">
            <v>0</v>
          </cell>
          <cell r="W763">
            <v>0</v>
          </cell>
          <cell r="X763">
            <v>0</v>
          </cell>
          <cell r="Y763">
            <v>0</v>
          </cell>
          <cell r="Z763">
            <v>0</v>
          </cell>
          <cell r="AA763">
            <v>0</v>
          </cell>
          <cell r="AC763">
            <v>0</v>
          </cell>
          <cell r="AD763">
            <v>0</v>
          </cell>
        </row>
        <row r="764">
          <cell r="B764">
            <v>15556</v>
          </cell>
          <cell r="C764" t="str">
            <v>EXCISE DUTY PAYABLE A/C (FG CL ST)</v>
          </cell>
          <cell r="D764">
            <v>4550086</v>
          </cell>
          <cell r="E764">
            <v>-6643689</v>
          </cell>
          <cell r="F764">
            <v>2082529</v>
          </cell>
          <cell r="G764">
            <v>-4117403</v>
          </cell>
          <cell r="H764">
            <v>0</v>
          </cell>
          <cell r="I764">
            <v>0</v>
          </cell>
          <cell r="J764">
            <v>0</v>
          </cell>
          <cell r="K764">
            <v>0</v>
          </cell>
          <cell r="L764">
            <v>2082529</v>
          </cell>
          <cell r="M764">
            <v>-2082529</v>
          </cell>
          <cell r="N764">
            <v>0</v>
          </cell>
          <cell r="O764">
            <v>0</v>
          </cell>
          <cell r="P764">
            <v>6632615</v>
          </cell>
          <cell r="Q764">
            <v>-10761092</v>
          </cell>
          <cell r="S764">
            <v>-2093603</v>
          </cell>
          <cell r="T764">
            <v>-2034874</v>
          </cell>
          <cell r="U764">
            <v>-2093603</v>
          </cell>
          <cell r="V764">
            <v>-2034874</v>
          </cell>
          <cell r="W764">
            <v>0</v>
          </cell>
          <cell r="X764">
            <v>0</v>
          </cell>
          <cell r="Y764">
            <v>-2093603</v>
          </cell>
          <cell r="Z764">
            <v>-2034874</v>
          </cell>
          <cell r="AA764">
            <v>-4128477</v>
          </cell>
          <cell r="AC764">
            <v>15556</v>
          </cell>
          <cell r="AD764">
            <v>0</v>
          </cell>
        </row>
        <row r="765">
          <cell r="S765">
            <v>0</v>
          </cell>
          <cell r="T765">
            <v>0</v>
          </cell>
          <cell r="U765">
            <v>0</v>
          </cell>
          <cell r="V765">
            <v>0</v>
          </cell>
          <cell r="W765">
            <v>0</v>
          </cell>
          <cell r="X765">
            <v>0</v>
          </cell>
          <cell r="Y765">
            <v>0</v>
          </cell>
          <cell r="Z765">
            <v>0</v>
          </cell>
          <cell r="AA765">
            <v>0</v>
          </cell>
          <cell r="AC765">
            <v>0</v>
          </cell>
          <cell r="AD765">
            <v>0</v>
          </cell>
        </row>
        <row r="766">
          <cell r="B766">
            <v>15557</v>
          </cell>
          <cell r="C766" t="str">
            <v>PROVIDENT FUND ADJUSTABLE - EMPLOYEES</v>
          </cell>
          <cell r="D766">
            <v>7599064</v>
          </cell>
          <cell r="E766">
            <v>-4693603</v>
          </cell>
          <cell r="F766">
            <v>4489148</v>
          </cell>
          <cell r="G766">
            <v>-2990852</v>
          </cell>
          <cell r="H766">
            <v>0</v>
          </cell>
          <cell r="I766">
            <v>0</v>
          </cell>
          <cell r="J766">
            <v>10776</v>
          </cell>
          <cell r="K766">
            <v>-10776</v>
          </cell>
          <cell r="L766">
            <v>2047815</v>
          </cell>
          <cell r="M766">
            <v>-1288620</v>
          </cell>
          <cell r="N766">
            <v>0</v>
          </cell>
          <cell r="O766">
            <v>0</v>
          </cell>
          <cell r="P766">
            <v>12098988</v>
          </cell>
          <cell r="Q766">
            <v>-7695231</v>
          </cell>
          <cell r="S766">
            <v>3664656</v>
          </cell>
          <cell r="T766">
            <v>1498296</v>
          </cell>
          <cell r="U766">
            <v>-284528</v>
          </cell>
          <cell r="V766">
            <v>-402807</v>
          </cell>
          <cell r="W766">
            <v>3949184</v>
          </cell>
          <cell r="X766">
            <v>1901103</v>
          </cell>
          <cell r="Y766">
            <v>3664656</v>
          </cell>
          <cell r="Z766">
            <v>1498296</v>
          </cell>
          <cell r="AA766">
            <v>5162952</v>
          </cell>
          <cell r="AC766">
            <v>15557</v>
          </cell>
          <cell r="AD766">
            <v>0</v>
          </cell>
        </row>
        <row r="767">
          <cell r="S767">
            <v>0</v>
          </cell>
          <cell r="T767">
            <v>0</v>
          </cell>
          <cell r="U767">
            <v>0</v>
          </cell>
          <cell r="V767">
            <v>0</v>
          </cell>
          <cell r="W767">
            <v>0</v>
          </cell>
          <cell r="X767">
            <v>0</v>
          </cell>
          <cell r="Y767">
            <v>0</v>
          </cell>
          <cell r="Z767">
            <v>0</v>
          </cell>
          <cell r="AA767">
            <v>0</v>
          </cell>
          <cell r="AC767">
            <v>0</v>
          </cell>
          <cell r="AD767">
            <v>0</v>
          </cell>
        </row>
        <row r="768">
          <cell r="B768">
            <v>15558</v>
          </cell>
          <cell r="C768" t="str">
            <v>PROVIDENT FUND ADJUSTABLE - CONTRACTORS &amp; OTHERS</v>
          </cell>
          <cell r="D768">
            <v>46465</v>
          </cell>
          <cell r="E768">
            <v>-48322</v>
          </cell>
          <cell r="F768">
            <v>302772</v>
          </cell>
          <cell r="G768">
            <v>-302305</v>
          </cell>
          <cell r="H768">
            <v>0</v>
          </cell>
          <cell r="I768">
            <v>0</v>
          </cell>
          <cell r="J768">
            <v>0</v>
          </cell>
          <cell r="K768">
            <v>0</v>
          </cell>
          <cell r="L768">
            <v>0</v>
          </cell>
          <cell r="M768">
            <v>0</v>
          </cell>
          <cell r="N768">
            <v>0</v>
          </cell>
          <cell r="O768">
            <v>0</v>
          </cell>
          <cell r="P768">
            <v>349237</v>
          </cell>
          <cell r="Q768">
            <v>-350627</v>
          </cell>
          <cell r="S768">
            <v>-1857</v>
          </cell>
          <cell r="T768">
            <v>467</v>
          </cell>
          <cell r="U768">
            <v>-2565</v>
          </cell>
          <cell r="V768">
            <v>-15997</v>
          </cell>
          <cell r="W768">
            <v>708</v>
          </cell>
          <cell r="X768">
            <v>16464</v>
          </cell>
          <cell r="Y768">
            <v>-1857</v>
          </cell>
          <cell r="Z768">
            <v>467</v>
          </cell>
          <cell r="AA768">
            <v>-1390</v>
          </cell>
          <cell r="AC768">
            <v>15558</v>
          </cell>
          <cell r="AD768">
            <v>0</v>
          </cell>
        </row>
        <row r="769">
          <cell r="S769">
            <v>0</v>
          </cell>
          <cell r="T769">
            <v>0</v>
          </cell>
          <cell r="U769">
            <v>0</v>
          </cell>
          <cell r="V769">
            <v>0</v>
          </cell>
          <cell r="W769">
            <v>0</v>
          </cell>
          <cell r="X769">
            <v>0</v>
          </cell>
          <cell r="Y769">
            <v>0</v>
          </cell>
          <cell r="Z769">
            <v>0</v>
          </cell>
          <cell r="AA769">
            <v>0</v>
          </cell>
          <cell r="AC769">
            <v>0</v>
          </cell>
          <cell r="AD769">
            <v>0</v>
          </cell>
        </row>
        <row r="770">
          <cell r="B770">
            <v>15559</v>
          </cell>
          <cell r="C770" t="str">
            <v>PROFESSIONAL TAX ADJUSTABLE - EMPLOYEES</v>
          </cell>
          <cell r="D770">
            <v>685350</v>
          </cell>
          <cell r="E770">
            <v>-443825</v>
          </cell>
          <cell r="F770">
            <v>370700</v>
          </cell>
          <cell r="G770">
            <v>-237750</v>
          </cell>
          <cell r="H770">
            <v>0</v>
          </cell>
          <cell r="I770">
            <v>0</v>
          </cell>
          <cell r="J770">
            <v>0</v>
          </cell>
          <cell r="K770">
            <v>0</v>
          </cell>
          <cell r="L770">
            <v>81900</v>
          </cell>
          <cell r="M770">
            <v>-61075</v>
          </cell>
          <cell r="N770">
            <v>0</v>
          </cell>
          <cell r="O770">
            <v>0</v>
          </cell>
          <cell r="P770">
            <v>1056050</v>
          </cell>
          <cell r="Q770">
            <v>-681575</v>
          </cell>
          <cell r="S770">
            <v>262350</v>
          </cell>
          <cell r="T770">
            <v>132950</v>
          </cell>
          <cell r="U770">
            <v>-37425</v>
          </cell>
          <cell r="V770">
            <v>-12225</v>
          </cell>
          <cell r="W770">
            <v>299775</v>
          </cell>
          <cell r="X770">
            <v>145175</v>
          </cell>
          <cell r="Y770">
            <v>262350</v>
          </cell>
          <cell r="Z770">
            <v>132950</v>
          </cell>
          <cell r="AA770">
            <v>395300</v>
          </cell>
          <cell r="AC770">
            <v>15559</v>
          </cell>
          <cell r="AD770">
            <v>0</v>
          </cell>
        </row>
        <row r="771">
          <cell r="S771">
            <v>0</v>
          </cell>
          <cell r="T771">
            <v>0</v>
          </cell>
          <cell r="U771">
            <v>0</v>
          </cell>
          <cell r="V771">
            <v>0</v>
          </cell>
          <cell r="W771">
            <v>0</v>
          </cell>
          <cell r="X771">
            <v>0</v>
          </cell>
          <cell r="Y771">
            <v>0</v>
          </cell>
          <cell r="Z771">
            <v>0</v>
          </cell>
          <cell r="AA771">
            <v>0</v>
          </cell>
          <cell r="AC771">
            <v>0</v>
          </cell>
          <cell r="AD771">
            <v>0</v>
          </cell>
        </row>
        <row r="772">
          <cell r="B772">
            <v>15560</v>
          </cell>
          <cell r="C772" t="str">
            <v>PROFESSIONAL TAX ADJUSTABLE - CONTRACTORS &amp; OTHERS</v>
          </cell>
          <cell r="D772">
            <v>4375</v>
          </cell>
          <cell r="E772">
            <v>-4725</v>
          </cell>
          <cell r="F772">
            <v>90600</v>
          </cell>
          <cell r="G772">
            <v>-104550</v>
          </cell>
          <cell r="H772">
            <v>0</v>
          </cell>
          <cell r="I772">
            <v>0</v>
          </cell>
          <cell r="J772">
            <v>0</v>
          </cell>
          <cell r="K772">
            <v>0</v>
          </cell>
          <cell r="L772">
            <v>0</v>
          </cell>
          <cell r="M772">
            <v>0</v>
          </cell>
          <cell r="N772">
            <v>0</v>
          </cell>
          <cell r="O772">
            <v>0</v>
          </cell>
          <cell r="P772">
            <v>94975</v>
          </cell>
          <cell r="Q772">
            <v>-109275</v>
          </cell>
          <cell r="S772">
            <v>-350</v>
          </cell>
          <cell r="T772">
            <v>-13950</v>
          </cell>
          <cell r="U772">
            <v>-525</v>
          </cell>
          <cell r="V772">
            <v>-9825</v>
          </cell>
          <cell r="W772">
            <v>175</v>
          </cell>
          <cell r="X772">
            <v>-4125</v>
          </cell>
          <cell r="Y772">
            <v>-350</v>
          </cell>
          <cell r="Z772">
            <v>-13950</v>
          </cell>
          <cell r="AA772">
            <v>-14300</v>
          </cell>
          <cell r="AC772">
            <v>15560</v>
          </cell>
          <cell r="AD772">
            <v>0</v>
          </cell>
        </row>
        <row r="773">
          <cell r="S773">
            <v>0</v>
          </cell>
          <cell r="T773">
            <v>0</v>
          </cell>
          <cell r="U773">
            <v>0</v>
          </cell>
          <cell r="V773">
            <v>0</v>
          </cell>
          <cell r="W773">
            <v>0</v>
          </cell>
          <cell r="X773">
            <v>0</v>
          </cell>
          <cell r="Y773">
            <v>0</v>
          </cell>
          <cell r="Z773">
            <v>0</v>
          </cell>
          <cell r="AA773">
            <v>0</v>
          </cell>
          <cell r="AC773">
            <v>0</v>
          </cell>
          <cell r="AD773">
            <v>0</v>
          </cell>
        </row>
        <row r="774">
          <cell r="B774">
            <v>15561</v>
          </cell>
          <cell r="C774" t="str">
            <v>ESIC ADJUSTABLE - EMPLOYEES</v>
          </cell>
          <cell r="D774">
            <v>61480</v>
          </cell>
          <cell r="E774">
            <v>-49993</v>
          </cell>
          <cell r="F774">
            <v>72104</v>
          </cell>
          <cell r="G774">
            <v>-40299</v>
          </cell>
          <cell r="H774">
            <v>0</v>
          </cell>
          <cell r="I774">
            <v>0</v>
          </cell>
          <cell r="J774">
            <v>0</v>
          </cell>
          <cell r="K774">
            <v>0</v>
          </cell>
          <cell r="L774">
            <v>28144</v>
          </cell>
          <cell r="M774">
            <v>-22630</v>
          </cell>
          <cell r="N774">
            <v>0</v>
          </cell>
          <cell r="O774">
            <v>0</v>
          </cell>
          <cell r="P774">
            <v>133584</v>
          </cell>
          <cell r="Q774">
            <v>-90292</v>
          </cell>
          <cell r="S774">
            <v>17001</v>
          </cell>
          <cell r="T774">
            <v>31805</v>
          </cell>
          <cell r="U774">
            <v>-2901</v>
          </cell>
          <cell r="V774">
            <v>-398</v>
          </cell>
          <cell r="W774">
            <v>19902</v>
          </cell>
          <cell r="X774">
            <v>32203</v>
          </cell>
          <cell r="Y774">
            <v>17001</v>
          </cell>
          <cell r="Z774">
            <v>31805</v>
          </cell>
          <cell r="AA774">
            <v>48806</v>
          </cell>
          <cell r="AC774">
            <v>15561</v>
          </cell>
          <cell r="AD774">
            <v>0</v>
          </cell>
        </row>
        <row r="775">
          <cell r="S775">
            <v>0</v>
          </cell>
          <cell r="T775">
            <v>0</v>
          </cell>
          <cell r="U775">
            <v>0</v>
          </cell>
          <cell r="V775">
            <v>0</v>
          </cell>
          <cell r="W775">
            <v>0</v>
          </cell>
          <cell r="X775">
            <v>0</v>
          </cell>
          <cell r="Y775">
            <v>0</v>
          </cell>
          <cell r="Z775">
            <v>0</v>
          </cell>
          <cell r="AA775">
            <v>0</v>
          </cell>
          <cell r="AC775">
            <v>0</v>
          </cell>
          <cell r="AD775">
            <v>0</v>
          </cell>
        </row>
        <row r="776">
          <cell r="B776">
            <v>15562</v>
          </cell>
          <cell r="C776" t="str">
            <v>ESIC ADJUSTABLE - CONTRACTORS &amp; OTHERS</v>
          </cell>
          <cell r="D776">
            <v>524830</v>
          </cell>
          <cell r="E776">
            <v>-531833</v>
          </cell>
          <cell r="F776">
            <v>659833</v>
          </cell>
          <cell r="G776">
            <v>-672333</v>
          </cell>
          <cell r="H776">
            <v>0</v>
          </cell>
          <cell r="I776">
            <v>0</v>
          </cell>
          <cell r="J776">
            <v>0</v>
          </cell>
          <cell r="K776">
            <v>0</v>
          </cell>
          <cell r="L776">
            <v>617</v>
          </cell>
          <cell r="M776">
            <v>-617</v>
          </cell>
          <cell r="N776">
            <v>0</v>
          </cell>
          <cell r="O776">
            <v>0</v>
          </cell>
          <cell r="P776">
            <v>1184663</v>
          </cell>
          <cell r="Q776">
            <v>-1204166</v>
          </cell>
          <cell r="S776">
            <v>-7003</v>
          </cell>
          <cell r="T776">
            <v>-12500</v>
          </cell>
          <cell r="U776">
            <v>-58907</v>
          </cell>
          <cell r="V776">
            <v>-78410</v>
          </cell>
          <cell r="W776">
            <v>51904</v>
          </cell>
          <cell r="X776">
            <v>65910</v>
          </cell>
          <cell r="Y776">
            <v>-7003</v>
          </cell>
          <cell r="Z776">
            <v>-12500</v>
          </cell>
          <cell r="AA776">
            <v>-19503</v>
          </cell>
          <cell r="AC776">
            <v>15562</v>
          </cell>
          <cell r="AD776">
            <v>0</v>
          </cell>
        </row>
        <row r="777">
          <cell r="S777">
            <v>0</v>
          </cell>
          <cell r="T777">
            <v>0</v>
          </cell>
          <cell r="U777">
            <v>0</v>
          </cell>
          <cell r="V777">
            <v>0</v>
          </cell>
          <cell r="W777">
            <v>0</v>
          </cell>
          <cell r="X777">
            <v>0</v>
          </cell>
          <cell r="Y777">
            <v>0</v>
          </cell>
          <cell r="Z777">
            <v>0</v>
          </cell>
          <cell r="AA777">
            <v>0</v>
          </cell>
          <cell r="AC777">
            <v>0</v>
          </cell>
          <cell r="AD777">
            <v>0</v>
          </cell>
        </row>
        <row r="778">
          <cell r="B778">
            <v>15564</v>
          </cell>
          <cell r="C778" t="str">
            <v>REIMB. OF EXP TO BE INCURRED ON DELISTING OF SHARES</v>
          </cell>
          <cell r="D778">
            <v>0</v>
          </cell>
          <cell r="E778">
            <v>-233633.22</v>
          </cell>
          <cell r="F778">
            <v>0</v>
          </cell>
          <cell r="G778">
            <v>0</v>
          </cell>
          <cell r="H778">
            <v>0</v>
          </cell>
          <cell r="I778">
            <v>0</v>
          </cell>
          <cell r="J778">
            <v>0</v>
          </cell>
          <cell r="K778">
            <v>0</v>
          </cell>
          <cell r="L778">
            <v>0</v>
          </cell>
          <cell r="M778">
            <v>0</v>
          </cell>
          <cell r="N778">
            <v>0</v>
          </cell>
          <cell r="O778">
            <v>0</v>
          </cell>
          <cell r="P778">
            <v>0</v>
          </cell>
          <cell r="Q778">
            <v>-233633.22</v>
          </cell>
          <cell r="S778">
            <v>-233633.22</v>
          </cell>
          <cell r="T778">
            <v>0</v>
          </cell>
          <cell r="U778">
            <v>-233633.22</v>
          </cell>
          <cell r="V778">
            <v>0</v>
          </cell>
          <cell r="W778">
            <v>0</v>
          </cell>
          <cell r="X778">
            <v>0</v>
          </cell>
          <cell r="Y778">
            <v>-233633.22</v>
          </cell>
          <cell r="Z778">
            <v>0</v>
          </cell>
          <cell r="AA778">
            <v>-233633.22</v>
          </cell>
          <cell r="AC778">
            <v>15564</v>
          </cell>
          <cell r="AD778">
            <v>0</v>
          </cell>
        </row>
        <row r="779">
          <cell r="S779">
            <v>0</v>
          </cell>
          <cell r="T779">
            <v>0</v>
          </cell>
          <cell r="U779">
            <v>0</v>
          </cell>
          <cell r="V779">
            <v>0</v>
          </cell>
          <cell r="W779">
            <v>0</v>
          </cell>
          <cell r="X779">
            <v>0</v>
          </cell>
          <cell r="Y779">
            <v>0</v>
          </cell>
          <cell r="Z779">
            <v>0</v>
          </cell>
          <cell r="AA779">
            <v>0</v>
          </cell>
          <cell r="AC779">
            <v>0</v>
          </cell>
          <cell r="AD779">
            <v>0</v>
          </cell>
        </row>
        <row r="780">
          <cell r="B780">
            <v>15565</v>
          </cell>
          <cell r="C780" t="str">
            <v>NMMC CESS LIABILITY</v>
          </cell>
          <cell r="D780">
            <v>11158221.050000001</v>
          </cell>
          <cell r="E780">
            <v>-9508081.75</v>
          </cell>
          <cell r="F780">
            <v>23976482.899999999</v>
          </cell>
          <cell r="G780">
            <v>-11415274.59</v>
          </cell>
          <cell r="H780">
            <v>0</v>
          </cell>
          <cell r="I780">
            <v>-1883.46</v>
          </cell>
          <cell r="J780">
            <v>0</v>
          </cell>
          <cell r="K780">
            <v>-1881</v>
          </cell>
          <cell r="L780">
            <v>18627.05</v>
          </cell>
          <cell r="M780">
            <v>-534.97</v>
          </cell>
          <cell r="N780">
            <v>1733407.75</v>
          </cell>
          <cell r="O780">
            <v>-1733407.75</v>
          </cell>
          <cell r="P780">
            <v>36868111.700000003</v>
          </cell>
          <cell r="Q780">
            <v>-22660528.550000001</v>
          </cell>
          <cell r="S780">
            <v>1668231.3800000008</v>
          </cell>
          <cell r="T780">
            <v>12557443.849999998</v>
          </cell>
          <cell r="U780">
            <v>-299642.96000000002</v>
          </cell>
          <cell r="V780">
            <v>-499056.42</v>
          </cell>
          <cell r="W780">
            <v>1967874.3400000008</v>
          </cell>
          <cell r="X780">
            <v>13056500.269999998</v>
          </cell>
          <cell r="Y780">
            <v>1668231.3800000008</v>
          </cell>
          <cell r="Z780">
            <v>12557443.849999998</v>
          </cell>
          <cell r="AA780">
            <v>14225675.229999999</v>
          </cell>
          <cell r="AC780">
            <v>15565</v>
          </cell>
          <cell r="AD780">
            <v>0</v>
          </cell>
        </row>
        <row r="781">
          <cell r="S781">
            <v>0</v>
          </cell>
          <cell r="T781">
            <v>0</v>
          </cell>
          <cell r="U781">
            <v>0</v>
          </cell>
          <cell r="V781">
            <v>0</v>
          </cell>
          <cell r="W781">
            <v>0</v>
          </cell>
          <cell r="X781">
            <v>0</v>
          </cell>
          <cell r="Y781">
            <v>0</v>
          </cell>
          <cell r="Z781">
            <v>0</v>
          </cell>
          <cell r="AA781">
            <v>0</v>
          </cell>
          <cell r="AC781">
            <v>0</v>
          </cell>
          <cell r="AD781">
            <v>0</v>
          </cell>
        </row>
        <row r="782">
          <cell r="B782">
            <v>15566</v>
          </cell>
          <cell r="C782" t="str">
            <v>LIABILITY FOR CAPEX</v>
          </cell>
          <cell r="D782">
            <v>0</v>
          </cell>
          <cell r="E782">
            <v>-61000</v>
          </cell>
          <cell r="F782">
            <v>75000</v>
          </cell>
          <cell r="G782">
            <v>-474400.71</v>
          </cell>
          <cell r="H782">
            <v>0</v>
          </cell>
          <cell r="I782">
            <v>0</v>
          </cell>
          <cell r="J782">
            <v>0</v>
          </cell>
          <cell r="K782">
            <v>0</v>
          </cell>
          <cell r="L782">
            <v>0</v>
          </cell>
          <cell r="M782">
            <v>0</v>
          </cell>
          <cell r="N782">
            <v>0</v>
          </cell>
          <cell r="O782">
            <v>0</v>
          </cell>
          <cell r="P782">
            <v>75000</v>
          </cell>
          <cell r="Q782">
            <v>-535400.71</v>
          </cell>
          <cell r="S782">
            <v>-61000</v>
          </cell>
          <cell r="T782">
            <v>-399400.71</v>
          </cell>
          <cell r="U782">
            <v>-61000</v>
          </cell>
          <cell r="V782">
            <v>-399400.71</v>
          </cell>
          <cell r="W782">
            <v>0</v>
          </cell>
          <cell r="X782">
            <v>0</v>
          </cell>
          <cell r="Y782">
            <v>-61000</v>
          </cell>
          <cell r="Z782">
            <v>-399400.71</v>
          </cell>
          <cell r="AA782">
            <v>-460400.71</v>
          </cell>
          <cell r="AC782">
            <v>15566</v>
          </cell>
          <cell r="AD782">
            <v>0</v>
          </cell>
        </row>
        <row r="783">
          <cell r="S783">
            <v>0</v>
          </cell>
          <cell r="T783">
            <v>0</v>
          </cell>
          <cell r="U783">
            <v>0</v>
          </cell>
          <cell r="V783">
            <v>0</v>
          </cell>
          <cell r="W783">
            <v>0</v>
          </cell>
          <cell r="X783">
            <v>0</v>
          </cell>
          <cell r="Y783">
            <v>0</v>
          </cell>
          <cell r="Z783">
            <v>0</v>
          </cell>
          <cell r="AA783">
            <v>0</v>
          </cell>
          <cell r="AC783">
            <v>0</v>
          </cell>
          <cell r="AD783">
            <v>0</v>
          </cell>
        </row>
        <row r="784">
          <cell r="B784">
            <v>15576</v>
          </cell>
          <cell r="C784" t="str">
            <v>PROVISION FOR GRATUITY</v>
          </cell>
          <cell r="D784">
            <v>1197383</v>
          </cell>
          <cell r="E784">
            <v>-3691689</v>
          </cell>
          <cell r="F784">
            <v>653431</v>
          </cell>
          <cell r="G784">
            <v>-1697432</v>
          </cell>
          <cell r="H784">
            <v>0</v>
          </cell>
          <cell r="I784">
            <v>0</v>
          </cell>
          <cell r="J784">
            <v>0</v>
          </cell>
          <cell r="K784">
            <v>0</v>
          </cell>
          <cell r="L784">
            <v>0</v>
          </cell>
          <cell r="M784">
            <v>0</v>
          </cell>
          <cell r="N784">
            <v>0</v>
          </cell>
          <cell r="O784">
            <v>0</v>
          </cell>
          <cell r="P784">
            <v>1850814</v>
          </cell>
          <cell r="Q784">
            <v>-5389121</v>
          </cell>
          <cell r="S784">
            <v>-2494306</v>
          </cell>
          <cell r="T784">
            <v>-1044001</v>
          </cell>
          <cell r="U784">
            <v>-2494306</v>
          </cell>
          <cell r="V784">
            <v>-1044001</v>
          </cell>
          <cell r="W784">
            <v>0</v>
          </cell>
          <cell r="X784">
            <v>0</v>
          </cell>
          <cell r="Y784">
            <v>-2494306</v>
          </cell>
          <cell r="Z784">
            <v>-1044001</v>
          </cell>
          <cell r="AA784">
            <v>-3538307</v>
          </cell>
          <cell r="AC784">
            <v>15576</v>
          </cell>
          <cell r="AD784">
            <v>0</v>
          </cell>
        </row>
        <row r="785">
          <cell r="S785">
            <v>0</v>
          </cell>
          <cell r="T785">
            <v>0</v>
          </cell>
          <cell r="U785">
            <v>0</v>
          </cell>
          <cell r="V785">
            <v>0</v>
          </cell>
          <cell r="W785">
            <v>0</v>
          </cell>
          <cell r="X785">
            <v>0</v>
          </cell>
          <cell r="Y785">
            <v>0</v>
          </cell>
          <cell r="Z785">
            <v>0</v>
          </cell>
          <cell r="AA785">
            <v>0</v>
          </cell>
          <cell r="AC785">
            <v>0</v>
          </cell>
          <cell r="AD785">
            <v>0</v>
          </cell>
        </row>
        <row r="786">
          <cell r="B786">
            <v>15577</v>
          </cell>
          <cell r="C786" t="str">
            <v>PROVISION FOR LEAVE ENCASHMENT</v>
          </cell>
          <cell r="D786">
            <v>50107.5</v>
          </cell>
          <cell r="E786">
            <v>-8312994.5</v>
          </cell>
          <cell r="F786">
            <v>0</v>
          </cell>
          <cell r="G786">
            <v>-5795172</v>
          </cell>
          <cell r="H786">
            <v>0</v>
          </cell>
          <cell r="I786">
            <v>0</v>
          </cell>
          <cell r="J786">
            <v>0</v>
          </cell>
          <cell r="K786">
            <v>0</v>
          </cell>
          <cell r="L786">
            <v>0</v>
          </cell>
          <cell r="M786">
            <v>0</v>
          </cell>
          <cell r="N786">
            <v>0</v>
          </cell>
          <cell r="O786">
            <v>0</v>
          </cell>
          <cell r="P786">
            <v>50107.5</v>
          </cell>
          <cell r="Q786">
            <v>-14108166.5</v>
          </cell>
          <cell r="S786">
            <v>-8262887</v>
          </cell>
          <cell r="T786">
            <v>-5795172</v>
          </cell>
          <cell r="U786">
            <v>-8262887</v>
          </cell>
          <cell r="V786">
            <v>-5795172</v>
          </cell>
          <cell r="W786">
            <v>0</v>
          </cell>
          <cell r="X786">
            <v>0</v>
          </cell>
          <cell r="Y786">
            <v>-8262887</v>
          </cell>
          <cell r="Z786">
            <v>-5795172</v>
          </cell>
          <cell r="AA786">
            <v>-14058059</v>
          </cell>
          <cell r="AC786">
            <v>15577</v>
          </cell>
          <cell r="AD786">
            <v>0</v>
          </cell>
        </row>
        <row r="787">
          <cell r="S787">
            <v>0</v>
          </cell>
          <cell r="T787">
            <v>0</v>
          </cell>
          <cell r="U787">
            <v>0</v>
          </cell>
          <cell r="V787">
            <v>0</v>
          </cell>
          <cell r="W787">
            <v>0</v>
          </cell>
          <cell r="X787">
            <v>0</v>
          </cell>
          <cell r="Y787">
            <v>0</v>
          </cell>
          <cell r="Z787">
            <v>0</v>
          </cell>
          <cell r="AA787">
            <v>0</v>
          </cell>
          <cell r="AC787">
            <v>0</v>
          </cell>
          <cell r="AD787">
            <v>0</v>
          </cell>
        </row>
        <row r="788">
          <cell r="B788">
            <v>15585</v>
          </cell>
          <cell r="C788" t="str">
            <v>PROVISION FOR TAXATION</v>
          </cell>
          <cell r="D788">
            <v>0</v>
          </cell>
          <cell r="E788">
            <v>0</v>
          </cell>
          <cell r="F788">
            <v>0</v>
          </cell>
          <cell r="G788">
            <v>0</v>
          </cell>
          <cell r="H788">
            <v>0</v>
          </cell>
          <cell r="I788">
            <v>0</v>
          </cell>
          <cell r="J788">
            <v>0</v>
          </cell>
          <cell r="K788">
            <v>0</v>
          </cell>
          <cell r="L788">
            <v>155168577</v>
          </cell>
          <cell r="M788">
            <v>-208462466</v>
          </cell>
          <cell r="N788">
            <v>0</v>
          </cell>
          <cell r="O788">
            <v>0</v>
          </cell>
          <cell r="P788">
            <v>0</v>
          </cell>
          <cell r="Q788">
            <v>0</v>
          </cell>
          <cell r="S788">
            <v>-53293889</v>
          </cell>
          <cell r="T788">
            <v>0</v>
          </cell>
          <cell r="U788">
            <v>-28093889</v>
          </cell>
          <cell r="V788">
            <v>0</v>
          </cell>
          <cell r="W788">
            <v>-25200000</v>
          </cell>
          <cell r="X788">
            <v>0</v>
          </cell>
          <cell r="Y788">
            <v>-53293889</v>
          </cell>
          <cell r="Z788">
            <v>0</v>
          </cell>
          <cell r="AA788">
            <v>-53293889</v>
          </cell>
          <cell r="AC788">
            <v>15585</v>
          </cell>
          <cell r="AD788">
            <v>0</v>
          </cell>
        </row>
        <row r="789">
          <cell r="S789">
            <v>0</v>
          </cell>
          <cell r="T789">
            <v>0</v>
          </cell>
          <cell r="U789">
            <v>0</v>
          </cell>
          <cell r="V789">
            <v>0</v>
          </cell>
          <cell r="W789">
            <v>0</v>
          </cell>
          <cell r="X789">
            <v>0</v>
          </cell>
          <cell r="Y789">
            <v>0</v>
          </cell>
          <cell r="Z789">
            <v>0</v>
          </cell>
          <cell r="AA789">
            <v>0</v>
          </cell>
          <cell r="AC789">
            <v>0</v>
          </cell>
          <cell r="AD789">
            <v>0</v>
          </cell>
        </row>
        <row r="790">
          <cell r="B790">
            <v>15586</v>
          </cell>
          <cell r="C790" t="str">
            <v>PROVISION FOR FBT</v>
          </cell>
          <cell r="D790">
            <v>0</v>
          </cell>
          <cell r="E790">
            <v>0</v>
          </cell>
          <cell r="F790">
            <v>0</v>
          </cell>
          <cell r="G790">
            <v>0</v>
          </cell>
          <cell r="H790">
            <v>0</v>
          </cell>
          <cell r="I790">
            <v>0</v>
          </cell>
          <cell r="J790">
            <v>0</v>
          </cell>
          <cell r="K790">
            <v>0</v>
          </cell>
          <cell r="L790">
            <v>0</v>
          </cell>
          <cell r="M790">
            <v>-6240000</v>
          </cell>
          <cell r="N790">
            <v>0</v>
          </cell>
          <cell r="O790">
            <v>0</v>
          </cell>
          <cell r="P790">
            <v>0</v>
          </cell>
          <cell r="Q790">
            <v>0</v>
          </cell>
          <cell r="S790">
            <v>-6240000</v>
          </cell>
          <cell r="T790">
            <v>0</v>
          </cell>
          <cell r="U790">
            <v>-6240000</v>
          </cell>
          <cell r="V790">
            <v>0</v>
          </cell>
          <cell r="W790">
            <v>0</v>
          </cell>
          <cell r="X790">
            <v>0</v>
          </cell>
          <cell r="Y790">
            <v>-6240000</v>
          </cell>
          <cell r="Z790">
            <v>0</v>
          </cell>
          <cell r="AA790">
            <v>-6240000</v>
          </cell>
          <cell r="AC790">
            <v>15586</v>
          </cell>
          <cell r="AD790">
            <v>0</v>
          </cell>
        </row>
        <row r="791">
          <cell r="S791">
            <v>0</v>
          </cell>
          <cell r="T791">
            <v>0</v>
          </cell>
          <cell r="U791">
            <v>0</v>
          </cell>
          <cell r="V791">
            <v>0</v>
          </cell>
          <cell r="W791">
            <v>0</v>
          </cell>
          <cell r="X791">
            <v>0</v>
          </cell>
          <cell r="Y791">
            <v>0</v>
          </cell>
          <cell r="Z791">
            <v>0</v>
          </cell>
          <cell r="AA791">
            <v>0</v>
          </cell>
          <cell r="AC791">
            <v>0</v>
          </cell>
          <cell r="AD791">
            <v>0</v>
          </cell>
        </row>
        <row r="792">
          <cell r="B792">
            <v>15587</v>
          </cell>
          <cell r="C792" t="str">
            <v>PROVISION FOR WEALTH TAX</v>
          </cell>
          <cell r="D792">
            <v>0</v>
          </cell>
          <cell r="E792">
            <v>0</v>
          </cell>
          <cell r="F792">
            <v>0</v>
          </cell>
          <cell r="G792">
            <v>0</v>
          </cell>
          <cell r="H792">
            <v>0</v>
          </cell>
          <cell r="I792">
            <v>0</v>
          </cell>
          <cell r="J792">
            <v>0</v>
          </cell>
          <cell r="K792">
            <v>0</v>
          </cell>
          <cell r="L792">
            <v>0</v>
          </cell>
          <cell r="M792">
            <v>-132055</v>
          </cell>
          <cell r="N792">
            <v>0</v>
          </cell>
          <cell r="O792">
            <v>0</v>
          </cell>
          <cell r="P792">
            <v>0</v>
          </cell>
          <cell r="Q792">
            <v>0</v>
          </cell>
          <cell r="S792">
            <v>-132055</v>
          </cell>
          <cell r="T792">
            <v>0</v>
          </cell>
          <cell r="U792">
            <v>-132055</v>
          </cell>
          <cell r="V792">
            <v>0</v>
          </cell>
          <cell r="W792">
            <v>0</v>
          </cell>
          <cell r="X792">
            <v>0</v>
          </cell>
          <cell r="Y792">
            <v>-132055</v>
          </cell>
          <cell r="Z792">
            <v>0</v>
          </cell>
          <cell r="AA792">
            <v>-132055</v>
          </cell>
          <cell r="AC792">
            <v>15587</v>
          </cell>
          <cell r="AD792">
            <v>0</v>
          </cell>
        </row>
        <row r="793">
          <cell r="S793">
            <v>0</v>
          </cell>
          <cell r="T793">
            <v>0</v>
          </cell>
          <cell r="U793">
            <v>0</v>
          </cell>
          <cell r="V793">
            <v>0</v>
          </cell>
          <cell r="W793">
            <v>0</v>
          </cell>
          <cell r="X793">
            <v>0</v>
          </cell>
          <cell r="Y793">
            <v>0</v>
          </cell>
          <cell r="Z793">
            <v>0</v>
          </cell>
          <cell r="AA793">
            <v>0</v>
          </cell>
          <cell r="AC793">
            <v>0</v>
          </cell>
          <cell r="AD793">
            <v>0</v>
          </cell>
        </row>
        <row r="794">
          <cell r="B794">
            <v>15595</v>
          </cell>
          <cell r="C794" t="str">
            <v>PROPOSED DIVIDEND</v>
          </cell>
          <cell r="D794">
            <v>0</v>
          </cell>
          <cell r="E794">
            <v>0</v>
          </cell>
          <cell r="F794">
            <v>0</v>
          </cell>
          <cell r="G794">
            <v>0</v>
          </cell>
          <cell r="H794">
            <v>0</v>
          </cell>
          <cell r="I794">
            <v>0</v>
          </cell>
          <cell r="J794">
            <v>0</v>
          </cell>
          <cell r="K794">
            <v>0</v>
          </cell>
          <cell r="L794">
            <v>69224904</v>
          </cell>
          <cell r="M794">
            <v>-69224904</v>
          </cell>
          <cell r="N794">
            <v>0</v>
          </cell>
          <cell r="O794">
            <v>0</v>
          </cell>
          <cell r="P794">
            <v>0</v>
          </cell>
          <cell r="Q794">
            <v>0</v>
          </cell>
          <cell r="S794">
            <v>0</v>
          </cell>
          <cell r="T794">
            <v>0</v>
          </cell>
          <cell r="U794">
            <v>0</v>
          </cell>
          <cell r="V794">
            <v>0</v>
          </cell>
          <cell r="W794">
            <v>0</v>
          </cell>
          <cell r="X794">
            <v>0</v>
          </cell>
          <cell r="Y794">
            <v>0</v>
          </cell>
          <cell r="Z794">
            <v>0</v>
          </cell>
          <cell r="AA794">
            <v>0</v>
          </cell>
          <cell r="AC794">
            <v>15595</v>
          </cell>
          <cell r="AD794">
            <v>0</v>
          </cell>
        </row>
        <row r="795">
          <cell r="S795">
            <v>0</v>
          </cell>
          <cell r="T795">
            <v>0</v>
          </cell>
          <cell r="U795">
            <v>0</v>
          </cell>
          <cell r="V795">
            <v>0</v>
          </cell>
          <cell r="W795">
            <v>0</v>
          </cell>
          <cell r="X795">
            <v>0</v>
          </cell>
          <cell r="Y795">
            <v>0</v>
          </cell>
          <cell r="Z795">
            <v>0</v>
          </cell>
          <cell r="AA795">
            <v>0</v>
          </cell>
          <cell r="AC795">
            <v>0</v>
          </cell>
          <cell r="AD795">
            <v>0</v>
          </cell>
        </row>
        <row r="796">
          <cell r="B796">
            <v>15596</v>
          </cell>
          <cell r="C796" t="str">
            <v>DISTRIBUTION TAX</v>
          </cell>
          <cell r="D796">
            <v>0</v>
          </cell>
          <cell r="E796">
            <v>0</v>
          </cell>
          <cell r="F796">
            <v>0</v>
          </cell>
          <cell r="G796">
            <v>0</v>
          </cell>
          <cell r="H796">
            <v>0</v>
          </cell>
          <cell r="I796">
            <v>0</v>
          </cell>
          <cell r="J796">
            <v>0</v>
          </cell>
          <cell r="K796">
            <v>0</v>
          </cell>
          <cell r="L796">
            <v>11295232</v>
          </cell>
          <cell r="M796">
            <v>-13313727</v>
          </cell>
          <cell r="N796">
            <v>0</v>
          </cell>
          <cell r="O796">
            <v>0</v>
          </cell>
          <cell r="P796">
            <v>0</v>
          </cell>
          <cell r="Q796">
            <v>0</v>
          </cell>
          <cell r="S796">
            <v>-2018495</v>
          </cell>
          <cell r="T796">
            <v>0</v>
          </cell>
          <cell r="U796">
            <v>0</v>
          </cell>
          <cell r="V796">
            <v>0</v>
          </cell>
          <cell r="W796">
            <v>-2018495</v>
          </cell>
          <cell r="X796">
            <v>0</v>
          </cell>
          <cell r="Y796">
            <v>-2018495</v>
          </cell>
          <cell r="Z796">
            <v>0</v>
          </cell>
          <cell r="AA796">
            <v>-2018495</v>
          </cell>
          <cell r="AC796">
            <v>15596</v>
          </cell>
          <cell r="AD796">
            <v>0</v>
          </cell>
        </row>
        <row r="797">
          <cell r="S797">
            <v>0</v>
          </cell>
          <cell r="T797">
            <v>0</v>
          </cell>
          <cell r="U797">
            <v>0</v>
          </cell>
          <cell r="V797">
            <v>0</v>
          </cell>
          <cell r="W797">
            <v>0</v>
          </cell>
          <cell r="X797">
            <v>0</v>
          </cell>
          <cell r="Y797">
            <v>0</v>
          </cell>
          <cell r="Z797">
            <v>0</v>
          </cell>
          <cell r="AA797">
            <v>0</v>
          </cell>
          <cell r="AC797">
            <v>0</v>
          </cell>
          <cell r="AD797">
            <v>0</v>
          </cell>
        </row>
        <row r="798">
          <cell r="B798">
            <v>15606</v>
          </cell>
          <cell r="C798" t="str">
            <v>IMPORT DUTY EXPENCE A/C</v>
          </cell>
          <cell r="D798">
            <v>47386.74</v>
          </cell>
          <cell r="E798">
            <v>-47386.74</v>
          </cell>
          <cell r="F798">
            <v>133825.70000000001</v>
          </cell>
          <cell r="G798">
            <v>-133825.70000000001</v>
          </cell>
          <cell r="H798">
            <v>0</v>
          </cell>
          <cell r="I798">
            <v>0</v>
          </cell>
          <cell r="J798">
            <v>0</v>
          </cell>
          <cell r="K798">
            <v>0</v>
          </cell>
          <cell r="L798">
            <v>0</v>
          </cell>
          <cell r="M798">
            <v>0</v>
          </cell>
          <cell r="N798">
            <v>0</v>
          </cell>
          <cell r="O798">
            <v>0</v>
          </cell>
          <cell r="P798">
            <v>181212.44</v>
          </cell>
          <cell r="Q798">
            <v>-181212.44</v>
          </cell>
          <cell r="S798">
            <v>0</v>
          </cell>
          <cell r="T798">
            <v>0</v>
          </cell>
          <cell r="U798">
            <v>0</v>
          </cell>
          <cell r="V798">
            <v>0</v>
          </cell>
          <cell r="W798">
            <v>0</v>
          </cell>
          <cell r="X798">
            <v>0</v>
          </cell>
          <cell r="Y798">
            <v>0</v>
          </cell>
          <cell r="Z798">
            <v>0</v>
          </cell>
          <cell r="AA798">
            <v>0</v>
          </cell>
          <cell r="AC798">
            <v>15606</v>
          </cell>
          <cell r="AD798">
            <v>0</v>
          </cell>
        </row>
        <row r="799">
          <cell r="S799">
            <v>0</v>
          </cell>
          <cell r="T799">
            <v>0</v>
          </cell>
          <cell r="U799">
            <v>0</v>
          </cell>
          <cell r="V799">
            <v>0</v>
          </cell>
          <cell r="W799">
            <v>0</v>
          </cell>
          <cell r="X799">
            <v>0</v>
          </cell>
          <cell r="Y799">
            <v>0</v>
          </cell>
          <cell r="Z799">
            <v>0</v>
          </cell>
          <cell r="AA799">
            <v>0</v>
          </cell>
          <cell r="AC799">
            <v>0</v>
          </cell>
          <cell r="AD799">
            <v>0</v>
          </cell>
        </row>
        <row r="800">
          <cell r="B800">
            <v>15607</v>
          </cell>
          <cell r="C800" t="str">
            <v>IMPORT DUTY PAYABLE A/C</v>
          </cell>
          <cell r="D800">
            <v>15164536.16</v>
          </cell>
          <cell r="E800">
            <v>-12814020.42</v>
          </cell>
          <cell r="F800">
            <v>278125901.97000003</v>
          </cell>
          <cell r="G800">
            <v>-306876897.83999997</v>
          </cell>
          <cell r="H800">
            <v>0</v>
          </cell>
          <cell r="I800">
            <v>0</v>
          </cell>
          <cell r="J800">
            <v>0</v>
          </cell>
          <cell r="K800">
            <v>0</v>
          </cell>
          <cell r="L800">
            <v>0</v>
          </cell>
          <cell r="M800">
            <v>0</v>
          </cell>
          <cell r="N800">
            <v>31315942.309999999</v>
          </cell>
          <cell r="O800">
            <v>-31315942.309999999</v>
          </cell>
          <cell r="P800">
            <v>324606380.44</v>
          </cell>
          <cell r="Q800">
            <v>-351006860.56999999</v>
          </cell>
          <cell r="S800">
            <v>2350515.7399999984</v>
          </cell>
          <cell r="T800">
            <v>-28750995.869999945</v>
          </cell>
          <cell r="U800">
            <v>-254.6</v>
          </cell>
          <cell r="V800">
            <v>0</v>
          </cell>
          <cell r="W800">
            <v>2350770.3399999985</v>
          </cell>
          <cell r="X800">
            <v>-28750995.869999945</v>
          </cell>
          <cell r="Y800">
            <v>2350515.7399999984</v>
          </cell>
          <cell r="Z800">
            <v>-28750995.869999945</v>
          </cell>
          <cell r="AA800">
            <v>-26400480.129999947</v>
          </cell>
          <cell r="AC800">
            <v>15607</v>
          </cell>
          <cell r="AD800">
            <v>0</v>
          </cell>
        </row>
        <row r="801">
          <cell r="S801">
            <v>0</v>
          </cell>
          <cell r="T801">
            <v>0</v>
          </cell>
          <cell r="U801">
            <v>0</v>
          </cell>
          <cell r="V801">
            <v>0</v>
          </cell>
          <cell r="W801">
            <v>0</v>
          </cell>
          <cell r="X801">
            <v>0</v>
          </cell>
          <cell r="Y801">
            <v>0</v>
          </cell>
          <cell r="Z801">
            <v>0</v>
          </cell>
          <cell r="AA801">
            <v>0</v>
          </cell>
          <cell r="AC801">
            <v>0</v>
          </cell>
          <cell r="AD801">
            <v>0</v>
          </cell>
        </row>
        <row r="802">
          <cell r="B802">
            <v>15609</v>
          </cell>
          <cell r="C802" t="str">
            <v>EXPORT DUTY PAYABLE A/C</v>
          </cell>
          <cell r="D802">
            <v>0</v>
          </cell>
          <cell r="E802">
            <v>0</v>
          </cell>
          <cell r="F802">
            <v>0</v>
          </cell>
          <cell r="G802">
            <v>0</v>
          </cell>
          <cell r="H802">
            <v>0</v>
          </cell>
          <cell r="I802">
            <v>0</v>
          </cell>
          <cell r="J802">
            <v>0</v>
          </cell>
          <cell r="K802">
            <v>0</v>
          </cell>
          <cell r="L802">
            <v>0</v>
          </cell>
          <cell r="M802">
            <v>0</v>
          </cell>
          <cell r="N802">
            <v>4258449.3</v>
          </cell>
          <cell r="O802">
            <v>-4258449.3</v>
          </cell>
          <cell r="P802">
            <v>4258449.3</v>
          </cell>
          <cell r="Q802">
            <v>-4258449.3</v>
          </cell>
          <cell r="S802">
            <v>0</v>
          </cell>
          <cell r="T802">
            <v>0</v>
          </cell>
          <cell r="U802">
            <v>0</v>
          </cell>
          <cell r="V802">
            <v>0</v>
          </cell>
          <cell r="W802">
            <v>0</v>
          </cell>
          <cell r="X802">
            <v>0</v>
          </cell>
          <cell r="Y802">
            <v>0</v>
          </cell>
          <cell r="Z802">
            <v>0</v>
          </cell>
          <cell r="AA802">
            <v>0</v>
          </cell>
          <cell r="AC802">
            <v>15609</v>
          </cell>
          <cell r="AD802">
            <v>0</v>
          </cell>
        </row>
        <row r="803">
          <cell r="S803">
            <v>0</v>
          </cell>
          <cell r="T803">
            <v>0</v>
          </cell>
          <cell r="U803">
            <v>0</v>
          </cell>
          <cell r="V803">
            <v>0</v>
          </cell>
          <cell r="W803">
            <v>0</v>
          </cell>
          <cell r="X803">
            <v>0</v>
          </cell>
          <cell r="Y803">
            <v>0</v>
          </cell>
          <cell r="Z803">
            <v>0</v>
          </cell>
          <cell r="AA803">
            <v>0</v>
          </cell>
          <cell r="AC803">
            <v>0</v>
          </cell>
          <cell r="AD803">
            <v>0</v>
          </cell>
        </row>
        <row r="804">
          <cell r="B804">
            <v>15612</v>
          </cell>
          <cell r="C804" t="str">
            <v>TAX ADJUSTMENT - SETTLEMENT (SYS)</v>
          </cell>
          <cell r="D804">
            <v>0</v>
          </cell>
          <cell r="E804">
            <v>0</v>
          </cell>
          <cell r="F804">
            <v>2679</v>
          </cell>
          <cell r="G804">
            <v>-2679</v>
          </cell>
          <cell r="H804">
            <v>0</v>
          </cell>
          <cell r="I804">
            <v>0</v>
          </cell>
          <cell r="J804">
            <v>0</v>
          </cell>
          <cell r="K804">
            <v>0</v>
          </cell>
          <cell r="L804">
            <v>8445</v>
          </cell>
          <cell r="M804">
            <v>-8445</v>
          </cell>
          <cell r="N804">
            <v>32500000</v>
          </cell>
          <cell r="O804">
            <v>-32500000</v>
          </cell>
          <cell r="P804">
            <v>32502679</v>
          </cell>
          <cell r="Q804">
            <v>-32502679</v>
          </cell>
          <cell r="S804">
            <v>0</v>
          </cell>
          <cell r="T804">
            <v>0</v>
          </cell>
          <cell r="U804">
            <v>0</v>
          </cell>
          <cell r="V804">
            <v>0</v>
          </cell>
          <cell r="W804">
            <v>0</v>
          </cell>
          <cell r="X804">
            <v>0</v>
          </cell>
          <cell r="Y804">
            <v>0</v>
          </cell>
          <cell r="Z804">
            <v>0</v>
          </cell>
          <cell r="AA804">
            <v>0</v>
          </cell>
          <cell r="AC804">
            <v>15612</v>
          </cell>
          <cell r="AD804">
            <v>0</v>
          </cell>
        </row>
        <row r="805">
          <cell r="S805">
            <v>0</v>
          </cell>
          <cell r="T805">
            <v>0</v>
          </cell>
          <cell r="U805">
            <v>0</v>
          </cell>
          <cell r="V805">
            <v>0</v>
          </cell>
          <cell r="W805">
            <v>0</v>
          </cell>
          <cell r="X805">
            <v>0</v>
          </cell>
          <cell r="Y805">
            <v>0</v>
          </cell>
          <cell r="Z805">
            <v>0</v>
          </cell>
          <cell r="AA805">
            <v>0</v>
          </cell>
          <cell r="AC805">
            <v>0</v>
          </cell>
          <cell r="AD805">
            <v>0</v>
          </cell>
        </row>
        <row r="806">
          <cell r="B806">
            <v>15613</v>
          </cell>
          <cell r="C806" t="str">
            <v>LIABILITY FOR TAX Group</v>
          </cell>
          <cell r="D806">
            <v>118534417.83</v>
          </cell>
          <cell r="E806">
            <v>-54197315.530000001</v>
          </cell>
          <cell r="F806">
            <v>341310966.66000003</v>
          </cell>
          <cell r="G806">
            <v>-284462336.80000001</v>
          </cell>
          <cell r="H806">
            <v>1635386</v>
          </cell>
          <cell r="I806">
            <v>-95570</v>
          </cell>
          <cell r="J806">
            <v>21031</v>
          </cell>
          <cell r="K806">
            <v>0</v>
          </cell>
          <cell r="L806">
            <v>6791217.6600000001</v>
          </cell>
          <cell r="M806">
            <v>-6328791</v>
          </cell>
          <cell r="N806">
            <v>37070251.490000002</v>
          </cell>
          <cell r="O806">
            <v>-85976584.25</v>
          </cell>
          <cell r="P806">
            <v>498572052.98000002</v>
          </cell>
          <cell r="Q806">
            <v>-424731806.57999998</v>
          </cell>
          <cell r="S806">
            <v>15893196.199999988</v>
          </cell>
          <cell r="T806">
            <v>58409476.860000014</v>
          </cell>
          <cell r="U806">
            <v>-13182246.1</v>
          </cell>
          <cell r="V806">
            <v>9187121.1600000001</v>
          </cell>
          <cell r="W806">
            <v>29075442.29999999</v>
          </cell>
          <cell r="X806">
            <v>49222355.700000018</v>
          </cell>
          <cell r="Y806">
            <v>15893196.19999999</v>
          </cell>
          <cell r="Z806">
            <v>58409476.860000014</v>
          </cell>
          <cell r="AA806">
            <v>74302673.060000002</v>
          </cell>
          <cell r="AC806">
            <v>15613</v>
          </cell>
          <cell r="AD806">
            <v>0</v>
          </cell>
        </row>
        <row r="807">
          <cell r="S807">
            <v>0</v>
          </cell>
          <cell r="T807">
            <v>0</v>
          </cell>
          <cell r="U807">
            <v>0</v>
          </cell>
          <cell r="V807">
            <v>0</v>
          </cell>
          <cell r="W807">
            <v>0</v>
          </cell>
          <cell r="X807">
            <v>0</v>
          </cell>
          <cell r="Y807">
            <v>0</v>
          </cell>
          <cell r="Z807">
            <v>0</v>
          </cell>
          <cell r="AA807">
            <v>0</v>
          </cell>
          <cell r="AC807">
            <v>0</v>
          </cell>
          <cell r="AD807">
            <v>0</v>
          </cell>
        </row>
        <row r="808">
          <cell r="B808">
            <v>15614</v>
          </cell>
          <cell r="C808" t="str">
            <v>ISSUE A/C - PACKING MATERIAL STOCK (BS)</v>
          </cell>
          <cell r="D808">
            <v>13153328.1</v>
          </cell>
          <cell r="E808">
            <v>-23278849.690000001</v>
          </cell>
          <cell r="F808">
            <v>1999484.8</v>
          </cell>
          <cell r="G808">
            <v>-4168575.85</v>
          </cell>
          <cell r="H808">
            <v>0</v>
          </cell>
          <cell r="I808">
            <v>0</v>
          </cell>
          <cell r="J808">
            <v>0</v>
          </cell>
          <cell r="K808">
            <v>0</v>
          </cell>
          <cell r="L808">
            <v>0</v>
          </cell>
          <cell r="M808">
            <v>0</v>
          </cell>
          <cell r="N808">
            <v>66.86</v>
          </cell>
          <cell r="O808">
            <v>-771.78</v>
          </cell>
          <cell r="P808">
            <v>15152879.76</v>
          </cell>
          <cell r="Q808">
            <v>-27448197.32</v>
          </cell>
          <cell r="S808">
            <v>-10126226.510000002</v>
          </cell>
          <cell r="T808">
            <v>-2169091.0499999998</v>
          </cell>
          <cell r="U808">
            <v>0</v>
          </cell>
          <cell r="V808">
            <v>0</v>
          </cell>
          <cell r="W808">
            <v>-10126226.510000002</v>
          </cell>
          <cell r="X808">
            <v>-2169091.0499999998</v>
          </cell>
          <cell r="Y808">
            <v>-10126226.510000002</v>
          </cell>
          <cell r="Z808">
            <v>-2169091.0499999998</v>
          </cell>
          <cell r="AA808">
            <v>-12295317.560000002</v>
          </cell>
          <cell r="AC808">
            <v>15614</v>
          </cell>
          <cell r="AD808">
            <v>0</v>
          </cell>
        </row>
        <row r="809">
          <cell r="S809">
            <v>0</v>
          </cell>
          <cell r="T809">
            <v>0</v>
          </cell>
          <cell r="U809">
            <v>0</v>
          </cell>
          <cell r="V809">
            <v>0</v>
          </cell>
          <cell r="W809">
            <v>0</v>
          </cell>
          <cell r="X809">
            <v>0</v>
          </cell>
          <cell r="Y809">
            <v>0</v>
          </cell>
          <cell r="Z809">
            <v>0</v>
          </cell>
          <cell r="AA809">
            <v>0</v>
          </cell>
          <cell r="AC809">
            <v>0</v>
          </cell>
          <cell r="AD809">
            <v>0</v>
          </cell>
        </row>
        <row r="810">
          <cell r="B810">
            <v>15615</v>
          </cell>
          <cell r="C810" t="str">
            <v>PACKING SLIP A/C OFF SET (MATL ASSIGN YET TO DES NET 15119)</v>
          </cell>
          <cell r="D810">
            <v>933498887.63</v>
          </cell>
          <cell r="E810">
            <v>-933500034.88999999</v>
          </cell>
          <cell r="F810">
            <v>1703064412.5799999</v>
          </cell>
          <cell r="G810">
            <v>-1703406305.3800001</v>
          </cell>
          <cell r="H810">
            <v>9682240.0800000001</v>
          </cell>
          <cell r="I810">
            <v>-9593817.5999999996</v>
          </cell>
          <cell r="J810">
            <v>1448045.2</v>
          </cell>
          <cell r="K810">
            <v>-1448045.2</v>
          </cell>
          <cell r="L810">
            <v>0</v>
          </cell>
          <cell r="M810">
            <v>0</v>
          </cell>
          <cell r="N810">
            <v>0</v>
          </cell>
          <cell r="O810">
            <v>0</v>
          </cell>
          <cell r="P810">
            <v>2647693585.4899998</v>
          </cell>
          <cell r="Q810">
            <v>-2647948203.0700002</v>
          </cell>
          <cell r="S810">
            <v>-1147.2599999904633</v>
          </cell>
          <cell r="T810">
            <v>-253470.32000019029</v>
          </cell>
          <cell r="U810">
            <v>0</v>
          </cell>
          <cell r="V810">
            <v>0</v>
          </cell>
          <cell r="W810">
            <v>-1147.2599999904633</v>
          </cell>
          <cell r="X810">
            <v>-253470.32000019029</v>
          </cell>
          <cell r="Y810">
            <v>-1147.2599999904633</v>
          </cell>
          <cell r="Z810">
            <v>-253470.32000019029</v>
          </cell>
          <cell r="AA810">
            <v>-254617.58000018075</v>
          </cell>
          <cell r="AC810">
            <v>15615</v>
          </cell>
          <cell r="AD810">
            <v>0</v>
          </cell>
        </row>
        <row r="811">
          <cell r="S811">
            <v>0</v>
          </cell>
          <cell r="T811">
            <v>0</v>
          </cell>
          <cell r="U811">
            <v>0</v>
          </cell>
          <cell r="V811">
            <v>0</v>
          </cell>
          <cell r="W811">
            <v>0</v>
          </cell>
          <cell r="X811">
            <v>0</v>
          </cell>
          <cell r="Y811">
            <v>0</v>
          </cell>
          <cell r="Z811">
            <v>0</v>
          </cell>
          <cell r="AA811">
            <v>0</v>
          </cell>
          <cell r="AC811">
            <v>0</v>
          </cell>
          <cell r="AD811">
            <v>0</v>
          </cell>
        </row>
        <row r="812">
          <cell r="B812">
            <v>15616</v>
          </cell>
          <cell r="C812" t="str">
            <v>PRODUCTION ISSUE OFFSET A/C SALES ORDER ISSUE (1)</v>
          </cell>
          <cell r="D812">
            <v>3490129562.4699998</v>
          </cell>
          <cell r="E812">
            <v>-3434341744.5900002</v>
          </cell>
          <cell r="F812">
            <v>14337655963.17</v>
          </cell>
          <cell r="G812">
            <v>-14327487063.610001</v>
          </cell>
          <cell r="H812">
            <v>45790.97</v>
          </cell>
          <cell r="I812">
            <v>-45790.97</v>
          </cell>
          <cell r="J812">
            <v>0</v>
          </cell>
          <cell r="K812">
            <v>0</v>
          </cell>
          <cell r="L812">
            <v>0</v>
          </cell>
          <cell r="M812">
            <v>0</v>
          </cell>
          <cell r="N812">
            <v>87384.48</v>
          </cell>
          <cell r="O812">
            <v>-67026.880000000005</v>
          </cell>
          <cell r="P812">
            <v>17827918701.09</v>
          </cell>
          <cell r="Q812">
            <v>-17761941626.049999</v>
          </cell>
          <cell r="S812">
            <v>55808175.479999632</v>
          </cell>
          <cell r="T812">
            <v>10168899.559999466</v>
          </cell>
          <cell r="U812">
            <v>0</v>
          </cell>
          <cell r="V812">
            <v>0</v>
          </cell>
          <cell r="W812">
            <v>55808175.479999632</v>
          </cell>
          <cell r="X812">
            <v>10168899.559999466</v>
          </cell>
          <cell r="Y812">
            <v>55808175.479999632</v>
          </cell>
          <cell r="Z812">
            <v>10168899.559999466</v>
          </cell>
          <cell r="AA812">
            <v>65977075.039999098</v>
          </cell>
          <cell r="AC812">
            <v>15616</v>
          </cell>
          <cell r="AD812">
            <v>0</v>
          </cell>
        </row>
        <row r="813">
          <cell r="S813">
            <v>0</v>
          </cell>
          <cell r="T813">
            <v>0</v>
          </cell>
          <cell r="U813">
            <v>0</v>
          </cell>
          <cell r="V813">
            <v>0</v>
          </cell>
          <cell r="W813">
            <v>0</v>
          </cell>
          <cell r="X813">
            <v>0</v>
          </cell>
          <cell r="Y813">
            <v>0</v>
          </cell>
          <cell r="Z813">
            <v>0</v>
          </cell>
          <cell r="AA813">
            <v>0</v>
          </cell>
          <cell r="AC813">
            <v>0</v>
          </cell>
          <cell r="AD813">
            <v>0</v>
          </cell>
        </row>
        <row r="814">
          <cell r="B814">
            <v>15617</v>
          </cell>
          <cell r="C814" t="str">
            <v>PRODUCTION PICKING SLIP A/C (1)</v>
          </cell>
          <cell r="D814">
            <v>1677125099.05</v>
          </cell>
          <cell r="E814">
            <v>-1678983157.6099999</v>
          </cell>
          <cell r="F814">
            <v>1743930159.22</v>
          </cell>
          <cell r="G814">
            <v>-1745129944.0599999</v>
          </cell>
          <cell r="H814">
            <v>0</v>
          </cell>
          <cell r="I814">
            <v>0</v>
          </cell>
          <cell r="J814">
            <v>0</v>
          </cell>
          <cell r="K814">
            <v>0</v>
          </cell>
          <cell r="L814">
            <v>0</v>
          </cell>
          <cell r="M814">
            <v>0</v>
          </cell>
          <cell r="N814">
            <v>0</v>
          </cell>
          <cell r="O814">
            <v>0</v>
          </cell>
          <cell r="P814">
            <v>3421055258.27</v>
          </cell>
          <cell r="Q814">
            <v>-3424113101.6700001</v>
          </cell>
          <cell r="S814">
            <v>-1858058.5599999428</v>
          </cell>
          <cell r="T814">
            <v>-1199784.8399999142</v>
          </cell>
          <cell r="U814">
            <v>0</v>
          </cell>
          <cell r="V814">
            <v>0</v>
          </cell>
          <cell r="W814">
            <v>-1858058.5599999428</v>
          </cell>
          <cell r="X814">
            <v>-1199784.8399999142</v>
          </cell>
          <cell r="Y814">
            <v>-1858058.5599999428</v>
          </cell>
          <cell r="Z814">
            <v>-1199784.8399999142</v>
          </cell>
          <cell r="AA814">
            <v>-3057843.3999998569</v>
          </cell>
          <cell r="AC814">
            <v>15617</v>
          </cell>
          <cell r="AD814">
            <v>0</v>
          </cell>
        </row>
        <row r="815">
          <cell r="S815">
            <v>0</v>
          </cell>
          <cell r="T815">
            <v>0</v>
          </cell>
          <cell r="U815">
            <v>0</v>
          </cell>
          <cell r="V815">
            <v>0</v>
          </cell>
          <cell r="W815">
            <v>0</v>
          </cell>
          <cell r="X815">
            <v>0</v>
          </cell>
          <cell r="Y815">
            <v>0</v>
          </cell>
          <cell r="Z815">
            <v>0</v>
          </cell>
          <cell r="AA815">
            <v>0</v>
          </cell>
          <cell r="AC815">
            <v>0</v>
          </cell>
          <cell r="AD815">
            <v>0</v>
          </cell>
        </row>
        <row r="816">
          <cell r="E816" t="str">
            <v>SDCT</v>
          </cell>
          <cell r="F816" t="str">
            <v>PCDT</v>
          </cell>
          <cell r="G816" t="str">
            <v>PCDC</v>
          </cell>
          <cell r="I816" t="str">
            <v>PCDN</v>
          </cell>
          <cell r="K816" t="str">
            <v>CORP</v>
          </cell>
          <cell r="M816" t="str">
            <v>OTHER</v>
          </cell>
          <cell r="O816" t="str">
            <v>TOTAL</v>
          </cell>
          <cell r="U816">
            <v>0</v>
          </cell>
          <cell r="V816">
            <v>0</v>
          </cell>
          <cell r="W816">
            <v>0</v>
          </cell>
          <cell r="X816">
            <v>0</v>
          </cell>
          <cell r="Y816">
            <v>0</v>
          </cell>
          <cell r="Z816">
            <v>0</v>
          </cell>
          <cell r="AA816">
            <v>0</v>
          </cell>
          <cell r="AC816">
            <v>0</v>
          </cell>
          <cell r="AD816">
            <v>0</v>
          </cell>
        </row>
        <row r="817">
          <cell r="B817" t="str">
            <v>GL CODE</v>
          </cell>
          <cell r="C817" t="str">
            <v>ACCOUNT HEAD</v>
          </cell>
          <cell r="S817">
            <v>0</v>
          </cell>
          <cell r="T817">
            <v>0</v>
          </cell>
          <cell r="U817" t="str">
            <v>SDCT</v>
          </cell>
          <cell r="V817" t="str">
            <v>PCDT</v>
          </cell>
          <cell r="AA817">
            <v>0</v>
          </cell>
          <cell r="AC817">
            <v>0</v>
          </cell>
          <cell r="AD817" t="e">
            <v>#VALUE!</v>
          </cell>
        </row>
        <row r="818">
          <cell r="S818">
            <v>0</v>
          </cell>
          <cell r="T818">
            <v>0</v>
          </cell>
          <cell r="U818">
            <v>0</v>
          </cell>
          <cell r="V818">
            <v>0</v>
          </cell>
          <cell r="W818">
            <v>0</v>
          </cell>
          <cell r="X818">
            <v>0</v>
          </cell>
          <cell r="Y818">
            <v>0</v>
          </cell>
          <cell r="Z818">
            <v>0</v>
          </cell>
          <cell r="AA818">
            <v>0</v>
          </cell>
          <cell r="AC818">
            <v>0</v>
          </cell>
          <cell r="AD818">
            <v>0</v>
          </cell>
        </row>
        <row r="819">
          <cell r="D819" t="str">
            <v>DR.</v>
          </cell>
          <cell r="E819" t="str">
            <v>CR.</v>
          </cell>
          <cell r="F819" t="str">
            <v>DR.</v>
          </cell>
          <cell r="G819" t="str">
            <v>CR.</v>
          </cell>
          <cell r="H819" t="str">
            <v>DR.</v>
          </cell>
          <cell r="I819" t="str">
            <v>CR.</v>
          </cell>
          <cell r="J819" t="str">
            <v>DR.</v>
          </cell>
          <cell r="K819" t="str">
            <v>CR.</v>
          </cell>
          <cell r="L819" t="str">
            <v>DR.</v>
          </cell>
          <cell r="M819" t="str">
            <v>CR.</v>
          </cell>
          <cell r="N819" t="str">
            <v>DR.</v>
          </cell>
          <cell r="O819" t="str">
            <v>CR.</v>
          </cell>
          <cell r="P819" t="str">
            <v>DR.</v>
          </cell>
          <cell r="Q819" t="str">
            <v>CR.</v>
          </cell>
          <cell r="U819">
            <v>0</v>
          </cell>
          <cell r="V819">
            <v>0</v>
          </cell>
          <cell r="W819">
            <v>0</v>
          </cell>
          <cell r="X819">
            <v>0</v>
          </cell>
          <cell r="Y819">
            <v>0</v>
          </cell>
          <cell r="Z819">
            <v>0</v>
          </cell>
          <cell r="AA819">
            <v>0</v>
          </cell>
          <cell r="AC819">
            <v>0</v>
          </cell>
          <cell r="AD819">
            <v>0</v>
          </cell>
        </row>
        <row r="820">
          <cell r="S820">
            <v>0</v>
          </cell>
          <cell r="T820">
            <v>0</v>
          </cell>
          <cell r="U820">
            <v>0</v>
          </cell>
          <cell r="V820">
            <v>0</v>
          </cell>
          <cell r="W820">
            <v>0</v>
          </cell>
          <cell r="X820">
            <v>0</v>
          </cell>
          <cell r="Y820">
            <v>0</v>
          </cell>
          <cell r="Z820">
            <v>0</v>
          </cell>
          <cell r="AA820">
            <v>0</v>
          </cell>
          <cell r="AC820">
            <v>0</v>
          </cell>
          <cell r="AD820">
            <v>0</v>
          </cell>
        </row>
        <row r="821">
          <cell r="S821">
            <v>0</v>
          </cell>
          <cell r="T821">
            <v>0</v>
          </cell>
          <cell r="U821">
            <v>0</v>
          </cell>
          <cell r="V821">
            <v>0</v>
          </cell>
          <cell r="W821">
            <v>0</v>
          </cell>
          <cell r="X821">
            <v>0</v>
          </cell>
          <cell r="Y821">
            <v>0</v>
          </cell>
          <cell r="Z821">
            <v>0</v>
          </cell>
          <cell r="AA821">
            <v>0</v>
          </cell>
          <cell r="AC821">
            <v>0</v>
          </cell>
          <cell r="AD821">
            <v>0</v>
          </cell>
        </row>
        <row r="822">
          <cell r="B822">
            <v>15618</v>
          </cell>
          <cell r="C822" t="str">
            <v>PRODUCTION PICKING SLIP OFFSET A/C (1)</v>
          </cell>
          <cell r="D822">
            <v>2609698017.5300002</v>
          </cell>
          <cell r="E822">
            <v>-2605223338.1900001</v>
          </cell>
          <cell r="F822">
            <v>4526534896</v>
          </cell>
          <cell r="G822">
            <v>-4522402117.8000002</v>
          </cell>
          <cell r="H822">
            <v>0</v>
          </cell>
          <cell r="I822">
            <v>0</v>
          </cell>
          <cell r="J822">
            <v>0</v>
          </cell>
          <cell r="K822">
            <v>0</v>
          </cell>
          <cell r="L822">
            <v>0</v>
          </cell>
          <cell r="M822">
            <v>0</v>
          </cell>
          <cell r="N822">
            <v>9516.41</v>
          </cell>
          <cell r="O822">
            <v>-9516.41</v>
          </cell>
          <cell r="P822">
            <v>7136242429.9399996</v>
          </cell>
          <cell r="Q822">
            <v>-7127634972.3999996</v>
          </cell>
          <cell r="S822">
            <v>4474679.3400001526</v>
          </cell>
          <cell r="T822">
            <v>4132778.1999998093</v>
          </cell>
          <cell r="U822">
            <v>0</v>
          </cell>
          <cell r="V822">
            <v>0</v>
          </cell>
          <cell r="W822">
            <v>4474679.3400001526</v>
          </cell>
          <cell r="X822">
            <v>4132778.1999998093</v>
          </cell>
          <cell r="Y822">
            <v>4474679.3400001526</v>
          </cell>
          <cell r="Z822">
            <v>4132778.1999998093</v>
          </cell>
          <cell r="AA822">
            <v>8607457.5399999619</v>
          </cell>
          <cell r="AC822">
            <v>15618</v>
          </cell>
          <cell r="AD822">
            <v>0</v>
          </cell>
        </row>
        <row r="823">
          <cell r="S823">
            <v>0</v>
          </cell>
          <cell r="T823">
            <v>0</v>
          </cell>
          <cell r="U823">
            <v>0</v>
          </cell>
          <cell r="V823">
            <v>0</v>
          </cell>
          <cell r="W823">
            <v>0</v>
          </cell>
          <cell r="X823">
            <v>0</v>
          </cell>
          <cell r="Y823">
            <v>0</v>
          </cell>
          <cell r="Z823">
            <v>0</v>
          </cell>
          <cell r="AA823">
            <v>0</v>
          </cell>
          <cell r="AC823">
            <v>0</v>
          </cell>
          <cell r="AD823">
            <v>0</v>
          </cell>
        </row>
        <row r="824">
          <cell r="B824">
            <v>15619</v>
          </cell>
          <cell r="C824" t="str">
            <v>PRODCUTION REPORTS AS FINISHED A/C (NET OFF 15620)</v>
          </cell>
          <cell r="D824">
            <v>5956532635.6499996</v>
          </cell>
          <cell r="E824">
            <v>-5955647862.6300001</v>
          </cell>
          <cell r="F824">
            <v>74509566866.919998</v>
          </cell>
          <cell r="G824">
            <v>-74509033438.820007</v>
          </cell>
          <cell r="H824">
            <v>0</v>
          </cell>
          <cell r="I824">
            <v>0</v>
          </cell>
          <cell r="J824">
            <v>0</v>
          </cell>
          <cell r="K824">
            <v>0</v>
          </cell>
          <cell r="L824">
            <v>0</v>
          </cell>
          <cell r="M824">
            <v>0</v>
          </cell>
          <cell r="N824">
            <v>22344</v>
          </cell>
          <cell r="O824">
            <v>-22344</v>
          </cell>
          <cell r="P824">
            <v>80466121846.570007</v>
          </cell>
          <cell r="Q824">
            <v>-80464703645.449997</v>
          </cell>
          <cell r="S824">
            <v>884773.01999950409</v>
          </cell>
          <cell r="T824">
            <v>533428.09999084473</v>
          </cell>
          <cell r="U824">
            <v>-2906482.38</v>
          </cell>
          <cell r="V824">
            <v>-2187997.63</v>
          </cell>
          <cell r="W824">
            <v>3791255.399999504</v>
          </cell>
          <cell r="X824">
            <v>2721425.7299908446</v>
          </cell>
          <cell r="Y824">
            <v>884773.01999950409</v>
          </cell>
          <cell r="Z824">
            <v>533428.09999084473</v>
          </cell>
          <cell r="AA824">
            <v>1418201.1199903488</v>
          </cell>
          <cell r="AC824">
            <v>15619</v>
          </cell>
          <cell r="AD824">
            <v>0</v>
          </cell>
        </row>
        <row r="825">
          <cell r="S825">
            <v>0</v>
          </cell>
          <cell r="T825">
            <v>0</v>
          </cell>
          <cell r="U825">
            <v>0</v>
          </cell>
          <cell r="V825">
            <v>0</v>
          </cell>
          <cell r="W825">
            <v>0</v>
          </cell>
          <cell r="X825">
            <v>0</v>
          </cell>
          <cell r="Y825">
            <v>0</v>
          </cell>
          <cell r="Z825">
            <v>0</v>
          </cell>
          <cell r="AA825">
            <v>0</v>
          </cell>
          <cell r="AC825">
            <v>0</v>
          </cell>
          <cell r="AD825">
            <v>0</v>
          </cell>
        </row>
        <row r="826">
          <cell r="B826">
            <v>15620</v>
          </cell>
          <cell r="C826" t="str">
            <v>PRODCUTION REPORTS AS FINISHED OFFSET A/C (NET OFF 15619</v>
          </cell>
          <cell r="D826">
            <v>5955647862.6300001</v>
          </cell>
          <cell r="E826">
            <v>-5956532635.6499996</v>
          </cell>
          <cell r="F826">
            <v>74509033438.820007</v>
          </cell>
          <cell r="G826">
            <v>-74509566866.919998</v>
          </cell>
          <cell r="H826">
            <v>0</v>
          </cell>
          <cell r="I826">
            <v>0</v>
          </cell>
          <cell r="J826">
            <v>0</v>
          </cell>
          <cell r="K826">
            <v>0</v>
          </cell>
          <cell r="L826">
            <v>0</v>
          </cell>
          <cell r="M826">
            <v>0</v>
          </cell>
          <cell r="N826">
            <v>22344</v>
          </cell>
          <cell r="O826">
            <v>-22344</v>
          </cell>
          <cell r="P826">
            <v>80464703645.449997</v>
          </cell>
          <cell r="Q826">
            <v>-80466121846.570007</v>
          </cell>
          <cell r="S826">
            <v>-884773.01999950409</v>
          </cell>
          <cell r="T826">
            <v>-533428.09999084473</v>
          </cell>
          <cell r="U826">
            <v>2906482.38</v>
          </cell>
          <cell r="V826">
            <v>2187997.63</v>
          </cell>
          <cell r="W826">
            <v>-3791255.399999504</v>
          </cell>
          <cell r="X826">
            <v>-2721425.7299908446</v>
          </cell>
          <cell r="Y826">
            <v>-884773.01999950409</v>
          </cell>
          <cell r="Z826">
            <v>-533428.09999084473</v>
          </cell>
          <cell r="AA826">
            <v>-1418201.1199903488</v>
          </cell>
          <cell r="AC826">
            <v>15620</v>
          </cell>
          <cell r="AD826">
            <v>0</v>
          </cell>
        </row>
        <row r="827">
          <cell r="S827">
            <v>0</v>
          </cell>
          <cell r="T827">
            <v>0</v>
          </cell>
          <cell r="U827">
            <v>0</v>
          </cell>
          <cell r="V827">
            <v>0</v>
          </cell>
          <cell r="W827">
            <v>0</v>
          </cell>
          <cell r="X827">
            <v>0</v>
          </cell>
          <cell r="Y827">
            <v>0</v>
          </cell>
          <cell r="Z827">
            <v>0</v>
          </cell>
          <cell r="AA827">
            <v>0</v>
          </cell>
          <cell r="AC827">
            <v>0</v>
          </cell>
          <cell r="AD827">
            <v>0</v>
          </cell>
        </row>
        <row r="828">
          <cell r="B828">
            <v>15622</v>
          </cell>
          <cell r="C828" t="str">
            <v>MULTIPLE ENTRY IN BANK PAYMENT ACCOUNT (SUSPENSE)</v>
          </cell>
          <cell r="D828">
            <v>290116788.08999997</v>
          </cell>
          <cell r="E828">
            <v>-272424635.18000001</v>
          </cell>
          <cell r="F828">
            <v>175012359.83000001</v>
          </cell>
          <cell r="G828">
            <v>-183440220.83000001</v>
          </cell>
          <cell r="H828">
            <v>400000</v>
          </cell>
          <cell r="I828">
            <v>-459281</v>
          </cell>
          <cell r="J828">
            <v>19830</v>
          </cell>
          <cell r="K828">
            <v>-19830</v>
          </cell>
          <cell r="L828">
            <v>9395490.4399999995</v>
          </cell>
          <cell r="M828">
            <v>-18600501.350000001</v>
          </cell>
          <cell r="N828">
            <v>0</v>
          </cell>
          <cell r="O828">
            <v>0</v>
          </cell>
          <cell r="P828">
            <v>465548977.92000002</v>
          </cell>
          <cell r="Q828">
            <v>-456343967.00999999</v>
          </cell>
          <cell r="S828">
            <v>8487141.9999999627</v>
          </cell>
          <cell r="T828">
            <v>-8487142</v>
          </cell>
          <cell r="U828">
            <v>3596062.5</v>
          </cell>
          <cell r="V828">
            <v>-3596062.5</v>
          </cell>
          <cell r="W828">
            <v>4891079.4999999627</v>
          </cell>
          <cell r="X828">
            <v>-4891079.5</v>
          </cell>
          <cell r="Y828">
            <v>8487141.9999999627</v>
          </cell>
          <cell r="Z828">
            <v>-8487142</v>
          </cell>
          <cell r="AA828">
            <v>-3.7252902984619141E-8</v>
          </cell>
          <cell r="AC828">
            <v>15622</v>
          </cell>
          <cell r="AD828">
            <v>0</v>
          </cell>
        </row>
        <row r="829">
          <cell r="S829">
            <v>0</v>
          </cell>
          <cell r="T829">
            <v>0</v>
          </cell>
          <cell r="U829">
            <v>0</v>
          </cell>
          <cell r="V829">
            <v>0</v>
          </cell>
          <cell r="W829">
            <v>0</v>
          </cell>
          <cell r="X829">
            <v>0</v>
          </cell>
          <cell r="Y829">
            <v>0</v>
          </cell>
          <cell r="Z829">
            <v>0</v>
          </cell>
          <cell r="AA829">
            <v>0</v>
          </cell>
          <cell r="AC829">
            <v>0</v>
          </cell>
          <cell r="AD829">
            <v>0</v>
          </cell>
        </row>
        <row r="830">
          <cell r="B830">
            <v>15623</v>
          </cell>
          <cell r="C830" t="str">
            <v>WIP Issue a/c - Work Center</v>
          </cell>
          <cell r="D830">
            <v>328370.23</v>
          </cell>
          <cell r="E830">
            <v>-9216</v>
          </cell>
          <cell r="F830">
            <v>0</v>
          </cell>
          <cell r="G830">
            <v>0</v>
          </cell>
          <cell r="H830">
            <v>0</v>
          </cell>
          <cell r="I830">
            <v>0</v>
          </cell>
          <cell r="J830">
            <v>0</v>
          </cell>
          <cell r="K830">
            <v>0</v>
          </cell>
          <cell r="L830">
            <v>0</v>
          </cell>
          <cell r="M830">
            <v>0</v>
          </cell>
          <cell r="N830">
            <v>0</v>
          </cell>
          <cell r="O830">
            <v>0</v>
          </cell>
          <cell r="P830">
            <v>328370.23</v>
          </cell>
          <cell r="Q830">
            <v>-9216</v>
          </cell>
          <cell r="S830">
            <v>319154.23</v>
          </cell>
          <cell r="T830">
            <v>0</v>
          </cell>
          <cell r="U830">
            <v>319154.23</v>
          </cell>
          <cell r="V830">
            <v>0</v>
          </cell>
          <cell r="W830">
            <v>0</v>
          </cell>
          <cell r="X830">
            <v>0</v>
          </cell>
          <cell r="Y830">
            <v>319154.23</v>
          </cell>
          <cell r="Z830">
            <v>0</v>
          </cell>
          <cell r="AA830">
            <v>319154.23</v>
          </cell>
          <cell r="AC830">
            <v>15623</v>
          </cell>
          <cell r="AD830">
            <v>0</v>
          </cell>
        </row>
        <row r="831">
          <cell r="S831">
            <v>0</v>
          </cell>
          <cell r="T831">
            <v>0</v>
          </cell>
          <cell r="U831">
            <v>0</v>
          </cell>
          <cell r="V831">
            <v>0</v>
          </cell>
          <cell r="W831">
            <v>0</v>
          </cell>
          <cell r="X831">
            <v>0</v>
          </cell>
          <cell r="Y831">
            <v>0</v>
          </cell>
          <cell r="Z831">
            <v>0</v>
          </cell>
          <cell r="AA831">
            <v>0</v>
          </cell>
          <cell r="AC831">
            <v>0</v>
          </cell>
          <cell r="AD831">
            <v>0</v>
          </cell>
        </row>
        <row r="832">
          <cell r="B832">
            <v>15624</v>
          </cell>
          <cell r="C832" t="str">
            <v>WIP a/c - Work Center (costing offset)</v>
          </cell>
          <cell r="D832">
            <v>9216</v>
          </cell>
          <cell r="E832">
            <v>-328370.23</v>
          </cell>
          <cell r="F832">
            <v>0</v>
          </cell>
          <cell r="G832">
            <v>0</v>
          </cell>
          <cell r="H832">
            <v>0</v>
          </cell>
          <cell r="I832">
            <v>0</v>
          </cell>
          <cell r="J832">
            <v>0</v>
          </cell>
          <cell r="K832">
            <v>0</v>
          </cell>
          <cell r="L832">
            <v>0</v>
          </cell>
          <cell r="M832">
            <v>0</v>
          </cell>
          <cell r="N832">
            <v>0</v>
          </cell>
          <cell r="O832">
            <v>0</v>
          </cell>
          <cell r="P832">
            <v>9216</v>
          </cell>
          <cell r="Q832">
            <v>-328370.23</v>
          </cell>
          <cell r="S832">
            <v>-319154.23</v>
          </cell>
          <cell r="T832">
            <v>0</v>
          </cell>
          <cell r="U832">
            <v>-319154.23</v>
          </cell>
          <cell r="V832">
            <v>0</v>
          </cell>
          <cell r="W832">
            <v>0</v>
          </cell>
          <cell r="X832">
            <v>0</v>
          </cell>
          <cell r="Y832">
            <v>-319154.23</v>
          </cell>
          <cell r="Z832">
            <v>0</v>
          </cell>
          <cell r="AA832">
            <v>-319154.23</v>
          </cell>
          <cell r="AC832">
            <v>15624</v>
          </cell>
          <cell r="AD832">
            <v>0</v>
          </cell>
        </row>
        <row r="833">
          <cell r="S833">
            <v>0</v>
          </cell>
          <cell r="T833">
            <v>0</v>
          </cell>
          <cell r="U833">
            <v>0</v>
          </cell>
          <cell r="V833">
            <v>0</v>
          </cell>
          <cell r="W833">
            <v>0</v>
          </cell>
          <cell r="X833">
            <v>0</v>
          </cell>
          <cell r="Y833">
            <v>0</v>
          </cell>
          <cell r="Z833">
            <v>0</v>
          </cell>
          <cell r="AA833">
            <v>0</v>
          </cell>
          <cell r="AC833">
            <v>0</v>
          </cell>
          <cell r="AD833">
            <v>0</v>
          </cell>
        </row>
        <row r="834">
          <cell r="B834">
            <v>15627</v>
          </cell>
          <cell r="C834" t="str">
            <v>OPENING BALANCE OFF SET A/C</v>
          </cell>
          <cell r="D834">
            <v>7091912944.2799997</v>
          </cell>
          <cell r="E834">
            <v>-7095120891.1599998</v>
          </cell>
          <cell r="F834">
            <v>4510876743.8699999</v>
          </cell>
          <cell r="G834">
            <v>-4505701113.8199997</v>
          </cell>
          <cell r="H834">
            <v>14493317.800000001</v>
          </cell>
          <cell r="I834">
            <v>-14493317.800000001</v>
          </cell>
          <cell r="J834">
            <v>19996312.300000001</v>
          </cell>
          <cell r="K834">
            <v>-19996312.300000001</v>
          </cell>
          <cell r="L834">
            <v>1709790059</v>
          </cell>
          <cell r="M834">
            <v>-1709790058.8</v>
          </cell>
          <cell r="N834">
            <v>88041383.260000005</v>
          </cell>
          <cell r="O834">
            <v>-88041383.260000005</v>
          </cell>
          <cell r="P834">
            <v>11725320701.51</v>
          </cell>
          <cell r="Q834">
            <v>-11723353018.34</v>
          </cell>
          <cell r="S834">
            <v>-3207946.6800000668</v>
          </cell>
          <cell r="T834">
            <v>5175630.0500001907</v>
          </cell>
          <cell r="U834">
            <v>0.2</v>
          </cell>
          <cell r="V834">
            <v>0</v>
          </cell>
          <cell r="W834">
            <v>-3207946.8800000669</v>
          </cell>
          <cell r="X834">
            <v>5175630.0500001907</v>
          </cell>
          <cell r="Y834">
            <v>-3207946.6800000668</v>
          </cell>
          <cell r="Z834">
            <v>5175630.0500001907</v>
          </cell>
          <cell r="AA834">
            <v>1967683.370000124</v>
          </cell>
          <cell r="AC834">
            <v>15627</v>
          </cell>
          <cell r="AD834">
            <v>0</v>
          </cell>
        </row>
        <row r="835">
          <cell r="S835">
            <v>0</v>
          </cell>
          <cell r="T835">
            <v>0</v>
          </cell>
          <cell r="U835">
            <v>0</v>
          </cell>
          <cell r="V835">
            <v>0</v>
          </cell>
          <cell r="W835">
            <v>0</v>
          </cell>
          <cell r="X835">
            <v>0</v>
          </cell>
          <cell r="Y835">
            <v>0</v>
          </cell>
          <cell r="Z835">
            <v>0</v>
          </cell>
          <cell r="AA835">
            <v>0</v>
          </cell>
          <cell r="AC835">
            <v>0</v>
          </cell>
          <cell r="AD835">
            <v>0</v>
          </cell>
        </row>
        <row r="836">
          <cell r="B836">
            <v>15631</v>
          </cell>
          <cell r="C836" t="str">
            <v>INVENTORY ISSUE A/C (INTERNAL) - RM</v>
          </cell>
          <cell r="D836">
            <v>3282168734.8299999</v>
          </cell>
          <cell r="E836">
            <v>-3311521714.0300002</v>
          </cell>
          <cell r="F836">
            <v>606875839.09000003</v>
          </cell>
          <cell r="G836">
            <v>-541883998.32000005</v>
          </cell>
          <cell r="H836">
            <v>5820113.5899999999</v>
          </cell>
          <cell r="I836">
            <v>-37329898.289999999</v>
          </cell>
          <cell r="J836">
            <v>366104.65</v>
          </cell>
          <cell r="K836">
            <v>-53151116.270000003</v>
          </cell>
          <cell r="L836">
            <v>0</v>
          </cell>
          <cell r="M836">
            <v>0</v>
          </cell>
          <cell r="N836">
            <v>90118928.75</v>
          </cell>
          <cell r="O836">
            <v>-148504833.88999999</v>
          </cell>
          <cell r="P836">
            <v>3985349720.9099998</v>
          </cell>
          <cell r="Q836">
            <v>-4092391560.8000002</v>
          </cell>
          <cell r="S836">
            <v>-87738884.340000272</v>
          </cell>
          <cell r="T836">
            <v>-19302955.550000019</v>
          </cell>
          <cell r="U836">
            <v>0</v>
          </cell>
          <cell r="V836">
            <v>0</v>
          </cell>
          <cell r="W836">
            <v>-87738884.340000272</v>
          </cell>
          <cell r="X836">
            <v>-19302955.550000019</v>
          </cell>
          <cell r="Y836">
            <v>-87738884.340000272</v>
          </cell>
          <cell r="Z836">
            <v>-19302955.550000019</v>
          </cell>
          <cell r="AA836">
            <v>-107041839.89000028</v>
          </cell>
          <cell r="AC836">
            <v>15631</v>
          </cell>
          <cell r="AD836">
            <v>0</v>
          </cell>
        </row>
        <row r="837">
          <cell r="S837">
            <v>0</v>
          </cell>
          <cell r="T837">
            <v>0</v>
          </cell>
          <cell r="U837">
            <v>0</v>
          </cell>
          <cell r="V837">
            <v>0</v>
          </cell>
          <cell r="W837">
            <v>0</v>
          </cell>
          <cell r="X837">
            <v>0</v>
          </cell>
          <cell r="Y837">
            <v>0</v>
          </cell>
          <cell r="Z837">
            <v>0</v>
          </cell>
          <cell r="AA837">
            <v>0</v>
          </cell>
          <cell r="AC837">
            <v>0</v>
          </cell>
          <cell r="AD837">
            <v>0</v>
          </cell>
        </row>
        <row r="838">
          <cell r="B838">
            <v>15632</v>
          </cell>
          <cell r="C838" t="str">
            <v>ISSUE A/C - RM</v>
          </cell>
          <cell r="D838">
            <v>2017.61</v>
          </cell>
          <cell r="E838">
            <v>-2017.61</v>
          </cell>
          <cell r="F838">
            <v>3717545.26</v>
          </cell>
          <cell r="G838">
            <v>-6421516.9699999997</v>
          </cell>
          <cell r="H838">
            <v>0</v>
          </cell>
          <cell r="I838">
            <v>0</v>
          </cell>
          <cell r="J838">
            <v>0</v>
          </cell>
          <cell r="K838">
            <v>0</v>
          </cell>
          <cell r="L838">
            <v>0</v>
          </cell>
          <cell r="M838">
            <v>0</v>
          </cell>
          <cell r="N838">
            <v>0</v>
          </cell>
          <cell r="O838">
            <v>0</v>
          </cell>
          <cell r="P838">
            <v>3719562.87</v>
          </cell>
          <cell r="Q838">
            <v>-6423534.5800000001</v>
          </cell>
          <cell r="S838">
            <v>0</v>
          </cell>
          <cell r="T838">
            <v>-2703971.71</v>
          </cell>
          <cell r="U838">
            <v>0</v>
          </cell>
          <cell r="V838">
            <v>0</v>
          </cell>
          <cell r="W838">
            <v>0</v>
          </cell>
          <cell r="X838">
            <v>-2703971.71</v>
          </cell>
          <cell r="Y838">
            <v>0</v>
          </cell>
          <cell r="Z838">
            <v>-2703971.71</v>
          </cell>
          <cell r="AA838">
            <v>-2703971.71</v>
          </cell>
          <cell r="AC838">
            <v>15632</v>
          </cell>
          <cell r="AD838">
            <v>0</v>
          </cell>
        </row>
        <row r="839">
          <cell r="S839">
            <v>0</v>
          </cell>
          <cell r="T839">
            <v>0</v>
          </cell>
          <cell r="U839">
            <v>0</v>
          </cell>
          <cell r="V839">
            <v>0</v>
          </cell>
          <cell r="W839">
            <v>0</v>
          </cell>
          <cell r="X839">
            <v>0</v>
          </cell>
          <cell r="Y839">
            <v>0</v>
          </cell>
          <cell r="Z839">
            <v>0</v>
          </cell>
          <cell r="AA839">
            <v>0</v>
          </cell>
          <cell r="AC839">
            <v>0</v>
          </cell>
          <cell r="AD839">
            <v>0</v>
          </cell>
        </row>
        <row r="840">
          <cell r="B840">
            <v>15633</v>
          </cell>
          <cell r="C840" t="str">
            <v>INVENTORY ISSUE A/C (INTERNAL) - RM (STEEL/HDPE)</v>
          </cell>
          <cell r="D840">
            <v>754690288.20000005</v>
          </cell>
          <cell r="E840">
            <v>-757396336.74000001</v>
          </cell>
          <cell r="F840">
            <v>1382131898.0899999</v>
          </cell>
          <cell r="G840">
            <v>-1384527125.2</v>
          </cell>
          <cell r="H840">
            <v>0</v>
          </cell>
          <cell r="I840">
            <v>0</v>
          </cell>
          <cell r="J840">
            <v>0</v>
          </cell>
          <cell r="K840">
            <v>0</v>
          </cell>
          <cell r="L840">
            <v>0</v>
          </cell>
          <cell r="M840">
            <v>0</v>
          </cell>
          <cell r="N840">
            <v>0</v>
          </cell>
          <cell r="O840">
            <v>0</v>
          </cell>
          <cell r="P840">
            <v>2136822186.29</v>
          </cell>
          <cell r="Q840">
            <v>-2141923461.9400001</v>
          </cell>
          <cell r="S840">
            <v>-2706048.5399999619</v>
          </cell>
          <cell r="T840">
            <v>-2395227.1100001335</v>
          </cell>
          <cell r="U840">
            <v>0</v>
          </cell>
          <cell r="V840">
            <v>0</v>
          </cell>
          <cell r="W840">
            <v>-2706048.5399999619</v>
          </cell>
          <cell r="X840">
            <v>-2395227.1100001335</v>
          </cell>
          <cell r="Y840">
            <v>-2706048.5399999619</v>
          </cell>
          <cell r="Z840">
            <v>-2395227.1100001335</v>
          </cell>
          <cell r="AA840">
            <v>-5101275.6500000954</v>
          </cell>
          <cell r="AC840">
            <v>15633</v>
          </cell>
          <cell r="AD840">
            <v>0</v>
          </cell>
        </row>
        <row r="841">
          <cell r="S841">
            <v>0</v>
          </cell>
          <cell r="T841">
            <v>0</v>
          </cell>
          <cell r="U841">
            <v>0</v>
          </cell>
          <cell r="V841">
            <v>0</v>
          </cell>
          <cell r="W841">
            <v>0</v>
          </cell>
          <cell r="X841">
            <v>0</v>
          </cell>
          <cell r="Y841">
            <v>0</v>
          </cell>
          <cell r="Z841">
            <v>0</v>
          </cell>
          <cell r="AA841">
            <v>0</v>
          </cell>
          <cell r="AC841">
            <v>0</v>
          </cell>
          <cell r="AD841">
            <v>0</v>
          </cell>
        </row>
        <row r="842">
          <cell r="B842">
            <v>15634</v>
          </cell>
          <cell r="C842" t="str">
            <v>ISSUE A/C - RM (STEEL / HDPE) - BS</v>
          </cell>
          <cell r="D842">
            <v>427403264.75</v>
          </cell>
          <cell r="E842">
            <v>-741364321.00999999</v>
          </cell>
          <cell r="F842">
            <v>856900426.39999998</v>
          </cell>
          <cell r="G842">
            <v>-1650586351.8499999</v>
          </cell>
          <cell r="H842">
            <v>0</v>
          </cell>
          <cell r="I842">
            <v>0</v>
          </cell>
          <cell r="J842">
            <v>0</v>
          </cell>
          <cell r="K842">
            <v>0</v>
          </cell>
          <cell r="L842">
            <v>0</v>
          </cell>
          <cell r="M842">
            <v>0</v>
          </cell>
          <cell r="N842">
            <v>0</v>
          </cell>
          <cell r="O842">
            <v>0</v>
          </cell>
          <cell r="P842">
            <v>1284303691.1500001</v>
          </cell>
          <cell r="Q842">
            <v>-2391950672.8600001</v>
          </cell>
          <cell r="S842">
            <v>-313961056.25999999</v>
          </cell>
          <cell r="T842">
            <v>-793685925.44999993</v>
          </cell>
          <cell r="U842">
            <v>0</v>
          </cell>
          <cell r="V842">
            <v>0</v>
          </cell>
          <cell r="W842">
            <v>-313961056.25999999</v>
          </cell>
          <cell r="X842">
            <v>-793685925.44999993</v>
          </cell>
          <cell r="Y842">
            <v>-313961056.25999999</v>
          </cell>
          <cell r="Z842">
            <v>-793685925.44999993</v>
          </cell>
          <cell r="AA842">
            <v>-1107646981.71</v>
          </cell>
          <cell r="AC842">
            <v>15634</v>
          </cell>
          <cell r="AD842">
            <v>0</v>
          </cell>
        </row>
        <row r="843">
          <cell r="S843">
            <v>0</v>
          </cell>
          <cell r="T843">
            <v>0</v>
          </cell>
          <cell r="U843">
            <v>0</v>
          </cell>
          <cell r="V843">
            <v>0</v>
          </cell>
          <cell r="W843">
            <v>0</v>
          </cell>
          <cell r="X843">
            <v>0</v>
          </cell>
          <cell r="Y843">
            <v>0</v>
          </cell>
          <cell r="Z843">
            <v>0</v>
          </cell>
          <cell r="AA843">
            <v>0</v>
          </cell>
          <cell r="AC843">
            <v>0</v>
          </cell>
          <cell r="AD843">
            <v>0</v>
          </cell>
        </row>
        <row r="844">
          <cell r="B844">
            <v>15635</v>
          </cell>
          <cell r="C844" t="str">
            <v>INVENTORY ISSUE A/C (INTERNAL) - RM (GASKET TUBE/ M B)</v>
          </cell>
          <cell r="D844">
            <v>75403.5</v>
          </cell>
          <cell r="E844">
            <v>-75403.5</v>
          </cell>
          <cell r="F844">
            <v>14545263.289999999</v>
          </cell>
          <cell r="G844">
            <v>-14564976.09</v>
          </cell>
          <cell r="H844">
            <v>0</v>
          </cell>
          <cell r="I844">
            <v>0</v>
          </cell>
          <cell r="J844">
            <v>0</v>
          </cell>
          <cell r="K844">
            <v>0</v>
          </cell>
          <cell r="L844">
            <v>0</v>
          </cell>
          <cell r="M844">
            <v>0</v>
          </cell>
          <cell r="N844">
            <v>0</v>
          </cell>
          <cell r="O844">
            <v>0</v>
          </cell>
          <cell r="P844">
            <v>14620666.789999999</v>
          </cell>
          <cell r="Q844">
            <v>-14640379.59</v>
          </cell>
          <cell r="S844">
            <v>0</v>
          </cell>
          <cell r="T844">
            <v>-19712.800000000745</v>
          </cell>
          <cell r="U844">
            <v>0</v>
          </cell>
          <cell r="V844">
            <v>0</v>
          </cell>
          <cell r="W844">
            <v>0</v>
          </cell>
          <cell r="X844">
            <v>-19712.800000000745</v>
          </cell>
          <cell r="Y844">
            <v>0</v>
          </cell>
          <cell r="Z844">
            <v>-19712.800000000745</v>
          </cell>
          <cell r="AA844">
            <v>-19712.800000000745</v>
          </cell>
          <cell r="AC844">
            <v>15635</v>
          </cell>
          <cell r="AD844">
            <v>0</v>
          </cell>
        </row>
        <row r="845">
          <cell r="S845">
            <v>0</v>
          </cell>
          <cell r="T845">
            <v>0</v>
          </cell>
          <cell r="U845">
            <v>0</v>
          </cell>
          <cell r="V845">
            <v>0</v>
          </cell>
          <cell r="W845">
            <v>0</v>
          </cell>
          <cell r="X845">
            <v>0</v>
          </cell>
          <cell r="Y845">
            <v>0</v>
          </cell>
          <cell r="Z845">
            <v>0</v>
          </cell>
          <cell r="AA845">
            <v>0</v>
          </cell>
          <cell r="AC845">
            <v>0</v>
          </cell>
          <cell r="AD845">
            <v>0</v>
          </cell>
        </row>
        <row r="846">
          <cell r="B846">
            <v>15636</v>
          </cell>
          <cell r="C846" t="str">
            <v>ISSUE A/C - RM (GASKET TUBE / MASTER BATCH) - BS</v>
          </cell>
          <cell r="D846">
            <v>75883.77</v>
          </cell>
          <cell r="E846">
            <v>-76090.36</v>
          </cell>
          <cell r="F846">
            <v>7982833.6399999997</v>
          </cell>
          <cell r="G846">
            <v>-14573038.279999999</v>
          </cell>
          <cell r="H846">
            <v>0</v>
          </cell>
          <cell r="I846">
            <v>0</v>
          </cell>
          <cell r="J846">
            <v>0</v>
          </cell>
          <cell r="K846">
            <v>0</v>
          </cell>
          <cell r="L846">
            <v>0</v>
          </cell>
          <cell r="M846">
            <v>0</v>
          </cell>
          <cell r="N846">
            <v>19.87</v>
          </cell>
          <cell r="O846">
            <v>-39.15</v>
          </cell>
          <cell r="P846">
            <v>8058737.2800000003</v>
          </cell>
          <cell r="Q846">
            <v>-14649167.789999999</v>
          </cell>
          <cell r="S846">
            <v>-225.86999999999651</v>
          </cell>
          <cell r="T846">
            <v>-6590204.6399999997</v>
          </cell>
          <cell r="U846">
            <v>0</v>
          </cell>
          <cell r="V846">
            <v>0</v>
          </cell>
          <cell r="W846">
            <v>-225.86999999999651</v>
          </cell>
          <cell r="X846">
            <v>-6590204.6399999997</v>
          </cell>
          <cell r="Y846">
            <v>-225.86999999999651</v>
          </cell>
          <cell r="Z846">
            <v>-6590204.6399999997</v>
          </cell>
          <cell r="AA846">
            <v>-6590430.5099999998</v>
          </cell>
          <cell r="AC846">
            <v>15636</v>
          </cell>
          <cell r="AD846">
            <v>0</v>
          </cell>
        </row>
        <row r="847">
          <cell r="S847">
            <v>0</v>
          </cell>
          <cell r="T847">
            <v>0</v>
          </cell>
          <cell r="U847">
            <v>0</v>
          </cell>
          <cell r="V847">
            <v>0</v>
          </cell>
          <cell r="W847">
            <v>0</v>
          </cell>
          <cell r="X847">
            <v>0</v>
          </cell>
          <cell r="Y847">
            <v>0</v>
          </cell>
          <cell r="Z847">
            <v>0</v>
          </cell>
          <cell r="AA847">
            <v>0</v>
          </cell>
          <cell r="AC847">
            <v>0</v>
          </cell>
          <cell r="AD847">
            <v>0</v>
          </cell>
        </row>
        <row r="848">
          <cell r="B848">
            <v>15637</v>
          </cell>
          <cell r="C848" t="str">
            <v>INVENTORY ISSUE A/C (INTERNAL) - RM (TINPLATE / CO-PP)</v>
          </cell>
          <cell r="D848">
            <v>37986167.030000001</v>
          </cell>
          <cell r="E848">
            <v>-37893377.350000001</v>
          </cell>
          <cell r="F848">
            <v>1029192658.63</v>
          </cell>
          <cell r="G848">
            <v>-1029568443.96</v>
          </cell>
          <cell r="H848">
            <v>0</v>
          </cell>
          <cell r="I848">
            <v>0</v>
          </cell>
          <cell r="J848">
            <v>0</v>
          </cell>
          <cell r="K848">
            <v>0</v>
          </cell>
          <cell r="L848">
            <v>0</v>
          </cell>
          <cell r="M848">
            <v>0</v>
          </cell>
          <cell r="N848">
            <v>0</v>
          </cell>
          <cell r="O848">
            <v>0</v>
          </cell>
          <cell r="P848">
            <v>1067178825.66</v>
          </cell>
          <cell r="Q848">
            <v>-1067461821.3099999</v>
          </cell>
          <cell r="S848">
            <v>92789.679999999702</v>
          </cell>
          <cell r="T848">
            <v>-375785.33000004292</v>
          </cell>
          <cell r="U848">
            <v>0</v>
          </cell>
          <cell r="V848">
            <v>0</v>
          </cell>
          <cell r="W848">
            <v>92789.679999999702</v>
          </cell>
          <cell r="X848">
            <v>-375785.33000004292</v>
          </cell>
          <cell r="Y848">
            <v>92789.679999999702</v>
          </cell>
          <cell r="Z848">
            <v>-375785.33000004292</v>
          </cell>
          <cell r="AA848">
            <v>-282995.65000004321</v>
          </cell>
          <cell r="AC848">
            <v>15637</v>
          </cell>
          <cell r="AD848">
            <v>0</v>
          </cell>
        </row>
        <row r="849">
          <cell r="S849">
            <v>0</v>
          </cell>
          <cell r="T849">
            <v>0</v>
          </cell>
          <cell r="U849">
            <v>0</v>
          </cell>
          <cell r="V849">
            <v>0</v>
          </cell>
          <cell r="W849">
            <v>0</v>
          </cell>
          <cell r="X849">
            <v>0</v>
          </cell>
          <cell r="Y849">
            <v>0</v>
          </cell>
          <cell r="Z849">
            <v>0</v>
          </cell>
          <cell r="AA849">
            <v>0</v>
          </cell>
          <cell r="AC849">
            <v>0</v>
          </cell>
          <cell r="AD849">
            <v>0</v>
          </cell>
        </row>
        <row r="850">
          <cell r="B850">
            <v>15638</v>
          </cell>
          <cell r="C850" t="str">
            <v>ISSUE A/C - RM (TIN PLATE / CO-PP) - BS</v>
          </cell>
          <cell r="D850">
            <v>23615219.530000001</v>
          </cell>
          <cell r="E850">
            <v>-37726353.560000002</v>
          </cell>
          <cell r="F850">
            <v>1732538340.78</v>
          </cell>
          <cell r="G850">
            <v>-1757471515.52</v>
          </cell>
          <cell r="H850">
            <v>0</v>
          </cell>
          <cell r="I850">
            <v>0</v>
          </cell>
          <cell r="J850">
            <v>0</v>
          </cell>
          <cell r="K850">
            <v>0</v>
          </cell>
          <cell r="L850">
            <v>0</v>
          </cell>
          <cell r="M850">
            <v>0</v>
          </cell>
          <cell r="N850">
            <v>44230.28</v>
          </cell>
          <cell r="O850">
            <v>-74428.320000000007</v>
          </cell>
          <cell r="P850">
            <v>1756197790.5899999</v>
          </cell>
          <cell r="Q850">
            <v>-1795272297.4000001</v>
          </cell>
          <cell r="S850">
            <v>-14141332.070000002</v>
          </cell>
          <cell r="T850">
            <v>-24933174.74000001</v>
          </cell>
          <cell r="U850">
            <v>0</v>
          </cell>
          <cell r="V850">
            <v>0</v>
          </cell>
          <cell r="W850">
            <v>-14141332.070000002</v>
          </cell>
          <cell r="X850">
            <v>-24933174.74000001</v>
          </cell>
          <cell r="Y850">
            <v>-14141332.070000002</v>
          </cell>
          <cell r="Z850">
            <v>-24933174.74000001</v>
          </cell>
          <cell r="AA850">
            <v>-39074506.81000001</v>
          </cell>
          <cell r="AC850">
            <v>15638</v>
          </cell>
          <cell r="AD850">
            <v>0</v>
          </cell>
        </row>
        <row r="851">
          <cell r="S851">
            <v>0</v>
          </cell>
          <cell r="T851">
            <v>0</v>
          </cell>
          <cell r="U851">
            <v>0</v>
          </cell>
          <cell r="V851">
            <v>0</v>
          </cell>
          <cell r="W851">
            <v>0</v>
          </cell>
          <cell r="X851">
            <v>0</v>
          </cell>
          <cell r="Y851">
            <v>0</v>
          </cell>
          <cell r="Z851">
            <v>0</v>
          </cell>
          <cell r="AA851">
            <v>0</v>
          </cell>
          <cell r="AC851">
            <v>0</v>
          </cell>
          <cell r="AD851">
            <v>0</v>
          </cell>
        </row>
        <row r="852">
          <cell r="B852">
            <v>15639</v>
          </cell>
          <cell r="C852" t="str">
            <v>INVENTORY ISSUE A/C (INTERNAL) - RM (INKS)</v>
          </cell>
          <cell r="D852">
            <v>2387439.2000000002</v>
          </cell>
          <cell r="E852">
            <v>-2387438.38</v>
          </cell>
          <cell r="F852">
            <v>3897736.01</v>
          </cell>
          <cell r="G852">
            <v>-3904942.63</v>
          </cell>
          <cell r="H852">
            <v>0</v>
          </cell>
          <cell r="I852">
            <v>0</v>
          </cell>
          <cell r="J852">
            <v>0</v>
          </cell>
          <cell r="K852">
            <v>0</v>
          </cell>
          <cell r="L852">
            <v>0</v>
          </cell>
          <cell r="M852">
            <v>0</v>
          </cell>
          <cell r="N852">
            <v>0</v>
          </cell>
          <cell r="O852">
            <v>0</v>
          </cell>
          <cell r="P852">
            <v>6285175.21</v>
          </cell>
          <cell r="Q852">
            <v>-6292381.0099999998</v>
          </cell>
          <cell r="S852">
            <v>0.82000000029802322</v>
          </cell>
          <cell r="T852">
            <v>-7206.6200000001118</v>
          </cell>
          <cell r="U852">
            <v>0</v>
          </cell>
          <cell r="V852">
            <v>0</v>
          </cell>
          <cell r="W852">
            <v>0.82000000029802322</v>
          </cell>
          <cell r="X852">
            <v>-7206.6200000001118</v>
          </cell>
          <cell r="Y852">
            <v>0.82000000029802322</v>
          </cell>
          <cell r="Z852">
            <v>-7206.6200000001118</v>
          </cell>
          <cell r="AA852">
            <v>-7205.7999999998137</v>
          </cell>
          <cell r="AC852">
            <v>15639</v>
          </cell>
          <cell r="AD852">
            <v>0</v>
          </cell>
        </row>
        <row r="853">
          <cell r="S853">
            <v>0</v>
          </cell>
          <cell r="T853">
            <v>0</v>
          </cell>
          <cell r="U853">
            <v>0</v>
          </cell>
          <cell r="V853">
            <v>0</v>
          </cell>
          <cell r="W853">
            <v>0</v>
          </cell>
          <cell r="X853">
            <v>0</v>
          </cell>
          <cell r="Y853">
            <v>0</v>
          </cell>
          <cell r="Z853">
            <v>0</v>
          </cell>
          <cell r="AA853">
            <v>0</v>
          </cell>
          <cell r="AC853">
            <v>0</v>
          </cell>
          <cell r="AD853">
            <v>0</v>
          </cell>
        </row>
        <row r="854">
          <cell r="B854">
            <v>15640</v>
          </cell>
          <cell r="C854" t="str">
            <v>ISSE A/C - RM (INKS) - BS</v>
          </cell>
          <cell r="D854">
            <v>1546317.89</v>
          </cell>
          <cell r="E854">
            <v>-2394695.2400000002</v>
          </cell>
          <cell r="F854">
            <v>2006307.43</v>
          </cell>
          <cell r="G854">
            <v>-3940830.91</v>
          </cell>
          <cell r="H854">
            <v>1885.16</v>
          </cell>
          <cell r="I854">
            <v>-2161.1999999999998</v>
          </cell>
          <cell r="J854">
            <v>0</v>
          </cell>
          <cell r="K854">
            <v>0</v>
          </cell>
          <cell r="L854">
            <v>0</v>
          </cell>
          <cell r="M854">
            <v>0</v>
          </cell>
          <cell r="N854">
            <v>0</v>
          </cell>
          <cell r="O854">
            <v>0</v>
          </cell>
          <cell r="P854">
            <v>3554510.48</v>
          </cell>
          <cell r="Q854">
            <v>-6337687.3499999996</v>
          </cell>
          <cell r="S854">
            <v>-848377.35000000033</v>
          </cell>
          <cell r="T854">
            <v>-1934799.5200000003</v>
          </cell>
          <cell r="U854">
            <v>0</v>
          </cell>
          <cell r="V854">
            <v>0</v>
          </cell>
          <cell r="W854">
            <v>-848377.35000000033</v>
          </cell>
          <cell r="X854">
            <v>-1934799.5200000003</v>
          </cell>
          <cell r="Y854">
            <v>-848377.35000000033</v>
          </cell>
          <cell r="Z854">
            <v>-1934799.5200000003</v>
          </cell>
          <cell r="AA854">
            <v>-2783176.8700000006</v>
          </cell>
          <cell r="AC854">
            <v>15640</v>
          </cell>
          <cell r="AD854">
            <v>0</v>
          </cell>
        </row>
        <row r="855">
          <cell r="S855">
            <v>0</v>
          </cell>
          <cell r="T855">
            <v>0</v>
          </cell>
          <cell r="U855">
            <v>0</v>
          </cell>
          <cell r="V855">
            <v>0</v>
          </cell>
          <cell r="W855">
            <v>0</v>
          </cell>
          <cell r="X855">
            <v>0</v>
          </cell>
          <cell r="Y855">
            <v>0</v>
          </cell>
          <cell r="Z855">
            <v>0</v>
          </cell>
          <cell r="AA855">
            <v>0</v>
          </cell>
          <cell r="AC855">
            <v>0</v>
          </cell>
          <cell r="AD855">
            <v>0</v>
          </cell>
        </row>
        <row r="856">
          <cell r="B856">
            <v>15641</v>
          </cell>
          <cell r="C856" t="str">
            <v>INVENTORY ISSUE A/C (INTERNAL) - RM (CHEMICALS/ACCESSORIES)</v>
          </cell>
          <cell r="D856">
            <v>17407085.059999999</v>
          </cell>
          <cell r="E856">
            <v>-17407085.059999999</v>
          </cell>
          <cell r="F856">
            <v>131387714.37</v>
          </cell>
          <cell r="G856">
            <v>-131440198.89</v>
          </cell>
          <cell r="H856">
            <v>0</v>
          </cell>
          <cell r="I856">
            <v>0</v>
          </cell>
          <cell r="J856">
            <v>0</v>
          </cell>
          <cell r="K856">
            <v>0</v>
          </cell>
          <cell r="L856">
            <v>0</v>
          </cell>
          <cell r="M856">
            <v>0</v>
          </cell>
          <cell r="N856">
            <v>0</v>
          </cell>
          <cell r="O856">
            <v>0</v>
          </cell>
          <cell r="P856">
            <v>148794799.43000001</v>
          </cell>
          <cell r="Q856">
            <v>-148847283.94999999</v>
          </cell>
          <cell r="S856">
            <v>0</v>
          </cell>
          <cell r="T856">
            <v>-52484.519999995828</v>
          </cell>
          <cell r="U856">
            <v>0</v>
          </cell>
          <cell r="V856">
            <v>0</v>
          </cell>
          <cell r="W856">
            <v>0</v>
          </cell>
          <cell r="X856">
            <v>-52484.519999995828</v>
          </cell>
          <cell r="Y856">
            <v>0</v>
          </cell>
          <cell r="Z856">
            <v>-52484.519999995828</v>
          </cell>
          <cell r="AA856">
            <v>-52484.519999995828</v>
          </cell>
          <cell r="AC856">
            <v>15641</v>
          </cell>
          <cell r="AD856">
            <v>0</v>
          </cell>
        </row>
        <row r="857">
          <cell r="S857">
            <v>0</v>
          </cell>
          <cell r="T857">
            <v>0</v>
          </cell>
          <cell r="U857">
            <v>0</v>
          </cell>
          <cell r="V857">
            <v>0</v>
          </cell>
          <cell r="W857">
            <v>0</v>
          </cell>
          <cell r="X857">
            <v>0</v>
          </cell>
          <cell r="Y857">
            <v>0</v>
          </cell>
          <cell r="Z857">
            <v>0</v>
          </cell>
          <cell r="AA857">
            <v>0</v>
          </cell>
          <cell r="AC857">
            <v>0</v>
          </cell>
          <cell r="AD857">
            <v>0</v>
          </cell>
        </row>
        <row r="858">
          <cell r="B858">
            <v>15642</v>
          </cell>
          <cell r="C858" t="str">
            <v>ISSUE A/C - RM (CHEMICALS / ACCESSORIES) - BS</v>
          </cell>
          <cell r="D858">
            <v>8987217.4299999997</v>
          </cell>
          <cell r="E858">
            <v>-17350444.850000001</v>
          </cell>
          <cell r="F858">
            <v>126715792.34999999</v>
          </cell>
          <cell r="G858">
            <v>-141232915.62</v>
          </cell>
          <cell r="H858">
            <v>108220.71</v>
          </cell>
          <cell r="I858">
            <v>-110052.26</v>
          </cell>
          <cell r="J858">
            <v>0</v>
          </cell>
          <cell r="K858">
            <v>0</v>
          </cell>
          <cell r="L858">
            <v>0</v>
          </cell>
          <cell r="M858">
            <v>0</v>
          </cell>
          <cell r="N858">
            <v>0</v>
          </cell>
          <cell r="O858">
            <v>0</v>
          </cell>
          <cell r="P858">
            <v>135811230.49000001</v>
          </cell>
          <cell r="Q858">
            <v>-158693412.72999999</v>
          </cell>
          <cell r="S858">
            <v>-8363227.4200000018</v>
          </cell>
          <cell r="T858">
            <v>-14518954.82000001</v>
          </cell>
          <cell r="U858">
            <v>0</v>
          </cell>
          <cell r="V858">
            <v>0</v>
          </cell>
          <cell r="W858">
            <v>-8363227.4200000018</v>
          </cell>
          <cell r="X858">
            <v>-14518954.82000001</v>
          </cell>
          <cell r="Y858">
            <v>-8363227.4200000018</v>
          </cell>
          <cell r="Z858">
            <v>-14518954.82000001</v>
          </cell>
          <cell r="AA858">
            <v>-22882182.24000001</v>
          </cell>
          <cell r="AC858">
            <v>15642</v>
          </cell>
          <cell r="AD858">
            <v>0</v>
          </cell>
        </row>
        <row r="859">
          <cell r="S859">
            <v>0</v>
          </cell>
          <cell r="T859">
            <v>0</v>
          </cell>
          <cell r="U859">
            <v>0</v>
          </cell>
          <cell r="V859">
            <v>0</v>
          </cell>
          <cell r="W859">
            <v>0</v>
          </cell>
          <cell r="X859">
            <v>0</v>
          </cell>
          <cell r="Y859">
            <v>0</v>
          </cell>
          <cell r="Z859">
            <v>0</v>
          </cell>
          <cell r="AA859">
            <v>0</v>
          </cell>
          <cell r="AC859">
            <v>0</v>
          </cell>
          <cell r="AD859">
            <v>0</v>
          </cell>
        </row>
        <row r="860">
          <cell r="B860">
            <v>15643</v>
          </cell>
          <cell r="C860" t="str">
            <v>INVENTORY ISSUE A/C (INTERNAL) - RM (OTHERS)</v>
          </cell>
          <cell r="D860">
            <v>2410544.08</v>
          </cell>
          <cell r="E860">
            <v>-2410544.08</v>
          </cell>
          <cell r="F860">
            <v>0</v>
          </cell>
          <cell r="G860">
            <v>0</v>
          </cell>
          <cell r="H860">
            <v>0</v>
          </cell>
          <cell r="I860">
            <v>0</v>
          </cell>
          <cell r="J860">
            <v>0</v>
          </cell>
          <cell r="K860">
            <v>0</v>
          </cell>
          <cell r="L860">
            <v>0</v>
          </cell>
          <cell r="M860">
            <v>0</v>
          </cell>
          <cell r="N860">
            <v>0</v>
          </cell>
          <cell r="O860">
            <v>0</v>
          </cell>
          <cell r="P860">
            <v>2410544.08</v>
          </cell>
          <cell r="Q860">
            <v>-2410544.08</v>
          </cell>
          <cell r="S860">
            <v>0</v>
          </cell>
          <cell r="T860">
            <v>0</v>
          </cell>
          <cell r="U860">
            <v>0</v>
          </cell>
          <cell r="V860">
            <v>0</v>
          </cell>
          <cell r="W860">
            <v>0</v>
          </cell>
          <cell r="X860">
            <v>0</v>
          </cell>
          <cell r="Y860">
            <v>0</v>
          </cell>
          <cell r="Z860">
            <v>0</v>
          </cell>
          <cell r="AA860">
            <v>0</v>
          </cell>
          <cell r="AC860">
            <v>15643</v>
          </cell>
          <cell r="AD860">
            <v>0</v>
          </cell>
        </row>
        <row r="861">
          <cell r="S861">
            <v>0</v>
          </cell>
          <cell r="T861">
            <v>0</v>
          </cell>
          <cell r="U861">
            <v>0</v>
          </cell>
          <cell r="V861">
            <v>0</v>
          </cell>
          <cell r="W861">
            <v>0</v>
          </cell>
          <cell r="X861">
            <v>0</v>
          </cell>
          <cell r="Y861">
            <v>0</v>
          </cell>
          <cell r="Z861">
            <v>0</v>
          </cell>
          <cell r="AA861">
            <v>0</v>
          </cell>
          <cell r="AC861">
            <v>0</v>
          </cell>
          <cell r="AD861">
            <v>0</v>
          </cell>
        </row>
        <row r="862">
          <cell r="B862">
            <v>15644</v>
          </cell>
          <cell r="C862" t="str">
            <v>ISSUE A/C - RM (OTHERS) - BS</v>
          </cell>
          <cell r="D862">
            <v>1043345.69</v>
          </cell>
          <cell r="E862">
            <v>-2241609.75</v>
          </cell>
          <cell r="F862">
            <v>0</v>
          </cell>
          <cell r="G862">
            <v>0</v>
          </cell>
          <cell r="H862">
            <v>0</v>
          </cell>
          <cell r="I862">
            <v>0</v>
          </cell>
          <cell r="J862">
            <v>0</v>
          </cell>
          <cell r="K862">
            <v>0</v>
          </cell>
          <cell r="L862">
            <v>0</v>
          </cell>
          <cell r="M862">
            <v>0</v>
          </cell>
          <cell r="N862">
            <v>0</v>
          </cell>
          <cell r="O862">
            <v>0</v>
          </cell>
          <cell r="P862">
            <v>1043345.69</v>
          </cell>
          <cell r="Q862">
            <v>-2241609.75</v>
          </cell>
          <cell r="S862">
            <v>-1198264.06</v>
          </cell>
          <cell r="T862">
            <v>0</v>
          </cell>
          <cell r="U862">
            <v>0</v>
          </cell>
          <cell r="V862">
            <v>0</v>
          </cell>
          <cell r="W862">
            <v>-1198264.06</v>
          </cell>
          <cell r="X862">
            <v>0</v>
          </cell>
          <cell r="Y862">
            <v>-1198264.06</v>
          </cell>
          <cell r="Z862">
            <v>0</v>
          </cell>
          <cell r="AA862">
            <v>-1198264.06</v>
          </cell>
          <cell r="AC862">
            <v>15644</v>
          </cell>
          <cell r="AD862">
            <v>0</v>
          </cell>
        </row>
        <row r="863">
          <cell r="S863">
            <v>0</v>
          </cell>
          <cell r="T863">
            <v>0</v>
          </cell>
          <cell r="U863">
            <v>0</v>
          </cell>
          <cell r="V863">
            <v>0</v>
          </cell>
          <cell r="W863">
            <v>0</v>
          </cell>
          <cell r="X863">
            <v>0</v>
          </cell>
          <cell r="Y863">
            <v>0</v>
          </cell>
          <cell r="Z863">
            <v>0</v>
          </cell>
          <cell r="AA863">
            <v>0</v>
          </cell>
          <cell r="AC863">
            <v>0</v>
          </cell>
          <cell r="AD863">
            <v>0</v>
          </cell>
        </row>
        <row r="864">
          <cell r="B864">
            <v>15645</v>
          </cell>
          <cell r="C864" t="str">
            <v>INVENTORY ISSUE A/C (INTERNAL) - RM (PURCHASE+PROCESS)</v>
          </cell>
          <cell r="D864">
            <v>107795013.36</v>
          </cell>
          <cell r="E864">
            <v>-107795019.09</v>
          </cell>
          <cell r="F864">
            <v>0</v>
          </cell>
          <cell r="G864">
            <v>0</v>
          </cell>
          <cell r="H864">
            <v>0</v>
          </cell>
          <cell r="I864">
            <v>0</v>
          </cell>
          <cell r="J864">
            <v>0</v>
          </cell>
          <cell r="K864">
            <v>0</v>
          </cell>
          <cell r="L864">
            <v>0</v>
          </cell>
          <cell r="M864">
            <v>0</v>
          </cell>
          <cell r="N864">
            <v>0</v>
          </cell>
          <cell r="O864">
            <v>0</v>
          </cell>
          <cell r="P864">
            <v>107795013.36</v>
          </cell>
          <cell r="Q864">
            <v>-107795019.09</v>
          </cell>
          <cell r="S864">
            <v>-5.7300000041723251</v>
          </cell>
          <cell r="T864">
            <v>0</v>
          </cell>
          <cell r="U864">
            <v>0</v>
          </cell>
          <cell r="V864">
            <v>0</v>
          </cell>
          <cell r="W864">
            <v>-5.7300000041723251</v>
          </cell>
          <cell r="X864">
            <v>0</v>
          </cell>
          <cell r="Y864">
            <v>-5.7300000041723251</v>
          </cell>
          <cell r="Z864">
            <v>0</v>
          </cell>
          <cell r="AA864">
            <v>-5.7300000041723251</v>
          </cell>
          <cell r="AC864">
            <v>15645</v>
          </cell>
          <cell r="AD864">
            <v>0</v>
          </cell>
        </row>
        <row r="865">
          <cell r="S865">
            <v>0</v>
          </cell>
          <cell r="T865">
            <v>0</v>
          </cell>
          <cell r="U865">
            <v>0</v>
          </cell>
          <cell r="V865">
            <v>0</v>
          </cell>
          <cell r="W865">
            <v>0</v>
          </cell>
          <cell r="X865">
            <v>0</v>
          </cell>
          <cell r="Y865">
            <v>0</v>
          </cell>
          <cell r="Z865">
            <v>0</v>
          </cell>
          <cell r="AA865">
            <v>0</v>
          </cell>
          <cell r="AC865">
            <v>0</v>
          </cell>
          <cell r="AD865">
            <v>0</v>
          </cell>
        </row>
        <row r="866">
          <cell r="B866">
            <v>15646</v>
          </cell>
          <cell r="C866" t="str">
            <v>ISSUE A/C - RM (PUCHASE+PROCESS) - BS</v>
          </cell>
          <cell r="D866">
            <v>52830135.469999999</v>
          </cell>
          <cell r="E866">
            <v>-104657204.14</v>
          </cell>
          <cell r="F866">
            <v>0</v>
          </cell>
          <cell r="G866">
            <v>0</v>
          </cell>
          <cell r="H866">
            <v>0</v>
          </cell>
          <cell r="I866">
            <v>0</v>
          </cell>
          <cell r="J866">
            <v>0</v>
          </cell>
          <cell r="K866">
            <v>0</v>
          </cell>
          <cell r="L866">
            <v>0</v>
          </cell>
          <cell r="M866">
            <v>0</v>
          </cell>
          <cell r="N866">
            <v>0</v>
          </cell>
          <cell r="O866">
            <v>0</v>
          </cell>
          <cell r="P866">
            <v>52830135.469999999</v>
          </cell>
          <cell r="Q866">
            <v>-104657204.14</v>
          </cell>
          <cell r="S866">
            <v>-51827068.670000002</v>
          </cell>
          <cell r="T866">
            <v>0</v>
          </cell>
          <cell r="U866">
            <v>0</v>
          </cell>
          <cell r="V866">
            <v>0</v>
          </cell>
          <cell r="W866">
            <v>-51827068.670000002</v>
          </cell>
          <cell r="X866">
            <v>0</v>
          </cell>
          <cell r="Y866">
            <v>-51827068.670000002</v>
          </cell>
          <cell r="Z866">
            <v>0</v>
          </cell>
          <cell r="AA866">
            <v>-51827068.670000002</v>
          </cell>
          <cell r="AC866">
            <v>15646</v>
          </cell>
          <cell r="AD866">
            <v>0</v>
          </cell>
        </row>
        <row r="867">
          <cell r="S867">
            <v>0</v>
          </cell>
          <cell r="T867">
            <v>0</v>
          </cell>
          <cell r="U867">
            <v>0</v>
          </cell>
          <cell r="V867">
            <v>0</v>
          </cell>
          <cell r="W867">
            <v>0</v>
          </cell>
          <cell r="X867">
            <v>0</v>
          </cell>
          <cell r="Y867">
            <v>0</v>
          </cell>
          <cell r="Z867">
            <v>0</v>
          </cell>
          <cell r="AA867">
            <v>0</v>
          </cell>
          <cell r="AC867">
            <v>0</v>
          </cell>
          <cell r="AD867">
            <v>0</v>
          </cell>
        </row>
        <row r="868">
          <cell r="B868">
            <v>15647</v>
          </cell>
          <cell r="C868" t="str">
            <v>INVENTORY ISSUE A/C (INTERNAL) - FG/WIP/SCRAP</v>
          </cell>
          <cell r="D868">
            <v>24420945.719999999</v>
          </cell>
          <cell r="E868">
            <v>-25803738.940000001</v>
          </cell>
          <cell r="F868">
            <v>7294335.5999999996</v>
          </cell>
          <cell r="G868">
            <v>-7339761.71</v>
          </cell>
          <cell r="H868">
            <v>0</v>
          </cell>
          <cell r="I868">
            <v>-3176.54</v>
          </cell>
          <cell r="J868">
            <v>0</v>
          </cell>
          <cell r="K868">
            <v>-6294.59</v>
          </cell>
          <cell r="L868">
            <v>0</v>
          </cell>
          <cell r="M868">
            <v>0</v>
          </cell>
          <cell r="N868">
            <v>12495.55</v>
          </cell>
          <cell r="O868">
            <v>-150679.98000000001</v>
          </cell>
          <cell r="P868">
            <v>31727776.870000001</v>
          </cell>
          <cell r="Q868">
            <v>-33303651.760000002</v>
          </cell>
          <cell r="S868">
            <v>-1520977.6500000025</v>
          </cell>
          <cell r="T868">
            <v>-54897.24000000034</v>
          </cell>
          <cell r="U868">
            <v>0</v>
          </cell>
          <cell r="V868">
            <v>0</v>
          </cell>
          <cell r="W868">
            <v>-1520977.6500000025</v>
          </cell>
          <cell r="X868">
            <v>-54897.24000000034</v>
          </cell>
          <cell r="Y868">
            <v>-1520977.6500000025</v>
          </cell>
          <cell r="Z868">
            <v>-54897.24000000034</v>
          </cell>
          <cell r="AA868">
            <v>-1575874.8900000029</v>
          </cell>
          <cell r="AC868">
            <v>15647</v>
          </cell>
          <cell r="AD868">
            <v>0</v>
          </cell>
        </row>
        <row r="869">
          <cell r="S869">
            <v>0</v>
          </cell>
          <cell r="T869">
            <v>0</v>
          </cell>
          <cell r="U869">
            <v>0</v>
          </cell>
          <cell r="V869">
            <v>0</v>
          </cell>
          <cell r="W869">
            <v>0</v>
          </cell>
          <cell r="X869">
            <v>0</v>
          </cell>
          <cell r="Y869">
            <v>0</v>
          </cell>
          <cell r="Z869">
            <v>0</v>
          </cell>
          <cell r="AA869">
            <v>0</v>
          </cell>
          <cell r="AC869">
            <v>0</v>
          </cell>
          <cell r="AD869">
            <v>0</v>
          </cell>
        </row>
        <row r="870">
          <cell r="B870">
            <v>15648</v>
          </cell>
          <cell r="C870" t="str">
            <v>SCRAP CONSUMED</v>
          </cell>
          <cell r="D870">
            <v>703541260.90999997</v>
          </cell>
          <cell r="E870">
            <v>-539008526.72000003</v>
          </cell>
          <cell r="F870">
            <v>0</v>
          </cell>
          <cell r="G870">
            <v>0</v>
          </cell>
          <cell r="H870">
            <v>0</v>
          </cell>
          <cell r="I870">
            <v>0</v>
          </cell>
          <cell r="J870">
            <v>0</v>
          </cell>
          <cell r="K870">
            <v>0</v>
          </cell>
          <cell r="L870">
            <v>0</v>
          </cell>
          <cell r="M870">
            <v>0</v>
          </cell>
          <cell r="N870">
            <v>0</v>
          </cell>
          <cell r="O870">
            <v>0</v>
          </cell>
          <cell r="P870">
            <v>703541260.90999997</v>
          </cell>
          <cell r="Q870">
            <v>-539008526.72000003</v>
          </cell>
          <cell r="S870">
            <v>164532734.18999994</v>
          </cell>
          <cell r="T870">
            <v>0</v>
          </cell>
          <cell r="U870">
            <v>107136562.04000001</v>
          </cell>
          <cell r="V870">
            <v>0</v>
          </cell>
          <cell r="W870">
            <v>57396172.149999931</v>
          </cell>
          <cell r="X870">
            <v>0</v>
          </cell>
          <cell r="Y870">
            <v>164532734.18999994</v>
          </cell>
          <cell r="Z870">
            <v>0</v>
          </cell>
          <cell r="AA870">
            <v>164532734.18999994</v>
          </cell>
          <cell r="AC870">
            <v>15648</v>
          </cell>
          <cell r="AD870">
            <v>0</v>
          </cell>
        </row>
        <row r="871">
          <cell r="S871">
            <v>0</v>
          </cell>
          <cell r="T871">
            <v>0</v>
          </cell>
          <cell r="U871">
            <v>0</v>
          </cell>
          <cell r="V871">
            <v>0</v>
          </cell>
          <cell r="W871">
            <v>0</v>
          </cell>
          <cell r="X871">
            <v>0</v>
          </cell>
          <cell r="Y871">
            <v>0</v>
          </cell>
          <cell r="Z871">
            <v>0</v>
          </cell>
          <cell r="AA871">
            <v>0</v>
          </cell>
          <cell r="AC871">
            <v>0</v>
          </cell>
          <cell r="AD871">
            <v>0</v>
          </cell>
        </row>
        <row r="872">
          <cell r="B872">
            <v>16000</v>
          </cell>
          <cell r="C872" t="str">
            <v>CLOSING STOCK OF PACKING MATERIALS</v>
          </cell>
          <cell r="D872">
            <v>768697</v>
          </cell>
          <cell r="E872">
            <v>0</v>
          </cell>
          <cell r="F872">
            <v>0</v>
          </cell>
          <cell r="G872">
            <v>0</v>
          </cell>
          <cell r="H872">
            <v>0</v>
          </cell>
          <cell r="I872">
            <v>0</v>
          </cell>
          <cell r="J872">
            <v>0</v>
          </cell>
          <cell r="K872">
            <v>0</v>
          </cell>
          <cell r="L872">
            <v>0</v>
          </cell>
          <cell r="M872">
            <v>0</v>
          </cell>
          <cell r="N872">
            <v>0</v>
          </cell>
          <cell r="O872">
            <v>0</v>
          </cell>
          <cell r="P872">
            <v>768697</v>
          </cell>
          <cell r="Q872">
            <v>0</v>
          </cell>
          <cell r="S872">
            <v>768697</v>
          </cell>
          <cell r="T872">
            <v>0</v>
          </cell>
          <cell r="U872">
            <v>768697</v>
          </cell>
          <cell r="V872">
            <v>0</v>
          </cell>
          <cell r="W872">
            <v>0</v>
          </cell>
          <cell r="X872">
            <v>0</v>
          </cell>
          <cell r="Y872">
            <v>768697</v>
          </cell>
          <cell r="Z872">
            <v>0</v>
          </cell>
          <cell r="AA872">
            <v>768697</v>
          </cell>
          <cell r="AC872">
            <v>16000</v>
          </cell>
          <cell r="AD872">
            <v>0</v>
          </cell>
        </row>
        <row r="873">
          <cell r="S873">
            <v>0</v>
          </cell>
          <cell r="T873">
            <v>0</v>
          </cell>
          <cell r="U873">
            <v>0</v>
          </cell>
          <cell r="V873">
            <v>0</v>
          </cell>
          <cell r="W873">
            <v>0</v>
          </cell>
          <cell r="X873">
            <v>0</v>
          </cell>
          <cell r="Y873">
            <v>0</v>
          </cell>
          <cell r="Z873">
            <v>0</v>
          </cell>
          <cell r="AA873">
            <v>0</v>
          </cell>
          <cell r="AC873">
            <v>0</v>
          </cell>
          <cell r="AD873">
            <v>0</v>
          </cell>
        </row>
        <row r="874">
          <cell r="B874">
            <v>999999</v>
          </cell>
          <cell r="C874" t="str">
            <v>Dummy Account</v>
          </cell>
          <cell r="D874">
            <v>0</v>
          </cell>
          <cell r="E874">
            <v>0</v>
          </cell>
          <cell r="F874">
            <v>0</v>
          </cell>
          <cell r="G874">
            <v>0</v>
          </cell>
          <cell r="H874">
            <v>0</v>
          </cell>
          <cell r="I874">
            <v>0</v>
          </cell>
          <cell r="J874">
            <v>0</v>
          </cell>
          <cell r="K874">
            <v>0</v>
          </cell>
          <cell r="L874">
            <v>358904672.56</v>
          </cell>
          <cell r="M874">
            <v>-358904672.56</v>
          </cell>
          <cell r="N874">
            <v>0</v>
          </cell>
          <cell r="O874">
            <v>0</v>
          </cell>
          <cell r="P874">
            <v>0</v>
          </cell>
          <cell r="Q874">
            <v>0</v>
          </cell>
          <cell r="S874">
            <v>0</v>
          </cell>
          <cell r="T874">
            <v>0</v>
          </cell>
          <cell r="U874">
            <v>0</v>
          </cell>
          <cell r="V874">
            <v>0</v>
          </cell>
          <cell r="W874">
            <v>0</v>
          </cell>
          <cell r="X874">
            <v>0</v>
          </cell>
          <cell r="Y874">
            <v>0</v>
          </cell>
          <cell r="Z874">
            <v>0</v>
          </cell>
          <cell r="AA874">
            <v>0</v>
          </cell>
          <cell r="AC874">
            <v>0</v>
          </cell>
          <cell r="AD874">
            <v>-999999</v>
          </cell>
        </row>
        <row r="875">
          <cell r="S875">
            <v>0</v>
          </cell>
          <cell r="T875">
            <v>0</v>
          </cell>
          <cell r="U875">
            <v>0</v>
          </cell>
          <cell r="V875">
            <v>0</v>
          </cell>
          <cell r="W875">
            <v>0</v>
          </cell>
          <cell r="X875">
            <v>0</v>
          </cell>
          <cell r="Y875">
            <v>0</v>
          </cell>
          <cell r="Z875">
            <v>0</v>
          </cell>
          <cell r="AA875">
            <v>0</v>
          </cell>
        </row>
        <row r="876">
          <cell r="B876" t="str">
            <v>LIAB FOR EXP 13-14</v>
          </cell>
          <cell r="C876" t="str">
            <v>LIABILITY FOR EXPENSES ??</v>
          </cell>
          <cell r="D876">
            <v>1266611.8</v>
          </cell>
          <cell r="E876">
            <v>-1266611.8</v>
          </cell>
          <cell r="F876">
            <v>0</v>
          </cell>
          <cell r="G876">
            <v>0</v>
          </cell>
          <cell r="H876">
            <v>0</v>
          </cell>
          <cell r="I876">
            <v>0</v>
          </cell>
          <cell r="J876">
            <v>0</v>
          </cell>
          <cell r="K876">
            <v>0</v>
          </cell>
          <cell r="L876">
            <v>0</v>
          </cell>
          <cell r="M876">
            <v>0</v>
          </cell>
          <cell r="N876">
            <v>0</v>
          </cell>
          <cell r="O876">
            <v>0</v>
          </cell>
          <cell r="P876">
            <v>1266611.8</v>
          </cell>
          <cell r="Q876">
            <v>-1266611.8</v>
          </cell>
          <cell r="S876">
            <v>0</v>
          </cell>
          <cell r="T876">
            <v>0</v>
          </cell>
          <cell r="U876">
            <v>0</v>
          </cell>
          <cell r="V876">
            <v>0</v>
          </cell>
          <cell r="W876">
            <v>0</v>
          </cell>
          <cell r="X876">
            <v>0</v>
          </cell>
          <cell r="Y876">
            <v>0</v>
          </cell>
          <cell r="Z876">
            <v>0</v>
          </cell>
          <cell r="AA876">
            <v>0</v>
          </cell>
        </row>
        <row r="877">
          <cell r="Y877">
            <v>0</v>
          </cell>
          <cell r="Z877">
            <v>0</v>
          </cell>
        </row>
        <row r="878">
          <cell r="D878">
            <v>1.432934768772E+16</v>
          </cell>
          <cell r="E878">
            <v>-1.43293439400914E+16</v>
          </cell>
          <cell r="F878">
            <v>368854404838.53003</v>
          </cell>
          <cell r="G878">
            <v>-371741012432.94</v>
          </cell>
          <cell r="H878">
            <v>829434048.42999995</v>
          </cell>
          <cell r="I878">
            <v>-853390662.19000006</v>
          </cell>
          <cell r="J878">
            <v>109271113.81</v>
          </cell>
          <cell r="K878">
            <v>-161763617.59999999</v>
          </cell>
          <cell r="L878">
            <v>3815555571.1399999</v>
          </cell>
          <cell r="M878">
            <v>-4473419483.6700001</v>
          </cell>
          <cell r="N878">
            <v>1594292672.5999999</v>
          </cell>
          <cell r="O878">
            <v>-1721000739.22</v>
          </cell>
          <cell r="P878">
            <v>1.43297228906783E+16</v>
          </cell>
          <cell r="Q878">
            <v>-1.43297228906783E+16</v>
          </cell>
          <cell r="S878">
            <v>2963056703.5499954</v>
          </cell>
          <cell r="T878">
            <v>-2963056711.9599977</v>
          </cell>
          <cell r="U878">
            <v>2515379262.9899988</v>
          </cell>
          <cell r="V878">
            <v>-2515379269.1100011</v>
          </cell>
          <cell r="W878">
            <v>447677440.55999953</v>
          </cell>
          <cell r="X878">
            <v>-447677442.84999877</v>
          </cell>
          <cell r="Y878">
            <v>2963243330.5199957</v>
          </cell>
          <cell r="Z878">
            <v>-2963056713.0499988</v>
          </cell>
        </row>
        <row r="879">
          <cell r="S879">
            <v>-8.4100022315979004</v>
          </cell>
          <cell r="U879">
            <v>-6.120002269744873</v>
          </cell>
          <cell r="W879">
            <v>-2.28999924659729</v>
          </cell>
          <cell r="Y879">
            <v>186617.46999692917</v>
          </cell>
        </row>
      </sheetData>
      <sheetData sheetId="1">
        <row r="5">
          <cell r="B5" t="str">
            <v>GL CODE</v>
          </cell>
        </row>
      </sheetData>
      <sheetData sheetId="2">
        <row r="1">
          <cell r="D1" t="str">
            <v xml:space="preserve">Balmer Lawrie - Van Leer Limited   </v>
          </cell>
          <cell r="E1">
            <v>0</v>
          </cell>
        </row>
        <row r="2">
          <cell r="E2">
            <v>0.25857019424438477</v>
          </cell>
        </row>
        <row r="3">
          <cell r="E3">
            <v>-2039969.9399997019</v>
          </cell>
        </row>
        <row r="4">
          <cell r="C4" t="str">
            <v>A/C CODE</v>
          </cell>
          <cell r="E4" t="str">
            <v>ACCOUNT HEAD</v>
          </cell>
        </row>
        <row r="5">
          <cell r="C5" t="str">
            <v>ERP</v>
          </cell>
          <cell r="D5" t="str">
            <v>FACT</v>
          </cell>
        </row>
        <row r="6">
          <cell r="D6" t="str">
            <v>1</v>
          </cell>
          <cell r="E6">
            <v>2</v>
          </cell>
        </row>
        <row r="7">
          <cell r="D7" t="str">
            <v>REVENUE FROM OPERATIONS</v>
          </cell>
        </row>
        <row r="8">
          <cell r="E8" t="str">
            <v>Sale of Products</v>
          </cell>
        </row>
        <row r="9">
          <cell r="D9" t="str">
            <v>2570</v>
          </cell>
          <cell r="E9" t="str">
            <v>Inter Departmental Adj. A/c - Valerex DIV</v>
          </cell>
        </row>
        <row r="10">
          <cell r="D10" t="str">
            <v>2571</v>
          </cell>
          <cell r="E10" t="str">
            <v>Inter Department Purchase</v>
          </cell>
        </row>
        <row r="11">
          <cell r="C11">
            <v>11030</v>
          </cell>
          <cell r="D11" t="str">
            <v>5000</v>
          </cell>
          <cell r="E11" t="str">
            <v>Sales Control A/c</v>
          </cell>
        </row>
        <row r="12">
          <cell r="D12" t="str">
            <v>5011</v>
          </cell>
          <cell r="E12" t="str">
            <v>Product Sales-Cochin</v>
          </cell>
        </row>
        <row r="13">
          <cell r="D13" t="str">
            <v>5015</v>
          </cell>
          <cell r="E13" t="str">
            <v>Product Sales-Cochin</v>
          </cell>
        </row>
        <row r="14">
          <cell r="C14">
            <v>11025</v>
          </cell>
          <cell r="D14" t="str">
            <v>5010</v>
          </cell>
          <cell r="E14" t="str">
            <v>Product Sales</v>
          </cell>
        </row>
        <row r="15">
          <cell r="D15" t="str">
            <v>5020</v>
          </cell>
          <cell r="E15" t="str">
            <v>Product Sales - Exports</v>
          </cell>
        </row>
        <row r="16">
          <cell r="D16" t="str">
            <v>5226</v>
          </cell>
          <cell r="E16" t="str">
            <v>Inter Unit Sales -DEPB</v>
          </cell>
        </row>
        <row r="17">
          <cell r="D17" t="str">
            <v>5500</v>
          </cell>
          <cell r="E17" t="str">
            <v>Sales Retrun</v>
          </cell>
        </row>
        <row r="18">
          <cell r="D18" t="str">
            <v>5505</v>
          </cell>
          <cell r="E18" t="str">
            <v>Sales Retrun- Cochin</v>
          </cell>
        </row>
        <row r="19">
          <cell r="C19">
            <v>12142</v>
          </cell>
          <cell r="E19" t="str">
            <v>Order Invoice Rounding (Sys)</v>
          </cell>
        </row>
        <row r="20">
          <cell r="D20" t="str">
            <v>113</v>
          </cell>
          <cell r="E20" t="str">
            <v>Processing Charges (Job Work)</v>
          </cell>
        </row>
        <row r="21">
          <cell r="E21" t="str">
            <v>Sub-total</v>
          </cell>
        </row>
        <row r="22">
          <cell r="E22" t="str">
            <v>Other Operating Revenue</v>
          </cell>
        </row>
        <row r="23">
          <cell r="C23">
            <v>11035</v>
          </cell>
          <cell r="D23" t="str">
            <v>5100</v>
          </cell>
          <cell r="E23" t="str">
            <v>Scrap Sales</v>
          </cell>
        </row>
        <row r="24">
          <cell r="E24" t="str">
            <v>Scrap Receipts</v>
          </cell>
        </row>
        <row r="25">
          <cell r="C25">
            <v>11040</v>
          </cell>
          <cell r="E25" t="str">
            <v>Scrap Sales-MISC (N)</v>
          </cell>
        </row>
        <row r="26">
          <cell r="E26" t="str">
            <v>Sub-total</v>
          </cell>
        </row>
        <row r="27">
          <cell r="E27" t="str">
            <v>Income from Duty Drawback and DEPB Licenses</v>
          </cell>
        </row>
        <row r="28">
          <cell r="D28" t="str">
            <v>5115</v>
          </cell>
          <cell r="E28" t="str">
            <v>DEPB SALE A/C</v>
          </cell>
        </row>
        <row r="29">
          <cell r="C29">
            <v>11205</v>
          </cell>
          <cell r="D29" t="str">
            <v>5225</v>
          </cell>
          <cell r="E29" t="str">
            <v>DEPB BENIFIT A/c (Income from DEPB Lic )</v>
          </cell>
        </row>
        <row r="30">
          <cell r="E30" t="str">
            <v>Sub-total</v>
          </cell>
        </row>
        <row r="31">
          <cell r="E31" t="str">
            <v>TOTAL</v>
          </cell>
        </row>
        <row r="33">
          <cell r="D33" t="str">
            <v>OTHER INCOME</v>
          </cell>
        </row>
        <row r="34">
          <cell r="E34" t="str">
            <v>Interest Income On</v>
          </cell>
        </row>
        <row r="35">
          <cell r="C35">
            <v>11215</v>
          </cell>
          <cell r="D35" t="str">
            <v>5150</v>
          </cell>
          <cell r="E35" t="str">
            <v>Interest Received</v>
          </cell>
        </row>
        <row r="37">
          <cell r="E37" t="str">
            <v>Sub-total</v>
          </cell>
        </row>
        <row r="38">
          <cell r="E38" t="str">
            <v>Dividend Income On</v>
          </cell>
        </row>
        <row r="39">
          <cell r="C39">
            <v>11245</v>
          </cell>
          <cell r="D39" t="str">
            <v>5240</v>
          </cell>
          <cell r="E39" t="str">
            <v>Dividend Income +Proseal</v>
          </cell>
        </row>
        <row r="40">
          <cell r="E40" t="str">
            <v>Investment In Mutual Funds</v>
          </cell>
        </row>
        <row r="41">
          <cell r="E41" t="str">
            <v>Sub-total</v>
          </cell>
        </row>
        <row r="42">
          <cell r="C42">
            <v>11210</v>
          </cell>
          <cell r="D42" t="str">
            <v>5210</v>
          </cell>
          <cell r="E42" t="str">
            <v>Management and Marketing Fees from Subsidiary</v>
          </cell>
        </row>
        <row r="44">
          <cell r="E44" t="str">
            <v>Sub-total</v>
          </cell>
        </row>
        <row r="45">
          <cell r="C45">
            <v>11240</v>
          </cell>
          <cell r="D45" t="str">
            <v>5170</v>
          </cell>
          <cell r="E45" t="str">
            <v>Profit On Sale Of Fixed Assets (Net)</v>
          </cell>
        </row>
        <row r="47">
          <cell r="E47" t="str">
            <v>Sub-total</v>
          </cell>
        </row>
        <row r="48">
          <cell r="E48" t="str">
            <v>Gain Foreign Exchange (Net)</v>
          </cell>
        </row>
        <row r="51">
          <cell r="E51" t="str">
            <v>Sub-total</v>
          </cell>
        </row>
        <row r="52">
          <cell r="E52" t="str">
            <v>Liabilities no Longer Required Written Back</v>
          </cell>
        </row>
        <row r="53">
          <cell r="C53">
            <v>11225</v>
          </cell>
          <cell r="D53" t="str">
            <v>5235</v>
          </cell>
          <cell r="E53" t="str">
            <v>Sundry Credit Balances written back</v>
          </cell>
        </row>
        <row r="54">
          <cell r="C54">
            <v>11220</v>
          </cell>
          <cell r="D54" t="str">
            <v>5180</v>
          </cell>
          <cell r="E54" t="str">
            <v>Provision No Longer Required W/Back</v>
          </cell>
        </row>
        <row r="55">
          <cell r="C55">
            <v>11230</v>
          </cell>
          <cell r="E55" t="str">
            <v>Liabilities no longer required written back</v>
          </cell>
        </row>
        <row r="56">
          <cell r="E56" t="str">
            <v>Provision for Bad Doubtful Debts written back</v>
          </cell>
        </row>
        <row r="57">
          <cell r="E57" t="str">
            <v>Sub-total</v>
          </cell>
        </row>
        <row r="58">
          <cell r="E58" t="str">
            <v>Miscellaneous Income</v>
          </cell>
        </row>
        <row r="59">
          <cell r="D59" t="str">
            <v>5160</v>
          </cell>
          <cell r="E59" t="str">
            <v>Jobbing/Other Income</v>
          </cell>
        </row>
        <row r="60">
          <cell r="D60" t="str">
            <v>5190</v>
          </cell>
          <cell r="E60" t="str">
            <v>Lease Rent ( Income )</v>
          </cell>
        </row>
        <row r="61">
          <cell r="E61" t="str">
            <v>Rounding off Diff A/C</v>
          </cell>
        </row>
        <row r="62">
          <cell r="E62" t="str">
            <v>Order Invoice Rounding (SYS)</v>
          </cell>
        </row>
        <row r="63">
          <cell r="D63" t="str">
            <v>5230</v>
          </cell>
          <cell r="E63" t="str">
            <v>Sundry Income</v>
          </cell>
        </row>
        <row r="64">
          <cell r="E64" t="str">
            <v>Sub-total</v>
          </cell>
        </row>
        <row r="65">
          <cell r="E65" t="str">
            <v>TOTAL</v>
          </cell>
        </row>
        <row r="67">
          <cell r="D67" t="str">
            <v>TOTAL REVENUE</v>
          </cell>
        </row>
        <row r="69">
          <cell r="D69" t="str">
            <v>EXPENSES</v>
          </cell>
        </row>
        <row r="70">
          <cell r="D70" t="str">
            <v>COST OF MATERIAL CONSUMED</v>
          </cell>
        </row>
        <row r="71">
          <cell r="D71" t="str">
            <v xml:space="preserve"> Raw Materials</v>
          </cell>
        </row>
        <row r="72">
          <cell r="E72" t="str">
            <v>Opening Inventory</v>
          </cell>
        </row>
        <row r="73">
          <cell r="C73">
            <v>12146</v>
          </cell>
          <cell r="D73" t="str">
            <v>8971</v>
          </cell>
          <cell r="E73" t="str">
            <v>OP. Sto Raw Matl - P &amp; L</v>
          </cell>
        </row>
        <row r="75">
          <cell r="E75" t="str">
            <v>Sub-total</v>
          </cell>
        </row>
        <row r="76">
          <cell r="E76" t="str">
            <v>Purchases</v>
          </cell>
        </row>
        <row r="77">
          <cell r="D77" t="str">
            <v>6105</v>
          </cell>
          <cell r="E77" t="str">
            <v>Octori A/c Purchases</v>
          </cell>
        </row>
        <row r="78">
          <cell r="C78">
            <v>15075</v>
          </cell>
          <cell r="D78" t="str">
            <v>6000</v>
          </cell>
        </row>
        <row r="79">
          <cell r="C79" t="str">
            <v>15075-1</v>
          </cell>
          <cell r="D79" t="str">
            <v>6010</v>
          </cell>
          <cell r="E79" t="str">
            <v>Purchase A/c -  RM - Steel / HMHDPE - Local</v>
          </cell>
        </row>
        <row r="80">
          <cell r="C80" t="str">
            <v>15075-7</v>
          </cell>
          <cell r="E80" t="str">
            <v>Purchase A/c -  RM - Steel / HMHDPE - Local</v>
          </cell>
        </row>
        <row r="81">
          <cell r="D81" t="str">
            <v>6011</v>
          </cell>
          <cell r="E81" t="str">
            <v>Purchase A/c -  Rm - Zinc+Local</v>
          </cell>
        </row>
        <row r="82">
          <cell r="C82" t="str">
            <v>15075-2</v>
          </cell>
          <cell r="D82" t="str">
            <v>6012</v>
          </cell>
          <cell r="E82" t="str">
            <v>Purchase A/c - RM  -Gaskets/        - Local</v>
          </cell>
        </row>
        <row r="83">
          <cell r="C83" t="str">
            <v>15075-3</v>
          </cell>
          <cell r="D83" t="str">
            <v>6013</v>
          </cell>
          <cell r="E83" t="str">
            <v>Purchase A/c - TFS/Tinplates  - Local</v>
          </cell>
        </row>
        <row r="84">
          <cell r="C84" t="str">
            <v>15075-4</v>
          </cell>
          <cell r="D84" t="str">
            <v>6014</v>
          </cell>
          <cell r="E84" t="str">
            <v>Purchase A/c - RM - PTFS/INKS</v>
          </cell>
        </row>
        <row r="85">
          <cell r="C85" t="str">
            <v>15075-5</v>
          </cell>
          <cell r="D85" t="str">
            <v>6015</v>
          </cell>
          <cell r="E85" t="str">
            <v>Purchase A/c - RM -STEEL / HMHDPE - IMPORTED</v>
          </cell>
        </row>
        <row r="86">
          <cell r="D86" t="str">
            <v>6016</v>
          </cell>
          <cell r="E86" t="str">
            <v>Purchase A/c - RM - COPP Imported</v>
          </cell>
        </row>
        <row r="87">
          <cell r="D87" t="str">
            <v>6017</v>
          </cell>
          <cell r="E87" t="str">
            <v>Purchase A/c - RM - Gaskets/ Others  -Imp</v>
          </cell>
        </row>
        <row r="88">
          <cell r="C88" t="str">
            <v>15075-6</v>
          </cell>
          <cell r="D88" t="str">
            <v>6020</v>
          </cell>
          <cell r="E88" t="str">
            <v>Purchase A/c -  RM - Others</v>
          </cell>
        </row>
        <row r="89">
          <cell r="C89">
            <v>12160</v>
          </cell>
          <cell r="D89" t="str">
            <v>6021</v>
          </cell>
          <cell r="E89" t="str">
            <v>NMMC Cess A/c Others</v>
          </cell>
        </row>
        <row r="90">
          <cell r="C90">
            <v>12175</v>
          </cell>
          <cell r="D90" t="str">
            <v>6031</v>
          </cell>
          <cell r="E90" t="str">
            <v>Purchase-Excise Dutyon FG Stock</v>
          </cell>
        </row>
        <row r="91">
          <cell r="D91" t="str">
            <v>6050</v>
          </cell>
          <cell r="E91" t="str">
            <v>Purchase A/c -  Plating Chemicals</v>
          </cell>
        </row>
        <row r="92">
          <cell r="D92" t="str">
            <v>6051</v>
          </cell>
          <cell r="E92" t="str">
            <v>Purchase A/c -  Outside Plating Cost</v>
          </cell>
        </row>
        <row r="93">
          <cell r="C93">
            <v>12165</v>
          </cell>
          <cell r="E93" t="str">
            <v>Purchase A/c - Octroi</v>
          </cell>
        </row>
        <row r="94">
          <cell r="D94" t="str">
            <v>6102</v>
          </cell>
          <cell r="E94" t="str">
            <v>Transport A/c Purchase</v>
          </cell>
        </row>
        <row r="95">
          <cell r="D95" t="str">
            <v>6103</v>
          </cell>
          <cell r="E95" t="str">
            <v>M.S.T A/c - Purchase</v>
          </cell>
        </row>
        <row r="96">
          <cell r="C96">
            <v>12170</v>
          </cell>
          <cell r="D96" t="str">
            <v>6104</v>
          </cell>
          <cell r="E96" t="str">
            <v>C.S.T A/c. - Purchase</v>
          </cell>
        </row>
        <row r="97">
          <cell r="D97" t="str">
            <v>6106</v>
          </cell>
          <cell r="E97" t="str">
            <v>Clearing Charges/ Jobbing Exp</v>
          </cell>
        </row>
        <row r="98">
          <cell r="D98" t="str">
            <v>6114</v>
          </cell>
          <cell r="E98" t="str">
            <v>VAT (CST) -Purchase/Expense</v>
          </cell>
        </row>
        <row r="99">
          <cell r="D99" t="str">
            <v>6200</v>
          </cell>
          <cell r="E99" t="str">
            <v>Purchase Retrun</v>
          </cell>
        </row>
        <row r="100">
          <cell r="C100">
            <v>0</v>
          </cell>
        </row>
        <row r="101">
          <cell r="C101">
            <v>12151</v>
          </cell>
          <cell r="E101" t="str">
            <v>Import Booking Diff If Misc Chg. (Charged Off)</v>
          </cell>
        </row>
        <row r="102">
          <cell r="C102">
            <v>12152</v>
          </cell>
          <cell r="E102" t="str">
            <v>Transport Account Purchase (6102)</v>
          </cell>
        </row>
        <row r="103">
          <cell r="E103" t="str">
            <v>Cash Discount</v>
          </cell>
        </row>
        <row r="104">
          <cell r="D104" t="str">
            <v>7180</v>
          </cell>
          <cell r="E104" t="str">
            <v>Cash Discount</v>
          </cell>
        </row>
        <row r="105">
          <cell r="D105" t="str">
            <v>5231</v>
          </cell>
          <cell r="E105" t="str">
            <v>Cash Disscount Received</v>
          </cell>
        </row>
        <row r="106">
          <cell r="D106" t="str">
            <v>5499</v>
          </cell>
          <cell r="E106" t="str">
            <v>Discount Allowed</v>
          </cell>
        </row>
        <row r="107">
          <cell r="C107">
            <v>12145</v>
          </cell>
          <cell r="E107" t="str">
            <v>Discount Received</v>
          </cell>
        </row>
        <row r="108">
          <cell r="C108">
            <v>13408</v>
          </cell>
          <cell r="E108" t="str">
            <v>Discount Allowed (7180)</v>
          </cell>
        </row>
        <row r="109">
          <cell r="E109" t="str">
            <v>GIT</v>
          </cell>
        </row>
        <row r="110">
          <cell r="E110" t="str">
            <v>Tube regrouping</v>
          </cell>
        </row>
        <row r="111">
          <cell r="E111" t="str">
            <v>sub-total</v>
          </cell>
        </row>
        <row r="112">
          <cell r="E112" t="str">
            <v>Closing Inventory</v>
          </cell>
        </row>
        <row r="113">
          <cell r="C113">
            <v>12209</v>
          </cell>
          <cell r="D113" t="str">
            <v>8981</v>
          </cell>
          <cell r="E113" t="str">
            <v>Cl.St. - Raw Matl.-P&amp;L</v>
          </cell>
        </row>
        <row r="114">
          <cell r="E114" t="str">
            <v>Goods in Transist</v>
          </cell>
        </row>
        <row r="116">
          <cell r="E116" t="str">
            <v>Sub-total</v>
          </cell>
        </row>
        <row r="117">
          <cell r="E117" t="str">
            <v>Cost of Raw Materials Consumed</v>
          </cell>
        </row>
        <row r="118">
          <cell r="D118" t="str">
            <v>Packing Materials</v>
          </cell>
        </row>
        <row r="119">
          <cell r="E119" t="str">
            <v>Opening Inventory</v>
          </cell>
        </row>
        <row r="120">
          <cell r="C120">
            <v>12221</v>
          </cell>
          <cell r="D120" t="str">
            <v>8972</v>
          </cell>
          <cell r="E120" t="str">
            <v>OP St. of Pack. Matl.</v>
          </cell>
        </row>
        <row r="122">
          <cell r="E122" t="str">
            <v>Sub-total</v>
          </cell>
        </row>
        <row r="123">
          <cell r="E123" t="str">
            <v>Purchases</v>
          </cell>
        </row>
        <row r="124">
          <cell r="D124" t="str">
            <v>6040</v>
          </cell>
          <cell r="E124" t="str">
            <v>Purchase A/c -  Packing Materials</v>
          </cell>
        </row>
        <row r="125">
          <cell r="C125">
            <v>15099</v>
          </cell>
          <cell r="E125" t="str">
            <v>Purchase A/C - Packing Materials Stock (Bs)</v>
          </cell>
        </row>
        <row r="127">
          <cell r="E127" t="str">
            <v>Sub-total</v>
          </cell>
        </row>
        <row r="128">
          <cell r="E128" t="str">
            <v>Closing Inventory</v>
          </cell>
        </row>
        <row r="129">
          <cell r="C129">
            <v>12264</v>
          </cell>
          <cell r="D129" t="str">
            <v>8982</v>
          </cell>
          <cell r="E129" t="str">
            <v>Cl. St. -Pack. Matl-P&amp;L</v>
          </cell>
        </row>
        <row r="131">
          <cell r="E131" t="str">
            <v>Sub-total</v>
          </cell>
        </row>
        <row r="132">
          <cell r="E132" t="str">
            <v>Cost of Packing Materials Consumed</v>
          </cell>
        </row>
        <row r="134">
          <cell r="E134" t="str">
            <v>TOTAL</v>
          </cell>
        </row>
        <row r="136">
          <cell r="D136" t="str">
            <v>CHANGES IN INVENTORIES OF FINISHED GOODS &amp;WORK-IN-PROGRESS</v>
          </cell>
        </row>
        <row r="137">
          <cell r="E137" t="str">
            <v>(Increase)/Decrease in stock of f.g/wip</v>
          </cell>
        </row>
        <row r="138">
          <cell r="E138" t="str">
            <v>Opening Stock - FG</v>
          </cell>
        </row>
        <row r="139">
          <cell r="C139">
            <v>13752</v>
          </cell>
          <cell r="D139" t="str">
            <v>8973</v>
          </cell>
          <cell r="E139" t="str">
            <v>OP.St. of FG - P &amp; L</v>
          </cell>
        </row>
        <row r="140">
          <cell r="E140" t="str">
            <v>Sub-total</v>
          </cell>
        </row>
        <row r="141">
          <cell r="E141" t="str">
            <v>Opening Stock - WIP</v>
          </cell>
        </row>
        <row r="142">
          <cell r="C142">
            <v>13753</v>
          </cell>
          <cell r="D142" t="str">
            <v>8974</v>
          </cell>
          <cell r="E142" t="str">
            <v>OP.St. of WIP - P &amp; L</v>
          </cell>
        </row>
        <row r="143">
          <cell r="E143" t="str">
            <v>Sub-total</v>
          </cell>
        </row>
        <row r="144">
          <cell r="E144" t="str">
            <v>Total Opening Stock</v>
          </cell>
        </row>
        <row r="145">
          <cell r="E145" t="str">
            <v>Closing Stock -fg</v>
          </cell>
        </row>
        <row r="146">
          <cell r="D146" t="str">
            <v>8383</v>
          </cell>
          <cell r="E146" t="str">
            <v>Cl-St. FG - P&amp;L</v>
          </cell>
        </row>
        <row r="147">
          <cell r="C147">
            <v>13756</v>
          </cell>
          <cell r="D147" t="str">
            <v>8983</v>
          </cell>
          <cell r="E147" t="str">
            <v>Cl-St. FG - P&amp;L</v>
          </cell>
        </row>
        <row r="148">
          <cell r="E148" t="str">
            <v>Sub-total</v>
          </cell>
        </row>
        <row r="149">
          <cell r="E149" t="str">
            <v>Closing Stock -WIP</v>
          </cell>
        </row>
        <row r="150">
          <cell r="C150">
            <v>13757</v>
          </cell>
          <cell r="D150" t="str">
            <v>8984</v>
          </cell>
          <cell r="E150" t="str">
            <v>Cl. St. + WIP + P&amp; L</v>
          </cell>
        </row>
        <row r="151">
          <cell r="E151" t="str">
            <v>Sub-total</v>
          </cell>
        </row>
        <row r="152">
          <cell r="E152" t="str">
            <v>Total Closing Stock</v>
          </cell>
        </row>
        <row r="153">
          <cell r="E153" t="str">
            <v>TOTAL</v>
          </cell>
        </row>
        <row r="155">
          <cell r="D155" t="str">
            <v>EMPLOYEE BENEFITS EXPENSES</v>
          </cell>
        </row>
        <row r="156">
          <cell r="E156" t="str">
            <v>Salaries , Wages, Bonus etc.</v>
          </cell>
        </row>
        <row r="157">
          <cell r="D157" t="str">
            <v>0066</v>
          </cell>
          <cell r="E157" t="str">
            <v>EST - LBR Re-Location  Allowance</v>
          </cell>
        </row>
        <row r="158">
          <cell r="C158">
            <v>13204</v>
          </cell>
          <cell r="D158" t="str">
            <v>6410</v>
          </cell>
          <cell r="E158" t="str">
            <v>Est Off-  Basic/Salary, Wages &amp; Other Benefits</v>
          </cell>
        </row>
        <row r="159">
          <cell r="D159" t="str">
            <v>6412</v>
          </cell>
          <cell r="E159" t="str">
            <v>COLA - Officers</v>
          </cell>
        </row>
        <row r="160">
          <cell r="D160" t="str">
            <v>6415</v>
          </cell>
          <cell r="E160" t="str">
            <v>Est Off - House rent allowance</v>
          </cell>
        </row>
        <row r="161">
          <cell r="D161" t="str">
            <v>6420</v>
          </cell>
          <cell r="E161" t="str">
            <v>Est Off - Education allowance</v>
          </cell>
        </row>
        <row r="162">
          <cell r="D162" t="str">
            <v>6421</v>
          </cell>
          <cell r="E162" t="str">
            <v>Est - Officers Conveyance</v>
          </cell>
        </row>
        <row r="163">
          <cell r="D163" t="str">
            <v>6422</v>
          </cell>
          <cell r="E163" t="str">
            <v>Est Off - Personnel Pay</v>
          </cell>
        </row>
        <row r="164">
          <cell r="D164" t="str">
            <v>6423</v>
          </cell>
          <cell r="E164" t="str">
            <v>Est - Officer Books &amp; Periodicals</v>
          </cell>
        </row>
        <row r="165">
          <cell r="D165" t="str">
            <v>6425</v>
          </cell>
          <cell r="E165" t="str">
            <v>Est Off - Shift allowance</v>
          </cell>
        </row>
        <row r="166">
          <cell r="D166" t="str">
            <v>6429</v>
          </cell>
          <cell r="E166" t="str">
            <v>Est OffShifting House Hold Allowance</v>
          </cell>
        </row>
        <row r="167">
          <cell r="C167">
            <v>13207</v>
          </cell>
          <cell r="D167" t="str">
            <v>6435</v>
          </cell>
          <cell r="E167" t="str">
            <v>Est Off - LTA - 64351</v>
          </cell>
        </row>
        <row r="168">
          <cell r="D168" t="str">
            <v>6440</v>
          </cell>
          <cell r="E168" t="str">
            <v>Est Off - Bonus</v>
          </cell>
        </row>
        <row r="169">
          <cell r="C169">
            <v>13208</v>
          </cell>
          <cell r="D169" t="str">
            <v>6445</v>
          </cell>
          <cell r="E169" t="str">
            <v>Est Off - Exgratia</v>
          </cell>
        </row>
        <row r="170">
          <cell r="D170" t="str">
            <v>6446</v>
          </cell>
          <cell r="E170" t="str">
            <v>Est Officer - Perormance Incentive</v>
          </cell>
        </row>
        <row r="171">
          <cell r="D171" t="str">
            <v>6492</v>
          </cell>
          <cell r="E171" t="str">
            <v>Est-Labour-Mediclaim Service Expenses</v>
          </cell>
        </row>
        <row r="172">
          <cell r="C172">
            <v>13210</v>
          </cell>
          <cell r="D172" t="str">
            <v>6504</v>
          </cell>
          <cell r="E172" t="str">
            <v>Est Off - STIPEND A/C</v>
          </cell>
        </row>
        <row r="173">
          <cell r="D173" t="str">
            <v>6506</v>
          </cell>
          <cell r="E173" t="str">
            <v>Est Off - Attendance Wages</v>
          </cell>
        </row>
        <row r="174">
          <cell r="C174">
            <v>13223</v>
          </cell>
          <cell r="D174" t="str">
            <v>6510</v>
          </cell>
          <cell r="E174" t="str">
            <v>Est Staff - Basic/Salary, Wages &amp; Other Benefits</v>
          </cell>
        </row>
        <row r="175">
          <cell r="D175" t="str">
            <v>6512</v>
          </cell>
          <cell r="E175" t="str">
            <v>COAL - Staff</v>
          </cell>
        </row>
        <row r="176">
          <cell r="D176" t="str">
            <v>6520</v>
          </cell>
          <cell r="E176" t="str">
            <v>Est Staff - House rent allowance</v>
          </cell>
        </row>
        <row r="177">
          <cell r="D177" t="str">
            <v>6530</v>
          </cell>
          <cell r="E177" t="str">
            <v>Est Staff - Transport allowance</v>
          </cell>
        </row>
        <row r="178">
          <cell r="D178" t="str">
            <v>6531</v>
          </cell>
          <cell r="E178" t="str">
            <v>EST STAFF -  PERSONAL PAY</v>
          </cell>
        </row>
        <row r="179">
          <cell r="D179" t="str">
            <v>6535</v>
          </cell>
          <cell r="E179" t="str">
            <v>Est Staff - Shift allowance</v>
          </cell>
        </row>
        <row r="180">
          <cell r="D180" t="str">
            <v>6545</v>
          </cell>
          <cell r="E180" t="str">
            <v>Est Staff - OVERTIME</v>
          </cell>
        </row>
        <row r="181">
          <cell r="C181">
            <v>13225</v>
          </cell>
          <cell r="D181" t="str">
            <v>6550</v>
          </cell>
          <cell r="E181" t="str">
            <v>Est Staff - LTA</v>
          </cell>
        </row>
        <row r="182">
          <cell r="D182" t="str">
            <v>6555</v>
          </cell>
          <cell r="E182" t="str">
            <v>Est Staff - Bonus</v>
          </cell>
        </row>
        <row r="183">
          <cell r="C183">
            <v>13226</v>
          </cell>
          <cell r="D183" t="str">
            <v>6560</v>
          </cell>
          <cell r="E183" t="str">
            <v>Est Staff - Exgratia</v>
          </cell>
        </row>
        <row r="184">
          <cell r="D184" t="str">
            <v>6561</v>
          </cell>
          <cell r="E184" t="str">
            <v>Est Staff  - Peformance Incentive</v>
          </cell>
        </row>
        <row r="185">
          <cell r="C185">
            <v>13231</v>
          </cell>
          <cell r="D185" t="str">
            <v>6610</v>
          </cell>
          <cell r="E185" t="str">
            <v>Est Lbr - Basic/Salary, Wages &amp; Others</v>
          </cell>
        </row>
        <row r="186">
          <cell r="D186" t="str">
            <v>6612</v>
          </cell>
          <cell r="E186" t="str">
            <v>Est - Lbr - Arrears / LTS</v>
          </cell>
        </row>
        <row r="187">
          <cell r="D187" t="str">
            <v>6615</v>
          </cell>
          <cell r="E187" t="str">
            <v>Est Lbr - DA</v>
          </cell>
        </row>
        <row r="188">
          <cell r="D188" t="str">
            <v>6620</v>
          </cell>
          <cell r="E188" t="str">
            <v>Est Lbr - House rent allowance</v>
          </cell>
        </row>
        <row r="189">
          <cell r="D189" t="str">
            <v>6625</v>
          </cell>
          <cell r="E189" t="str">
            <v>Est Lbr - Education Transport Canteen  allowance</v>
          </cell>
        </row>
        <row r="190">
          <cell r="D190" t="str">
            <v>6630</v>
          </cell>
          <cell r="E190" t="str">
            <v>Est Lbr - Special allowance</v>
          </cell>
        </row>
        <row r="191">
          <cell r="D191" t="str">
            <v>6631</v>
          </cell>
          <cell r="E191" t="str">
            <v>Est Lbr - PLATING &amp; NIGHT SHIFT ALLOWANCE</v>
          </cell>
        </row>
        <row r="192">
          <cell r="D192" t="str">
            <v>6635</v>
          </cell>
          <cell r="E192" t="str">
            <v>Est Lbr - Shift allowance</v>
          </cell>
        </row>
        <row r="193">
          <cell r="D193" t="str">
            <v>6636</v>
          </cell>
          <cell r="E193" t="str">
            <v>Est Lbr - MEDICAL allowance</v>
          </cell>
        </row>
        <row r="194">
          <cell r="D194" t="str">
            <v>6645</v>
          </cell>
          <cell r="E194" t="str">
            <v>Est Lbr - Overtime</v>
          </cell>
        </row>
        <row r="195">
          <cell r="C195">
            <v>13233</v>
          </cell>
          <cell r="D195" t="str">
            <v>6650</v>
          </cell>
          <cell r="E195" t="str">
            <v>Est Lbr - LTA</v>
          </cell>
        </row>
        <row r="196">
          <cell r="D196" t="str">
            <v>6651</v>
          </cell>
          <cell r="E196" t="str">
            <v>Est Lbr - Relocation Allow</v>
          </cell>
        </row>
        <row r="197">
          <cell r="D197" t="str">
            <v>6652</v>
          </cell>
          <cell r="E197" t="str">
            <v>Est Lbr - Prpduction Incentive</v>
          </cell>
        </row>
        <row r="198">
          <cell r="D198" t="str">
            <v>6653</v>
          </cell>
          <cell r="E198" t="str">
            <v>Est Lbr - Attendance Bonus</v>
          </cell>
        </row>
        <row r="199">
          <cell r="D199" t="str">
            <v>6654</v>
          </cell>
          <cell r="E199" t="str">
            <v>Est Lbr - Multi Machine maint allow</v>
          </cell>
        </row>
        <row r="200">
          <cell r="D200" t="str">
            <v>6655</v>
          </cell>
          <cell r="E200" t="str">
            <v>Est Lbr - Bonus</v>
          </cell>
        </row>
        <row r="201">
          <cell r="C201">
            <v>13235</v>
          </cell>
          <cell r="D201" t="str">
            <v>6660</v>
          </cell>
          <cell r="E201" t="str">
            <v>Est Lbr - Exgratia</v>
          </cell>
        </row>
        <row r="202">
          <cell r="C202">
            <v>13213</v>
          </cell>
          <cell r="D202" t="str">
            <v>6676</v>
          </cell>
          <cell r="E202" t="str">
            <v>Managerial Remuneration</v>
          </cell>
        </row>
        <row r="203">
          <cell r="D203" t="str">
            <v>6693</v>
          </cell>
          <cell r="E203" t="str">
            <v>EST LBR - MULTI MACHINE MANNING ALLOW. (WAGES)</v>
          </cell>
        </row>
        <row r="204">
          <cell r="D204" t="str">
            <v>6694</v>
          </cell>
          <cell r="E204" t="str">
            <v>EST LBR - MEDICAL ALLOW (WAGES)</v>
          </cell>
        </row>
        <row r="205">
          <cell r="D205" t="str">
            <v>6696</v>
          </cell>
          <cell r="E205" t="str">
            <v>EST LBR MEDICAL ALLOWANCE</v>
          </cell>
        </row>
        <row r="206">
          <cell r="D206" t="str">
            <v>6710</v>
          </cell>
          <cell r="E206" t="str">
            <v>Est Cas -  Basic</v>
          </cell>
        </row>
        <row r="207">
          <cell r="D207" t="str">
            <v>6720</v>
          </cell>
          <cell r="E207" t="str">
            <v>Est Cas - House rent allowance</v>
          </cell>
        </row>
        <row r="208">
          <cell r="D208" t="str">
            <v>6730</v>
          </cell>
          <cell r="E208" t="str">
            <v>Est Cas - Overtime</v>
          </cell>
        </row>
        <row r="209">
          <cell r="D209" t="str">
            <v>6740</v>
          </cell>
          <cell r="E209" t="str">
            <v>Est Cas - Bonus</v>
          </cell>
        </row>
        <row r="210">
          <cell r="C210">
            <v>13308</v>
          </cell>
          <cell r="D210" t="str">
            <v>6780</v>
          </cell>
          <cell r="E210" t="str">
            <v>Contract Labour Exp.a/c</v>
          </cell>
        </row>
        <row r="211">
          <cell r="D211" t="str">
            <v>7395</v>
          </cell>
          <cell r="E211" t="str">
            <v>Gas,Electricity Charges</v>
          </cell>
        </row>
        <row r="212">
          <cell r="C212">
            <v>13283</v>
          </cell>
          <cell r="D212" t="str">
            <v>6490</v>
          </cell>
          <cell r="E212" t="str">
            <v>Est Off - Medicare services</v>
          </cell>
        </row>
        <row r="213">
          <cell r="C213">
            <v>13292</v>
          </cell>
          <cell r="E213" t="str">
            <v>MEDICLAIM STAFF</v>
          </cell>
        </row>
        <row r="214">
          <cell r="C214">
            <v>13293</v>
          </cell>
          <cell r="D214" t="str">
            <v>6595</v>
          </cell>
          <cell r="E214" t="str">
            <v>Est Staff - Medical Expenses</v>
          </cell>
        </row>
        <row r="215">
          <cell r="C215">
            <v>13300</v>
          </cell>
          <cell r="D215" t="str">
            <v>6695</v>
          </cell>
          <cell r="E215" t="str">
            <v>Est Lbr - Medical Expenses</v>
          </cell>
        </row>
        <row r="216">
          <cell r="C216">
            <v>13301</v>
          </cell>
          <cell r="E216" t="str">
            <v>Mediclaim - (Workers)</v>
          </cell>
        </row>
        <row r="217">
          <cell r="C217">
            <v>13281</v>
          </cell>
          <cell r="D217" t="str">
            <v>6485</v>
          </cell>
          <cell r="E217" t="str">
            <v>Est Off - Medical Expenses</v>
          </cell>
        </row>
        <row r="218">
          <cell r="D218" t="str">
            <v>7396</v>
          </cell>
          <cell r="E218" t="str">
            <v>Attendant Wages at Resi.</v>
          </cell>
        </row>
        <row r="219">
          <cell r="D219" t="str">
            <v>7426</v>
          </cell>
          <cell r="E219" t="str">
            <v>Admn Charges on DLIF</v>
          </cell>
        </row>
        <row r="221">
          <cell r="E221" t="str">
            <v>Sub-total</v>
          </cell>
        </row>
        <row r="222">
          <cell r="E222" t="str">
            <v>Contribution to Provident &amp; Other Funds</v>
          </cell>
        </row>
        <row r="223">
          <cell r="C223">
            <v>13245</v>
          </cell>
          <cell r="D223" t="str">
            <v>6455</v>
          </cell>
          <cell r="E223" t="str">
            <v>Est Off - Providend Fund</v>
          </cell>
        </row>
        <row r="224">
          <cell r="D224" t="str">
            <v>6460</v>
          </cell>
          <cell r="E224" t="str">
            <v>Est Off - Family Pension Fund</v>
          </cell>
        </row>
        <row r="225">
          <cell r="C225">
            <v>13247</v>
          </cell>
          <cell r="D225" t="str">
            <v>6470</v>
          </cell>
          <cell r="E225" t="str">
            <v>Est off - Deposit Link Insurance Fund</v>
          </cell>
        </row>
        <row r="226">
          <cell r="C226">
            <v>13250</v>
          </cell>
          <cell r="D226" t="str">
            <v>6475</v>
          </cell>
          <cell r="E226" t="str">
            <v>Est Off - ESIC</v>
          </cell>
        </row>
        <row r="227">
          <cell r="C227">
            <v>13249</v>
          </cell>
          <cell r="D227" t="str">
            <v>6480</v>
          </cell>
          <cell r="E227" t="str">
            <v>Est Off - Superannuation</v>
          </cell>
        </row>
        <row r="228">
          <cell r="C228">
            <v>13257</v>
          </cell>
          <cell r="D228" t="str">
            <v>6570</v>
          </cell>
          <cell r="E228" t="str">
            <v>Est Staff - Providend Fund</v>
          </cell>
        </row>
        <row r="229">
          <cell r="D229" t="str">
            <v>6575</v>
          </cell>
          <cell r="E229" t="str">
            <v>Est Staff - Family Pension Fund</v>
          </cell>
        </row>
        <row r="230">
          <cell r="E230" t="str">
            <v>Deposit Link Insurance Fund (Staff)</v>
          </cell>
        </row>
        <row r="231">
          <cell r="C231">
            <v>13261</v>
          </cell>
          <cell r="D231" t="str">
            <v>6590</v>
          </cell>
          <cell r="E231" t="str">
            <v>Est Staff - ESIC</v>
          </cell>
        </row>
        <row r="232">
          <cell r="C232">
            <v>13269</v>
          </cell>
          <cell r="D232" t="str">
            <v>6670</v>
          </cell>
          <cell r="E232" t="str">
            <v>Est Lbr - Providend Fund</v>
          </cell>
        </row>
        <row r="233">
          <cell r="D233" t="str">
            <v>6675</v>
          </cell>
          <cell r="E233" t="str">
            <v>Est Lbr - Family Pension Fund</v>
          </cell>
        </row>
        <row r="234">
          <cell r="C234">
            <v>13298</v>
          </cell>
          <cell r="D234" t="str">
            <v>6680</v>
          </cell>
          <cell r="E234" t="str">
            <v>Est Lbr - Maharashatra Labour Welfare Fund</v>
          </cell>
        </row>
        <row r="235">
          <cell r="D235" t="str">
            <v>6685</v>
          </cell>
          <cell r="E235" t="str">
            <v>Est Lbr - Deposit link Insurance Fund</v>
          </cell>
        </row>
        <row r="236">
          <cell r="C236">
            <v>13273</v>
          </cell>
          <cell r="D236" t="str">
            <v>6690</v>
          </cell>
          <cell r="E236" t="str">
            <v>Est Lbr - ESIC</v>
          </cell>
        </row>
        <row r="237">
          <cell r="D237" t="str">
            <v>6750</v>
          </cell>
          <cell r="E237" t="str">
            <v>Est  Cas - Providend Fund</v>
          </cell>
        </row>
        <row r="238">
          <cell r="D238" t="str">
            <v>6765</v>
          </cell>
          <cell r="E238" t="str">
            <v>Est Cas MLWF</v>
          </cell>
        </row>
        <row r="239">
          <cell r="D239" t="str">
            <v>6775</v>
          </cell>
          <cell r="E239" t="str">
            <v>Est Cas - ESIC</v>
          </cell>
        </row>
        <row r="240">
          <cell r="E240" t="str">
            <v>adjustment done in 2011-12</v>
          </cell>
        </row>
        <row r="241">
          <cell r="D241" t="str">
            <v>7425'</v>
          </cell>
          <cell r="E241" t="str">
            <v>Admn Charges on PF</v>
          </cell>
        </row>
        <row r="242">
          <cell r="E242" t="str">
            <v>Sub-total</v>
          </cell>
        </row>
        <row r="243">
          <cell r="E243" t="str">
            <v>Gratuity</v>
          </cell>
        </row>
        <row r="244">
          <cell r="C244">
            <v>13267</v>
          </cell>
          <cell r="D244" t="str">
            <v>6665</v>
          </cell>
          <cell r="E244" t="str">
            <v>Est Lbr - Gratuity</v>
          </cell>
        </row>
        <row r="245">
          <cell r="C245">
            <v>13255</v>
          </cell>
          <cell r="D245" t="str">
            <v>6565</v>
          </cell>
          <cell r="E245" t="str">
            <v>Est Staff - Gratuity</v>
          </cell>
        </row>
        <row r="246">
          <cell r="C246">
            <v>13243</v>
          </cell>
          <cell r="D246" t="str">
            <v>6450</v>
          </cell>
          <cell r="E246" t="str">
            <v>Est Off - Gratuity</v>
          </cell>
        </row>
        <row r="247">
          <cell r="E247" t="str">
            <v>Sub-total</v>
          </cell>
        </row>
        <row r="248">
          <cell r="E248" t="str">
            <v>Compensated Absences</v>
          </cell>
        </row>
        <row r="249">
          <cell r="D249" t="str">
            <v>6430</v>
          </cell>
          <cell r="E249" t="str">
            <v>Est Off - Encashment of Leave</v>
          </cell>
        </row>
        <row r="250">
          <cell r="D250" t="str">
            <v>6640</v>
          </cell>
          <cell r="E250" t="str">
            <v>Est Lbr - Encashment of Leave</v>
          </cell>
        </row>
        <row r="251">
          <cell r="D251" t="str">
            <v>6540</v>
          </cell>
          <cell r="E251" t="str">
            <v>Est Staff - Encashment of Leave</v>
          </cell>
        </row>
        <row r="252">
          <cell r="D252">
            <v>0</v>
          </cell>
        </row>
        <row r="253">
          <cell r="E253" t="str">
            <v>Sub-total</v>
          </cell>
        </row>
        <row r="254">
          <cell r="E254" t="str">
            <v>Staff Welfare Expenses</v>
          </cell>
        </row>
        <row r="255">
          <cell r="C255">
            <v>13285</v>
          </cell>
          <cell r="D255" t="str">
            <v>6495</v>
          </cell>
          <cell r="E255" t="str">
            <v>Est Off - Office Dress</v>
          </cell>
        </row>
        <row r="256">
          <cell r="C256">
            <v>13287</v>
          </cell>
          <cell r="D256" t="str">
            <v>6496</v>
          </cell>
          <cell r="E256" t="str">
            <v>Est Off - Soft Furnisings</v>
          </cell>
        </row>
        <row r="257">
          <cell r="D257" t="str">
            <v>6500</v>
          </cell>
          <cell r="E257" t="str">
            <v>Est Off - Washing Allowance</v>
          </cell>
        </row>
        <row r="258">
          <cell r="D258" t="str">
            <v>6505</v>
          </cell>
          <cell r="E258" t="str">
            <v>Est Officers - Canteen</v>
          </cell>
        </row>
        <row r="259">
          <cell r="D259" t="str">
            <v>6600</v>
          </cell>
          <cell r="E259" t="str">
            <v>Est Staff - Canteen</v>
          </cell>
        </row>
        <row r="260">
          <cell r="D260" t="str">
            <v>6700</v>
          </cell>
          <cell r="E260" t="str">
            <v>Est Lbr - UNIFORM EXP.</v>
          </cell>
        </row>
        <row r="261">
          <cell r="C261">
            <v>13314</v>
          </cell>
          <cell r="D261" t="str">
            <v>7000</v>
          </cell>
          <cell r="E261" t="str">
            <v>Welfare -Canteen  - Lunch/Dinner</v>
          </cell>
        </row>
        <row r="262">
          <cell r="D262" t="str">
            <v>7005</v>
          </cell>
          <cell r="E262" t="str">
            <v>Welfare - Canteen Exp - Tea, Milk, Sugar</v>
          </cell>
        </row>
        <row r="263">
          <cell r="D263" t="str">
            <v>7010</v>
          </cell>
          <cell r="E263" t="str">
            <v>Welfare - Canteen Exp - Cooking Fuel</v>
          </cell>
        </row>
        <row r="264">
          <cell r="D264" t="str">
            <v>7015</v>
          </cell>
          <cell r="E264" t="str">
            <v>Welfare - Canteen Exp - Guest/Others</v>
          </cell>
        </row>
        <row r="265">
          <cell r="C265">
            <v>13316</v>
          </cell>
          <cell r="D265" t="str">
            <v>7020</v>
          </cell>
          <cell r="E265" t="str">
            <v>Welfare - First Aid</v>
          </cell>
        </row>
        <row r="266">
          <cell r="D266" t="str">
            <v>7030</v>
          </cell>
          <cell r="E266" t="str">
            <v>Welfare - Uniform Washing</v>
          </cell>
        </row>
        <row r="267">
          <cell r="C267">
            <v>13318</v>
          </cell>
          <cell r="D267" t="str">
            <v>7040</v>
          </cell>
          <cell r="E267" t="str">
            <v>Welfare Jeep Bus Car Hire Charges</v>
          </cell>
        </row>
        <row r="268">
          <cell r="D268" t="str">
            <v>7045</v>
          </cell>
          <cell r="E268" t="str">
            <v>Puja (Festival) Expenses</v>
          </cell>
        </row>
        <row r="269">
          <cell r="C269">
            <v>13320</v>
          </cell>
          <cell r="D269" t="str">
            <v>7050</v>
          </cell>
          <cell r="E269" t="str">
            <v>Welfare - Others</v>
          </cell>
        </row>
        <row r="270">
          <cell r="D270" t="str">
            <v>7661</v>
          </cell>
          <cell r="E270" t="str">
            <v>Welfare - Guest House exp</v>
          </cell>
        </row>
        <row r="272">
          <cell r="E272" t="str">
            <v>Sub-total</v>
          </cell>
        </row>
        <row r="273">
          <cell r="E273" t="str">
            <v>TOTAL</v>
          </cell>
        </row>
        <row r="275">
          <cell r="D275" t="str">
            <v>FINANCE COST</v>
          </cell>
        </row>
        <row r="276">
          <cell r="E276" t="str">
            <v>Interest on Borrowings</v>
          </cell>
        </row>
        <row r="277">
          <cell r="C277">
            <v>13853</v>
          </cell>
          <cell r="D277" t="str">
            <v>7610</v>
          </cell>
          <cell r="E277" t="str">
            <v>Interest on Cash Credit</v>
          </cell>
        </row>
        <row r="278">
          <cell r="D278" t="str">
            <v>7615</v>
          </cell>
          <cell r="E278" t="str">
            <v>Interest on Packing Credit</v>
          </cell>
        </row>
        <row r="279">
          <cell r="D279" t="str">
            <v>7620</v>
          </cell>
          <cell r="E279" t="str">
            <v>Int on BL/ Dimple Drums (2012-13) &amp;Interest On Post Shipment Packing Credit (2011-12)</v>
          </cell>
        </row>
        <row r="280">
          <cell r="D280" t="str">
            <v>7625</v>
          </cell>
          <cell r="E280" t="str">
            <v>Interest on Demand loan</v>
          </cell>
        </row>
        <row r="281">
          <cell r="C281">
            <v>13854</v>
          </cell>
          <cell r="D281" t="str">
            <v>7630</v>
          </cell>
          <cell r="E281" t="str">
            <v>Interest on Loan - FCL/Vysya Bank</v>
          </cell>
        </row>
        <row r="282">
          <cell r="C282">
            <v>13858</v>
          </cell>
          <cell r="D282" t="str">
            <v>7645</v>
          </cell>
          <cell r="E282" t="str">
            <v>Interest On Loan Taken From Companies</v>
          </cell>
        </row>
        <row r="283">
          <cell r="E283" t="str">
            <v>Sub-total</v>
          </cell>
        </row>
        <row r="284">
          <cell r="E284" t="str">
            <v>Other Interest</v>
          </cell>
        </row>
        <row r="285">
          <cell r="C285">
            <v>13855</v>
          </cell>
          <cell r="D285" t="str">
            <v>7640</v>
          </cell>
          <cell r="E285" t="str">
            <v>Other Interest</v>
          </cell>
        </row>
        <row r="287">
          <cell r="E287" t="str">
            <v>Sub-total</v>
          </cell>
        </row>
        <row r="288">
          <cell r="E288" t="str">
            <v>Interest on Others &amp; Bank Charges</v>
          </cell>
        </row>
        <row r="289">
          <cell r="C289">
            <v>13773</v>
          </cell>
          <cell r="D289" t="str">
            <v>7520</v>
          </cell>
          <cell r="E289" t="str">
            <v>Bank Charges L/c &amp; BG</v>
          </cell>
        </row>
        <row r="290">
          <cell r="D290" t="str">
            <v>7521</v>
          </cell>
          <cell r="E290" t="str">
            <v>Bank Charges Packing Credit</v>
          </cell>
        </row>
        <row r="291">
          <cell r="D291" t="str">
            <v>7522</v>
          </cell>
          <cell r="E291" t="str">
            <v>Other Bank Charges</v>
          </cell>
        </row>
        <row r="292">
          <cell r="E292" t="str">
            <v>Interest on Current  + Valerex</v>
          </cell>
        </row>
        <row r="293">
          <cell r="D293" t="str">
            <v>7646</v>
          </cell>
          <cell r="E293" t="str">
            <v>BILLS DISCOUNTING CHG.</v>
          </cell>
        </row>
        <row r="294">
          <cell r="E294" t="str">
            <v>Sub-total</v>
          </cell>
        </row>
        <row r="295">
          <cell r="E295" t="str">
            <v>TOTAL</v>
          </cell>
        </row>
        <row r="297">
          <cell r="D297" t="str">
            <v>DEPRECIATION AND AMORTISATION EXPENSES</v>
          </cell>
        </row>
        <row r="298">
          <cell r="D298" t="str">
            <v>7700</v>
          </cell>
          <cell r="E298" t="str">
            <v>Depreciation</v>
          </cell>
        </row>
        <row r="299">
          <cell r="E299" t="str">
            <v>Depreciation - Leasehold Land</v>
          </cell>
        </row>
        <row r="300">
          <cell r="E300" t="str">
            <v>Depreciation - Building</v>
          </cell>
        </row>
        <row r="301">
          <cell r="E301" t="str">
            <v>Depreciation - Ownership Flats</v>
          </cell>
        </row>
        <row r="302">
          <cell r="E302" t="str">
            <v>Depreciation - Plant &amp; Machinery</v>
          </cell>
        </row>
        <row r="303">
          <cell r="E303" t="str">
            <v>Depreciation - Computers</v>
          </cell>
        </row>
        <row r="304">
          <cell r="E304" t="str">
            <v>Depreciation - Furniture &amp; Fittings</v>
          </cell>
        </row>
        <row r="305">
          <cell r="E305" t="str">
            <v>Depreciation - Vehicles</v>
          </cell>
        </row>
        <row r="306">
          <cell r="C306">
            <v>13887</v>
          </cell>
          <cell r="E306" t="str">
            <v>Depreciation - Enabling Assets</v>
          </cell>
        </row>
        <row r="307">
          <cell r="E307" t="str">
            <v>TOTAL</v>
          </cell>
        </row>
        <row r="309">
          <cell r="D309" t="str">
            <v>OTHER EXPENSES</v>
          </cell>
        </row>
        <row r="310">
          <cell r="D310" t="str">
            <v>Consumption of stores,spares &amp; others</v>
          </cell>
        </row>
        <row r="311">
          <cell r="C311">
            <v>13110</v>
          </cell>
          <cell r="D311" t="str">
            <v>6055</v>
          </cell>
          <cell r="E311" t="str">
            <v>Op.Stock - Stores Spares &amp; Consum</v>
          </cell>
        </row>
        <row r="312">
          <cell r="C312">
            <v>15071</v>
          </cell>
          <cell r="D312" t="str">
            <v>6060</v>
          </cell>
          <cell r="E312" t="str">
            <v>Purchase A/c -  Spare Parts { Local }</v>
          </cell>
        </row>
        <row r="313">
          <cell r="D313" t="str">
            <v>6070</v>
          </cell>
          <cell r="E313" t="str">
            <v>Purchase A/c -  Spare Parts { Imported)</v>
          </cell>
        </row>
        <row r="314">
          <cell r="D314" t="str">
            <v>6075</v>
          </cell>
          <cell r="E314" t="str">
            <v>Op Stock consuables</v>
          </cell>
        </row>
        <row r="315">
          <cell r="D315" t="str">
            <v>6080</v>
          </cell>
          <cell r="E315" t="str">
            <v>Purchase A/c -  Consumables  { Imported }</v>
          </cell>
        </row>
        <row r="316">
          <cell r="D316" t="str">
            <v>6090</v>
          </cell>
          <cell r="E316" t="str">
            <v>Purchase A/c -  Consumables  { Local }</v>
          </cell>
        </row>
        <row r="317">
          <cell r="C317">
            <v>13115</v>
          </cell>
          <cell r="D317" t="str">
            <v>6250</v>
          </cell>
          <cell r="E317" t="str">
            <v>Other Manufacturing Exp/ Services</v>
          </cell>
        </row>
        <row r="318">
          <cell r="D318" t="str">
            <v>6060e</v>
          </cell>
          <cell r="E318" t="str">
            <v>Stores Spares Consumed</v>
          </cell>
        </row>
        <row r="319">
          <cell r="C319">
            <v>13117</v>
          </cell>
          <cell r="D319" t="str">
            <v>8985</v>
          </cell>
          <cell r="E319" t="str">
            <v>Cl. St. - Store Spares &amp; Consum - P&amp;L</v>
          </cell>
        </row>
        <row r="320">
          <cell r="E320" t="str">
            <v>Stores, Spare Parts, Consumables Consumed</v>
          </cell>
        </row>
        <row r="321">
          <cell r="E321" t="str">
            <v>Other Manufacturing Exp/ Services</v>
          </cell>
        </row>
        <row r="322">
          <cell r="E322" t="str">
            <v>Sub-total</v>
          </cell>
        </row>
        <row r="323">
          <cell r="D323" t="str">
            <v>Power &amp; Fuel</v>
          </cell>
        </row>
        <row r="324">
          <cell r="C324">
            <v>13121</v>
          </cell>
          <cell r="D324" t="str">
            <v>6210</v>
          </cell>
          <cell r="E324" t="str">
            <v>Power &amp; Fuel / Factory</v>
          </cell>
        </row>
        <row r="325">
          <cell r="C325">
            <v>13384</v>
          </cell>
          <cell r="D325" t="str">
            <v>6220</v>
          </cell>
          <cell r="E325" t="str">
            <v>Water</v>
          </cell>
        </row>
        <row r="326">
          <cell r="C326">
            <v>13124</v>
          </cell>
          <cell r="D326" t="str">
            <v>6211</v>
          </cell>
          <cell r="E326" t="str">
            <v>Power &amp; Fuel - Office</v>
          </cell>
        </row>
        <row r="327">
          <cell r="E327" t="str">
            <v>Sub-total</v>
          </cell>
        </row>
        <row r="328">
          <cell r="D328" t="str">
            <v>Screen Printing Charges</v>
          </cell>
        </row>
        <row r="329">
          <cell r="C329">
            <v>13704</v>
          </cell>
          <cell r="D329" t="str">
            <v>6230</v>
          </cell>
          <cell r="E329" t="str">
            <v>Screen Printing Charges</v>
          </cell>
        </row>
        <row r="331">
          <cell r="E331" t="str">
            <v>Sub-total</v>
          </cell>
        </row>
        <row r="332">
          <cell r="D332" t="str">
            <v>Repairs</v>
          </cell>
        </row>
        <row r="333">
          <cell r="E333" t="str">
            <v>Plant and Machinery</v>
          </cell>
        </row>
        <row r="334">
          <cell r="C334">
            <v>13132</v>
          </cell>
          <cell r="D334" t="str">
            <v>6310</v>
          </cell>
          <cell r="E334" t="str">
            <v>Repairs &amp; Maint + Plant &amp; Machinery</v>
          </cell>
        </row>
        <row r="336">
          <cell r="E336" t="str">
            <v>Sub-total</v>
          </cell>
        </row>
        <row r="337">
          <cell r="E337" t="str">
            <v>Building &amp; Flat</v>
          </cell>
        </row>
        <row r="338">
          <cell r="C338">
            <v>13137</v>
          </cell>
          <cell r="D338" t="str">
            <v>6320</v>
          </cell>
          <cell r="E338" t="str">
            <v>Repairs &amp; Maint + Building/Flat</v>
          </cell>
        </row>
        <row r="339">
          <cell r="C339">
            <v>13139</v>
          </cell>
          <cell r="D339" t="str">
            <v>7473</v>
          </cell>
          <cell r="E339" t="str">
            <v>Garden Maint.</v>
          </cell>
        </row>
        <row r="340">
          <cell r="E340" t="str">
            <v>Sub-total</v>
          </cell>
        </row>
        <row r="341">
          <cell r="E341" t="str">
            <v>Repairs Others</v>
          </cell>
        </row>
        <row r="342">
          <cell r="C342">
            <v>13141</v>
          </cell>
          <cell r="D342" t="str">
            <v>6315</v>
          </cell>
          <cell r="E342" t="str">
            <v>Repairs to Furniture /Equipment</v>
          </cell>
        </row>
        <row r="343">
          <cell r="C343">
            <v>13146</v>
          </cell>
          <cell r="D343" t="str">
            <v>6330</v>
          </cell>
          <cell r="E343" t="str">
            <v>Repairs &amp; Maint - Electricals</v>
          </cell>
        </row>
        <row r="344">
          <cell r="C344">
            <v>13148</v>
          </cell>
          <cell r="D344" t="str">
            <v>6340</v>
          </cell>
          <cell r="E344" t="str">
            <v>Repairs &amp; Maint - Others</v>
          </cell>
        </row>
        <row r="345">
          <cell r="E345" t="str">
            <v>Sub-total</v>
          </cell>
        </row>
        <row r="346">
          <cell r="D346" t="str">
            <v>Rent</v>
          </cell>
        </row>
        <row r="347">
          <cell r="C347">
            <v>13381</v>
          </cell>
          <cell r="D347" t="str">
            <v>7100</v>
          </cell>
          <cell r="E347" t="str">
            <v>Rent</v>
          </cell>
        </row>
        <row r="349">
          <cell r="E349" t="str">
            <v>Sub-total</v>
          </cell>
        </row>
        <row r="350">
          <cell r="D350" t="str">
            <v>Rates &amp; Taxes</v>
          </cell>
        </row>
        <row r="351">
          <cell r="C351">
            <v>13385</v>
          </cell>
          <cell r="D351" t="str">
            <v>7110</v>
          </cell>
          <cell r="E351" t="str">
            <v>Rates &amp; Taxes</v>
          </cell>
        </row>
        <row r="352">
          <cell r="C352">
            <v>13386</v>
          </cell>
          <cell r="D352" t="str">
            <v>7111</v>
          </cell>
          <cell r="E352" t="str">
            <v>Service Tax on Transport</v>
          </cell>
        </row>
        <row r="353">
          <cell r="E353" t="str">
            <v>Service Tax Expenses</v>
          </cell>
        </row>
        <row r="354">
          <cell r="C354">
            <v>13387</v>
          </cell>
          <cell r="D354" t="str">
            <v>7120</v>
          </cell>
          <cell r="E354" t="str">
            <v>Professional Tax</v>
          </cell>
        </row>
        <row r="355">
          <cell r="E355" t="str">
            <v>Sub-total</v>
          </cell>
        </row>
        <row r="356">
          <cell r="D356" t="str">
            <v>Insurance</v>
          </cell>
        </row>
        <row r="357">
          <cell r="C357">
            <v>13393</v>
          </cell>
          <cell r="D357" t="str">
            <v>7160</v>
          </cell>
          <cell r="E357" t="str">
            <v>Insurance</v>
          </cell>
        </row>
        <row r="359">
          <cell r="E359" t="str">
            <v>Sub-total</v>
          </cell>
        </row>
        <row r="360">
          <cell r="D360" t="str">
            <v>Communication Charges (Telephone , Telex &amp; Fax Expenses)</v>
          </cell>
        </row>
        <row r="361">
          <cell r="C361">
            <v>13563</v>
          </cell>
          <cell r="D361" t="str">
            <v>7500</v>
          </cell>
          <cell r="E361" t="str">
            <v>Telephone, Telex &amp; Fax Expenses</v>
          </cell>
        </row>
        <row r="363">
          <cell r="E363" t="str">
            <v>Sub-total</v>
          </cell>
        </row>
        <row r="364">
          <cell r="D364" t="str">
            <v>Printing &amp; Stationery Expenses</v>
          </cell>
        </row>
        <row r="365">
          <cell r="C365">
            <v>13558</v>
          </cell>
          <cell r="D365" t="str">
            <v>7460</v>
          </cell>
          <cell r="E365" t="str">
            <v>Printing &amp; Stationery</v>
          </cell>
        </row>
        <row r="366">
          <cell r="D366" t="str">
            <v>7461</v>
          </cell>
          <cell r="E366" t="str">
            <v>Computer Stationery</v>
          </cell>
        </row>
        <row r="367">
          <cell r="C367">
            <v>13559</v>
          </cell>
          <cell r="D367" t="str">
            <v>7495</v>
          </cell>
          <cell r="E367" t="str">
            <v>Photo Copying Expenses</v>
          </cell>
        </row>
        <row r="368">
          <cell r="E368" t="str">
            <v>Sub-total</v>
          </cell>
        </row>
        <row r="369">
          <cell r="D369" t="str">
            <v>System and Software Expenses</v>
          </cell>
        </row>
        <row r="370">
          <cell r="C370">
            <v>13606</v>
          </cell>
          <cell r="D370" t="str">
            <v>7445</v>
          </cell>
          <cell r="E370" t="str">
            <v>System Expenses</v>
          </cell>
        </row>
        <row r="372">
          <cell r="E372" t="str">
            <v>Sub-total</v>
          </cell>
        </row>
        <row r="373">
          <cell r="D373" t="str">
            <v>Travelling, Conveyance and Car Expenses</v>
          </cell>
        </row>
        <row r="374">
          <cell r="E374" t="str">
            <v>Travelling Expenses</v>
          </cell>
        </row>
        <row r="375">
          <cell r="C375">
            <v>13448</v>
          </cell>
          <cell r="D375" t="str">
            <v>7210</v>
          </cell>
          <cell r="E375" t="str">
            <v>Trav exp -Foreign/Local  (  )</v>
          </cell>
        </row>
        <row r="376">
          <cell r="C376">
            <v>13446</v>
          </cell>
          <cell r="E376" t="str">
            <v>Directors Travelling Exps.</v>
          </cell>
        </row>
        <row r="377">
          <cell r="C377">
            <v>13447</v>
          </cell>
          <cell r="E377" t="str">
            <v>Foreigner's Travelling Exps.</v>
          </cell>
        </row>
        <row r="378">
          <cell r="D378" t="str">
            <v>7211</v>
          </cell>
          <cell r="E378" t="str">
            <v>Foreign Travel Exp./-Other</v>
          </cell>
        </row>
        <row r="379">
          <cell r="D379" t="str">
            <v>7212</v>
          </cell>
          <cell r="E379" t="str">
            <v>Trav. Exp Employes Tour</v>
          </cell>
        </row>
        <row r="380">
          <cell r="D380" t="str">
            <v>7214</v>
          </cell>
          <cell r="E380" t="str">
            <v>Trav. Exp. Others</v>
          </cell>
        </row>
        <row r="381">
          <cell r="C381">
            <v>13449</v>
          </cell>
          <cell r="D381" t="str">
            <v>7220</v>
          </cell>
          <cell r="E381" t="str">
            <v>Trav. Exp. Off. - Ticket</v>
          </cell>
        </row>
        <row r="382">
          <cell r="D382" t="str">
            <v>7221</v>
          </cell>
          <cell r="E382" t="str">
            <v>Trav. Exp. Off. - Others</v>
          </cell>
        </row>
        <row r="383">
          <cell r="D383" t="str">
            <v>7230</v>
          </cell>
          <cell r="E383" t="str">
            <v>Trav. Exp. Others - Tkt</v>
          </cell>
        </row>
        <row r="384">
          <cell r="D384" t="str">
            <v>7231</v>
          </cell>
          <cell r="E384" t="str">
            <v>Trav. Exp. Others - Others</v>
          </cell>
        </row>
        <row r="385">
          <cell r="C385">
            <v>13450</v>
          </cell>
          <cell r="D385" t="str">
            <v>7240</v>
          </cell>
          <cell r="E385" t="str">
            <v>Trav. Exp. - Conveyance</v>
          </cell>
        </row>
        <row r="386">
          <cell r="D386">
            <v>0</v>
          </cell>
          <cell r="E386" t="str">
            <v>Trav. Exp. - Staff</v>
          </cell>
        </row>
        <row r="387">
          <cell r="D387" t="str">
            <v>7250</v>
          </cell>
          <cell r="E387" t="str">
            <v>Trav. Exp. - Car / Bus Hire Charges</v>
          </cell>
        </row>
        <row r="388">
          <cell r="E388" t="str">
            <v>Sub-total</v>
          </cell>
        </row>
        <row r="389">
          <cell r="E389" t="str">
            <v>Car Expenses</v>
          </cell>
        </row>
        <row r="390">
          <cell r="C390">
            <v>13573</v>
          </cell>
          <cell r="D390" t="str">
            <v>7650</v>
          </cell>
          <cell r="E390" t="str">
            <v>Car Expenses -  Petrol</v>
          </cell>
        </row>
        <row r="391">
          <cell r="D391" t="str">
            <v>7651</v>
          </cell>
          <cell r="E391" t="str">
            <v>Car Expenses -  Repairs</v>
          </cell>
        </row>
        <row r="392">
          <cell r="D392" t="str">
            <v>7652</v>
          </cell>
          <cell r="E392" t="str">
            <v>Car Expenses -  Driver's Salary</v>
          </cell>
        </row>
        <row r="393">
          <cell r="D393" t="str">
            <v>7653</v>
          </cell>
          <cell r="E393" t="str">
            <v>Car Expenses -  Others ( Tax/Insu/Pass/Parking)</v>
          </cell>
        </row>
        <row r="394">
          <cell r="E394" t="str">
            <v>Sub-total</v>
          </cell>
        </row>
        <row r="395">
          <cell r="D395" t="str">
            <v>Security , Safety &amp; Sanitation</v>
          </cell>
        </row>
        <row r="396">
          <cell r="C396">
            <v>13428</v>
          </cell>
          <cell r="D396" t="str">
            <v>7360</v>
          </cell>
          <cell r="E396" t="str">
            <v>Security</v>
          </cell>
        </row>
        <row r="397">
          <cell r="C397">
            <v>13429</v>
          </cell>
          <cell r="D397" t="str">
            <v>7370</v>
          </cell>
          <cell r="E397" t="str">
            <v>Safety &amp; Sanitation</v>
          </cell>
        </row>
        <row r="399">
          <cell r="E399" t="str">
            <v>Sub-total</v>
          </cell>
        </row>
        <row r="400">
          <cell r="D400" t="str">
            <v>Legal, Professional &amp; Secreterial Exp.</v>
          </cell>
        </row>
        <row r="401">
          <cell r="C401">
            <v>13539</v>
          </cell>
          <cell r="D401" t="str">
            <v>7260</v>
          </cell>
          <cell r="E401" t="str">
            <v>Legal Expenses</v>
          </cell>
        </row>
        <row r="402">
          <cell r="C402">
            <v>13540</v>
          </cell>
          <cell r="D402" t="str">
            <v>7265</v>
          </cell>
          <cell r="E402" t="str">
            <v>Professional Expenses</v>
          </cell>
        </row>
        <row r="403">
          <cell r="D403" t="str">
            <v>7270</v>
          </cell>
          <cell r="E403" t="str">
            <v>Secretarial Expenses - Registrar Fees</v>
          </cell>
        </row>
        <row r="404">
          <cell r="C404">
            <v>13542</v>
          </cell>
          <cell r="D404" t="str">
            <v>7271</v>
          </cell>
          <cell r="E404" t="str">
            <v>Secretarial Expenses - Postage</v>
          </cell>
        </row>
        <row r="405">
          <cell r="D405" t="str">
            <v>7272</v>
          </cell>
          <cell r="E405" t="str">
            <v>Secretarial Expenses - STATIONARY</v>
          </cell>
        </row>
        <row r="406">
          <cell r="D406" t="str">
            <v>7273</v>
          </cell>
          <cell r="E406" t="str">
            <v>Secretarial Expenses - Others</v>
          </cell>
        </row>
        <row r="407">
          <cell r="E407" t="str">
            <v>Sub-total</v>
          </cell>
        </row>
        <row r="408">
          <cell r="D408" t="str">
            <v>Freight &amp; transport expenses</v>
          </cell>
        </row>
        <row r="409">
          <cell r="C409">
            <v>13475</v>
          </cell>
          <cell r="D409" t="str">
            <v>7285</v>
          </cell>
          <cell r="E409" t="str">
            <v>Freight &amp; Transport - Local</v>
          </cell>
        </row>
        <row r="410">
          <cell r="C410">
            <v>13476</v>
          </cell>
          <cell r="D410" t="str">
            <v>7286</v>
          </cell>
          <cell r="E410" t="str">
            <v>Loading &amp; Unloading Exp</v>
          </cell>
        </row>
        <row r="411">
          <cell r="D411" t="str">
            <v>7287</v>
          </cell>
          <cell r="E411" t="str">
            <v>Freight Detention Chgs</v>
          </cell>
        </row>
        <row r="412">
          <cell r="C412">
            <v>13478</v>
          </cell>
          <cell r="D412" t="str">
            <v>7288</v>
          </cell>
          <cell r="E412" t="str">
            <v>Freight on Rejected Drums</v>
          </cell>
        </row>
        <row r="413">
          <cell r="C413">
            <v>13479</v>
          </cell>
          <cell r="D413" t="str">
            <v>7289</v>
          </cell>
          <cell r="E413" t="str">
            <v>Freight - Thanpi &amp; Toll Charges</v>
          </cell>
        </row>
        <row r="414">
          <cell r="C414">
            <v>13485</v>
          </cell>
          <cell r="D414" t="str">
            <v>7295</v>
          </cell>
          <cell r="E414" t="str">
            <v>Freight &amp; Transport  -  Exports</v>
          </cell>
        </row>
        <row r="415">
          <cell r="C415">
            <v>13483</v>
          </cell>
          <cell r="D415" t="str">
            <v>7290</v>
          </cell>
          <cell r="E415" t="str">
            <v>Freight &amp; Transport Recovered - Local</v>
          </cell>
        </row>
        <row r="416">
          <cell r="D416" t="str">
            <v>7297</v>
          </cell>
          <cell r="E416" t="str">
            <v>Freight/Charges on Rtn Goods</v>
          </cell>
        </row>
        <row r="417">
          <cell r="C417">
            <v>13486</v>
          </cell>
          <cell r="D417" t="str">
            <v>7300</v>
          </cell>
          <cell r="E417" t="str">
            <v>Freight &amp; Transport Recovered - Exports</v>
          </cell>
        </row>
        <row r="418">
          <cell r="C418">
            <v>13480</v>
          </cell>
          <cell r="D418" t="str">
            <v>7310</v>
          </cell>
          <cell r="E418" t="str">
            <v>Octroi -  Paid/Purchase</v>
          </cell>
        </row>
        <row r="419">
          <cell r="C419">
            <v>13484</v>
          </cell>
          <cell r="D419" t="str">
            <v>7315</v>
          </cell>
          <cell r="E419" t="str">
            <v>Octroi -  Recovered</v>
          </cell>
        </row>
        <row r="421">
          <cell r="E421" t="str">
            <v>Sub-total</v>
          </cell>
        </row>
        <row r="422">
          <cell r="D422" t="str">
            <v>Commission on Sales</v>
          </cell>
        </row>
        <row r="423">
          <cell r="C423">
            <v>13412</v>
          </cell>
          <cell r="D423" t="str">
            <v>7170</v>
          </cell>
          <cell r="E423" t="str">
            <v>Commission on Sale</v>
          </cell>
        </row>
        <row r="425">
          <cell r="E425" t="str">
            <v>Sub-total</v>
          </cell>
        </row>
        <row r="426">
          <cell r="D426" t="str">
            <v>Loss on Exchange</v>
          </cell>
        </row>
        <row r="427">
          <cell r="C427">
            <v>13738</v>
          </cell>
          <cell r="D427" t="str">
            <v>5195</v>
          </cell>
          <cell r="E427" t="str">
            <v>Realised  Gain/Loss  on Exchange</v>
          </cell>
        </row>
        <row r="428">
          <cell r="E428" t="str">
            <v>Loss/(Gain) on Exchange ()</v>
          </cell>
        </row>
        <row r="429">
          <cell r="C429">
            <v>13739</v>
          </cell>
          <cell r="D429" t="str">
            <v>5200</v>
          </cell>
          <cell r="E429" t="str">
            <v>Unrealised  Gain/Loss  on Exchange</v>
          </cell>
        </row>
        <row r="431">
          <cell r="E431" t="str">
            <v>Sub-total</v>
          </cell>
        </row>
        <row r="432">
          <cell r="D432" t="str">
            <v>Provision For Doubtful Debts</v>
          </cell>
        </row>
        <row r="433">
          <cell r="C433">
            <v>13526</v>
          </cell>
          <cell r="D433" t="str">
            <v>7355</v>
          </cell>
          <cell r="E433" t="str">
            <v>Provision &amp; Doubtful Debts/Advance</v>
          </cell>
        </row>
        <row r="434">
          <cell r="D434" t="str">
            <v>7351</v>
          </cell>
          <cell r="E434" t="str">
            <v>Adv. Wirtten off</v>
          </cell>
        </row>
        <row r="436">
          <cell r="E436" t="str">
            <v>Sub-total</v>
          </cell>
        </row>
        <row r="437">
          <cell r="D437" t="str">
            <v>Bad Debts</v>
          </cell>
        </row>
        <row r="438">
          <cell r="D438" t="str">
            <v>7350</v>
          </cell>
          <cell r="E438" t="str">
            <v>Bad Debts</v>
          </cell>
        </row>
        <row r="439">
          <cell r="C439">
            <v>13507</v>
          </cell>
          <cell r="E439" t="str">
            <v>ADV. WIRTTEN OFF</v>
          </cell>
        </row>
        <row r="440">
          <cell r="E440" t="str">
            <v>Sub-total</v>
          </cell>
        </row>
        <row r="441">
          <cell r="D441" t="str">
            <v>Miscellaneous Expenses</v>
          </cell>
        </row>
        <row r="442">
          <cell r="D442" t="str">
            <v>7380</v>
          </cell>
          <cell r="E442" t="str">
            <v>Business Development Exp</v>
          </cell>
        </row>
        <row r="443">
          <cell r="C443">
            <v>13596</v>
          </cell>
          <cell r="D443" t="str">
            <v>7390</v>
          </cell>
          <cell r="E443" t="str">
            <v>Books , News Papers and Periodicals</v>
          </cell>
        </row>
        <row r="444">
          <cell r="D444" t="str">
            <v>7395</v>
          </cell>
          <cell r="E444" t="str">
            <v>Gas,Electricity Charges</v>
          </cell>
        </row>
        <row r="445">
          <cell r="D445" t="str">
            <v>7396</v>
          </cell>
          <cell r="E445" t="str">
            <v>Attendant Wages at Resi.</v>
          </cell>
        </row>
        <row r="446">
          <cell r="C446">
            <v>13599</v>
          </cell>
          <cell r="D446" t="str">
            <v>7400</v>
          </cell>
          <cell r="E446" t="str">
            <v>Subscription - Club/ Inst</v>
          </cell>
        </row>
        <row r="447">
          <cell r="D447" t="str">
            <v>7405</v>
          </cell>
          <cell r="E447" t="str">
            <v>Subscription - Others</v>
          </cell>
        </row>
        <row r="448">
          <cell r="C448">
            <v>13600</v>
          </cell>
          <cell r="D448" t="str">
            <v>7410</v>
          </cell>
          <cell r="E448" t="str">
            <v>Postage/Telegram/Courier</v>
          </cell>
        </row>
        <row r="449">
          <cell r="C449">
            <v>13601</v>
          </cell>
          <cell r="D449" t="str">
            <v>7415</v>
          </cell>
          <cell r="E449" t="str">
            <v>Export Documentation Expenses</v>
          </cell>
        </row>
        <row r="450">
          <cell r="C450">
            <v>13602</v>
          </cell>
          <cell r="D450" t="str">
            <v>7420</v>
          </cell>
          <cell r="E450" t="str">
            <v>Selling Expenses (Samples)</v>
          </cell>
        </row>
        <row r="451">
          <cell r="D451" t="str">
            <v>7421</v>
          </cell>
          <cell r="E451" t="str">
            <v>Sales Incewntive ME</v>
          </cell>
        </row>
        <row r="452">
          <cell r="D452" t="str">
            <v>7422</v>
          </cell>
          <cell r="E452" t="str">
            <v>Collection Incentive</v>
          </cell>
        </row>
        <row r="453">
          <cell r="D453" t="str">
            <v>7425</v>
          </cell>
          <cell r="E453" t="str">
            <v>Admn Charges on PF</v>
          </cell>
        </row>
        <row r="454">
          <cell r="C454">
            <v>13603</v>
          </cell>
          <cell r="D454" t="str">
            <v>7430</v>
          </cell>
          <cell r="E454" t="str">
            <v>Advertisement</v>
          </cell>
        </row>
        <row r="455">
          <cell r="C455">
            <v>13604</v>
          </cell>
          <cell r="D455" t="str">
            <v>7435</v>
          </cell>
          <cell r="E455" t="str">
            <v>Meeting &amp; Conference Expenses</v>
          </cell>
        </row>
        <row r="456">
          <cell r="C456">
            <v>13605</v>
          </cell>
          <cell r="D456" t="str">
            <v>7440</v>
          </cell>
          <cell r="E456" t="str">
            <v>Entertainment Expenses</v>
          </cell>
        </row>
        <row r="457">
          <cell r="C457">
            <v>13607</v>
          </cell>
          <cell r="D457" t="str">
            <v>7455</v>
          </cell>
          <cell r="E457" t="str">
            <v>ISO Expenses</v>
          </cell>
        </row>
        <row r="458">
          <cell r="D458" t="str">
            <v>7469</v>
          </cell>
          <cell r="E458" t="str">
            <v>Discount  (Premium  F/Cover)</v>
          </cell>
        </row>
        <row r="459">
          <cell r="C459">
            <v>13608</v>
          </cell>
          <cell r="D459" t="str">
            <v>7470</v>
          </cell>
          <cell r="E459" t="str">
            <v>General Expenses - Office</v>
          </cell>
        </row>
        <row r="460">
          <cell r="D460" t="str">
            <v>7471</v>
          </cell>
          <cell r="E460" t="str">
            <v>General Expenses - Factory</v>
          </cell>
        </row>
        <row r="461">
          <cell r="C461">
            <v>13609</v>
          </cell>
          <cell r="D461" t="str">
            <v>7472</v>
          </cell>
          <cell r="E461" t="str">
            <v>Gift &amp; Presentation - Others</v>
          </cell>
        </row>
        <row r="462">
          <cell r="D462" t="str">
            <v>7474</v>
          </cell>
          <cell r="E462" t="str">
            <v>Gift  &amp; Presentation - Employees</v>
          </cell>
        </row>
        <row r="463">
          <cell r="C463">
            <v>13610</v>
          </cell>
          <cell r="D463" t="str">
            <v>7475</v>
          </cell>
          <cell r="E463" t="str">
            <v>Corporate Expenses (Central Services)</v>
          </cell>
        </row>
        <row r="464">
          <cell r="C464">
            <v>13611</v>
          </cell>
          <cell r="D464" t="str">
            <v>7480</v>
          </cell>
          <cell r="E464" t="str">
            <v>Staff Training (Other than Fees)</v>
          </cell>
        </row>
        <row r="465">
          <cell r="C465">
            <v>13612</v>
          </cell>
          <cell r="D465" t="str">
            <v>7485</v>
          </cell>
          <cell r="E465" t="str">
            <v>Recruitment Expenses</v>
          </cell>
        </row>
        <row r="466">
          <cell r="C466">
            <v>13613</v>
          </cell>
          <cell r="D466" t="str">
            <v>7490</v>
          </cell>
          <cell r="E466" t="str">
            <v>Courses and Conferences (Fees)</v>
          </cell>
        </row>
        <row r="467">
          <cell r="C467">
            <v>13639</v>
          </cell>
          <cell r="D467" t="str">
            <v>7505</v>
          </cell>
          <cell r="E467" t="str">
            <v>Donations</v>
          </cell>
        </row>
        <row r="469">
          <cell r="E469" t="str">
            <v>Sub-total</v>
          </cell>
        </row>
        <row r="470">
          <cell r="D470" t="str">
            <v>Director's Fees</v>
          </cell>
        </row>
        <row r="471">
          <cell r="D471" t="str">
            <v>7280</v>
          </cell>
          <cell r="E471" t="str">
            <v>Directors Fees</v>
          </cell>
        </row>
        <row r="472">
          <cell r="E472" t="str">
            <v>Sub-total</v>
          </cell>
        </row>
        <row r="473">
          <cell r="D473" t="str">
            <v>SDC+Shifting Expenses</v>
          </cell>
        </row>
        <row r="474">
          <cell r="D474" t="str">
            <v>7800</v>
          </cell>
          <cell r="E474" t="str">
            <v>Shifting Expenses</v>
          </cell>
        </row>
        <row r="475">
          <cell r="E475" t="str">
            <v>Sub-total</v>
          </cell>
        </row>
        <row r="476">
          <cell r="D476" t="str">
            <v>Loss on Sale of Fixed Assets</v>
          </cell>
        </row>
        <row r="477">
          <cell r="C477">
            <v>13672</v>
          </cell>
          <cell r="D477" t="str">
            <v>7450</v>
          </cell>
          <cell r="E477" t="str">
            <v>Loss on Sale Of Assets</v>
          </cell>
        </row>
        <row r="478">
          <cell r="E478" t="str">
            <v>Sub-total</v>
          </cell>
        </row>
        <row r="479">
          <cell r="D479" t="str">
            <v>Amortisation of Deferred Revenue Exp.</v>
          </cell>
        </row>
        <row r="480">
          <cell r="D480" t="str">
            <v>7530</v>
          </cell>
          <cell r="E480" t="str">
            <v>Misc Expenditure  ( W/off ) + Training Fees</v>
          </cell>
        </row>
        <row r="481">
          <cell r="E481" t="str">
            <v>Sub-total</v>
          </cell>
        </row>
        <row r="482">
          <cell r="D482" t="str">
            <v>ERP OTHER CODES</v>
          </cell>
        </row>
        <row r="483">
          <cell r="E483" t="str">
            <v>Edu Cess On Service Tax Expense</v>
          </cell>
        </row>
        <row r="484">
          <cell r="E484" t="str">
            <v>H Edu Cess On Service Tax Expense</v>
          </cell>
        </row>
        <row r="485">
          <cell r="E485" t="str">
            <v>Sub-total</v>
          </cell>
        </row>
        <row r="486">
          <cell r="D486" t="str">
            <v>Other Expenses</v>
          </cell>
        </row>
        <row r="488">
          <cell r="D488" t="str">
            <v>Total Expenditure</v>
          </cell>
        </row>
        <row r="490">
          <cell r="D490" t="str">
            <v>Net Profit Before Tax Expense</v>
          </cell>
        </row>
        <row r="491">
          <cell r="D491" t="str">
            <v>Tax Expense</v>
          </cell>
        </row>
        <row r="492">
          <cell r="C492">
            <v>13920</v>
          </cell>
          <cell r="D492" t="str">
            <v>8910</v>
          </cell>
          <cell r="E492" t="str">
            <v>Income Tax</v>
          </cell>
        </row>
        <row r="493">
          <cell r="D493" t="str">
            <v>8911</v>
          </cell>
          <cell r="E493" t="str">
            <v>Wealth Tax</v>
          </cell>
        </row>
        <row r="494">
          <cell r="C494">
            <v>13929</v>
          </cell>
          <cell r="D494" t="str">
            <v>8912</v>
          </cell>
          <cell r="E494" t="str">
            <v>Deffered Tax  (P&amp;L)</v>
          </cell>
        </row>
        <row r="495">
          <cell r="D495" t="str">
            <v>8913</v>
          </cell>
          <cell r="E495" t="str">
            <v>FBT</v>
          </cell>
        </row>
        <row r="497">
          <cell r="D497" t="str">
            <v>Net Profit After Tax Expense</v>
          </cell>
        </row>
        <row r="499">
          <cell r="D499" t="str">
            <v>Profit /(Loss) carried forward to B/s</v>
          </cell>
        </row>
        <row r="501">
          <cell r="D501" t="str">
            <v>BALANCE SHEET</v>
          </cell>
        </row>
        <row r="502">
          <cell r="D502" t="str">
            <v>Shareholder's Fund</v>
          </cell>
        </row>
        <row r="503">
          <cell r="E503" t="str">
            <v>(a) Share Capital</v>
          </cell>
        </row>
        <row r="504">
          <cell r="E504" t="str">
            <v>Subscribed and Paid up Capital</v>
          </cell>
        </row>
        <row r="505">
          <cell r="C505">
            <v>14005</v>
          </cell>
          <cell r="D505" t="str">
            <v>1000</v>
          </cell>
          <cell r="E505" t="str">
            <v>Share Capital</v>
          </cell>
        </row>
        <row r="507">
          <cell r="E507" t="str">
            <v>Sub-total</v>
          </cell>
        </row>
        <row r="508">
          <cell r="C508">
            <v>14006</v>
          </cell>
          <cell r="D508" t="str">
            <v>1004</v>
          </cell>
          <cell r="E508" t="str">
            <v>Forefited Shares</v>
          </cell>
        </row>
        <row r="509">
          <cell r="E509" t="str">
            <v>Sub-total</v>
          </cell>
        </row>
        <row r="510">
          <cell r="E510" t="str">
            <v>TOTAL</v>
          </cell>
        </row>
        <row r="511">
          <cell r="D511" t="str">
            <v>(b) Reserves and Surplus</v>
          </cell>
        </row>
        <row r="512">
          <cell r="E512" t="str">
            <v>Capital Reserve</v>
          </cell>
        </row>
        <row r="513">
          <cell r="C513">
            <v>14015</v>
          </cell>
          <cell r="D513" t="str">
            <v>1015</v>
          </cell>
          <cell r="E513" t="str">
            <v>Capital Reserve</v>
          </cell>
        </row>
        <row r="514">
          <cell r="E514" t="str">
            <v>Sub-total</v>
          </cell>
        </row>
        <row r="515">
          <cell r="E515" t="str">
            <v>Securities Premium</v>
          </cell>
        </row>
        <row r="516">
          <cell r="C516">
            <v>14018</v>
          </cell>
          <cell r="D516" t="str">
            <v>1030</v>
          </cell>
          <cell r="E516" t="str">
            <v>Share Premium</v>
          </cell>
        </row>
        <row r="517">
          <cell r="C517">
            <v>14019</v>
          </cell>
          <cell r="D517" t="str">
            <v>1032</v>
          </cell>
          <cell r="E517" t="str">
            <v>Forefited Share Premium Account</v>
          </cell>
        </row>
        <row r="518">
          <cell r="E518" t="str">
            <v>Sub-total</v>
          </cell>
        </row>
        <row r="519">
          <cell r="E519" t="str">
            <v>General Reserve</v>
          </cell>
        </row>
        <row r="520">
          <cell r="C520">
            <v>14026</v>
          </cell>
          <cell r="D520" t="str">
            <v>1010</v>
          </cell>
          <cell r="E520" t="str">
            <v>General Reserve</v>
          </cell>
        </row>
        <row r="521">
          <cell r="E521" t="str">
            <v>Fr. Surplus</v>
          </cell>
        </row>
        <row r="522">
          <cell r="E522" t="str">
            <v>Sub-total</v>
          </cell>
        </row>
        <row r="523">
          <cell r="E523" t="str">
            <v>Surplus in Statement of Profit and Loss</v>
          </cell>
        </row>
        <row r="524">
          <cell r="C524">
            <v>14033</v>
          </cell>
          <cell r="D524" t="str">
            <v>1050</v>
          </cell>
          <cell r="E524" t="str">
            <v>Profit &amp; Loss A/c</v>
          </cell>
        </row>
        <row r="525">
          <cell r="E525" t="str">
            <v>Profit for the year</v>
          </cell>
        </row>
        <row r="526">
          <cell r="E526" t="str">
            <v>Sub-total</v>
          </cell>
        </row>
        <row r="527">
          <cell r="E527" t="str">
            <v>Proposed Dividend</v>
          </cell>
        </row>
        <row r="528">
          <cell r="C528">
            <v>13962</v>
          </cell>
          <cell r="E528" t="str">
            <v>Proposed Dividend</v>
          </cell>
        </row>
        <row r="529">
          <cell r="C529">
            <v>13963</v>
          </cell>
          <cell r="E529" t="str">
            <v>Distribution Tax</v>
          </cell>
        </row>
        <row r="530">
          <cell r="E530" t="str">
            <v>To GR</v>
          </cell>
        </row>
        <row r="531">
          <cell r="E531" t="str">
            <v>Sub-total</v>
          </cell>
        </row>
        <row r="532">
          <cell r="E532" t="str">
            <v>TOTAL</v>
          </cell>
        </row>
        <row r="535">
          <cell r="D535" t="str">
            <v>LONG TERM BORROWINGS</v>
          </cell>
        </row>
        <row r="536">
          <cell r="D536" t="str">
            <v>Secured Loans</v>
          </cell>
        </row>
        <row r="537">
          <cell r="E537" t="str">
            <v>Term Loan from Banks:</v>
          </cell>
        </row>
        <row r="538">
          <cell r="C538">
            <v>14114</v>
          </cell>
          <cell r="D538" t="str">
            <v>0810</v>
          </cell>
          <cell r="E538" t="str">
            <v>Loan from Banks</v>
          </cell>
        </row>
        <row r="540">
          <cell r="E540" t="str">
            <v>Sub-total</v>
          </cell>
        </row>
        <row r="541">
          <cell r="E541" t="str">
            <v>Loan from a Banks</v>
          </cell>
        </row>
        <row r="542">
          <cell r="D542" t="str">
            <v>00811</v>
          </cell>
          <cell r="E542" t="str">
            <v>Loan from J &amp; K Bank</v>
          </cell>
        </row>
        <row r="543">
          <cell r="D543" t="str">
            <v>0815</v>
          </cell>
          <cell r="E543" t="str">
            <v>Loan from HSBC</v>
          </cell>
        </row>
        <row r="544">
          <cell r="D544" t="str">
            <v>0817</v>
          </cell>
          <cell r="E544" t="str">
            <v>Loan from SCB</v>
          </cell>
        </row>
        <row r="545">
          <cell r="D545" t="str">
            <v>0814</v>
          </cell>
          <cell r="E545" t="str">
            <v>Loan From ICICI Bank</v>
          </cell>
        </row>
        <row r="546">
          <cell r="D546" t="str">
            <v>0812</v>
          </cell>
          <cell r="E546" t="str">
            <v>Loan From Bank of India - Car Loan</v>
          </cell>
        </row>
        <row r="547">
          <cell r="C547">
            <v>14142</v>
          </cell>
          <cell r="D547" t="str">
            <v>0813</v>
          </cell>
          <cell r="E547" t="str">
            <v>Loan From Bank of India - Car Loan</v>
          </cell>
        </row>
        <row r="548">
          <cell r="D548" t="str">
            <v>1661'</v>
          </cell>
          <cell r="E548" t="str">
            <v>Accrude Int. Due On Loan</v>
          </cell>
        </row>
        <row r="549">
          <cell r="E549" t="str">
            <v>Sub-total</v>
          </cell>
        </row>
        <row r="550">
          <cell r="E550" t="str">
            <v>Loan for Investment in TSL from BL</v>
          </cell>
        </row>
        <row r="551">
          <cell r="C551">
            <v>14126</v>
          </cell>
          <cell r="D551" t="str">
            <v>1225</v>
          </cell>
          <cell r="E551" t="str">
            <v xml:space="preserve">Loan From - BL &amp; Co. </v>
          </cell>
        </row>
        <row r="552">
          <cell r="E552" t="str">
            <v>Sub-total</v>
          </cell>
        </row>
        <row r="553">
          <cell r="E553" t="str">
            <v>Total</v>
          </cell>
        </row>
        <row r="554">
          <cell r="D554" t="str">
            <v>Unsecured Loans</v>
          </cell>
        </row>
        <row r="555">
          <cell r="C555">
            <v>14233</v>
          </cell>
          <cell r="D555" t="str">
            <v>1220</v>
          </cell>
          <cell r="E555" t="str">
            <v>Loan From - VL Netherlands</v>
          </cell>
        </row>
        <row r="556">
          <cell r="C556">
            <v>14236</v>
          </cell>
          <cell r="E556" t="str">
            <v>LOAN FROM OTHERS (UNSECURED)</v>
          </cell>
        </row>
        <row r="557">
          <cell r="E557" t="str">
            <v>Sub-total</v>
          </cell>
        </row>
        <row r="558">
          <cell r="D558" t="str">
            <v>1230</v>
          </cell>
          <cell r="E558" t="str">
            <v>Def. Sales tax liability</v>
          </cell>
        </row>
        <row r="559">
          <cell r="E559" t="str">
            <v>Sub-total</v>
          </cell>
        </row>
        <row r="560">
          <cell r="E560" t="str">
            <v>Total</v>
          </cell>
        </row>
        <row r="561">
          <cell r="E561" t="str">
            <v>TOTAL</v>
          </cell>
        </row>
        <row r="563">
          <cell r="D563" t="str">
            <v>DEFERRED TAX LIABILITIES (NET)</v>
          </cell>
        </row>
        <row r="564">
          <cell r="C564">
            <v>14287</v>
          </cell>
          <cell r="D564" t="str">
            <v>2031</v>
          </cell>
          <cell r="E564" t="str">
            <v>Provision for Deffered Tax (Liab)</v>
          </cell>
        </row>
        <row r="565">
          <cell r="C565">
            <v>14288</v>
          </cell>
          <cell r="D565" t="str">
            <v>4900</v>
          </cell>
          <cell r="E565" t="str">
            <v>Deffered Tax Assets</v>
          </cell>
        </row>
        <row r="569">
          <cell r="D569" t="str">
            <v>LONG TERM PROVISION</v>
          </cell>
        </row>
        <row r="570">
          <cell r="E570" t="str">
            <v>Provision for Employee Benefits</v>
          </cell>
        </row>
        <row r="571">
          <cell r="C571">
            <v>15576</v>
          </cell>
          <cell r="D571" t="str">
            <v>2010</v>
          </cell>
          <cell r="E571" t="str">
            <v>Provision for Gratuity</v>
          </cell>
        </row>
        <row r="572">
          <cell r="E572" t="str">
            <v>Provision for Compensated Absances</v>
          </cell>
        </row>
        <row r="573">
          <cell r="E573" t="str">
            <v>Sub-total</v>
          </cell>
        </row>
        <row r="574">
          <cell r="D574" t="str">
            <v>Provision for Indirect Taxes</v>
          </cell>
        </row>
        <row r="575">
          <cell r="D575" t="str">
            <v>2162</v>
          </cell>
          <cell r="E575" t="str">
            <v>Liability Sales Tax 2005-06</v>
          </cell>
        </row>
        <row r="576">
          <cell r="D576" t="str">
            <v>2163</v>
          </cell>
          <cell r="E576" t="str">
            <v>Liability Sales Tax 2008-09</v>
          </cell>
        </row>
        <row r="577">
          <cell r="D577" t="str">
            <v>2164</v>
          </cell>
          <cell r="E577" t="str">
            <v>Liability Sales Tax 2009-10</v>
          </cell>
        </row>
        <row r="578">
          <cell r="C578">
            <v>15526</v>
          </cell>
          <cell r="E578" t="str">
            <v>Liabilities Towards Sales Tax</v>
          </cell>
        </row>
        <row r="580">
          <cell r="E580" t="str">
            <v>Sub-total</v>
          </cell>
        </row>
        <row r="583">
          <cell r="D583" t="str">
            <v>SHORT TERM BOROWINGS</v>
          </cell>
        </row>
        <row r="584">
          <cell r="E584" t="str">
            <v>Secured</v>
          </cell>
        </row>
        <row r="585">
          <cell r="E585" t="str">
            <v>Cash Credit from Bank</v>
          </cell>
        </row>
        <row r="586">
          <cell r="C586">
            <v>14070</v>
          </cell>
          <cell r="D586" t="str">
            <v>0510</v>
          </cell>
          <cell r="E586" t="str">
            <v>Cash Credit - Stock [BOI]</v>
          </cell>
        </row>
        <row r="587">
          <cell r="C587">
            <v>14072</v>
          </cell>
          <cell r="D587" t="str">
            <v>0520</v>
          </cell>
          <cell r="E587" t="str">
            <v>Packing Credit [BOI]</v>
          </cell>
        </row>
        <row r="588">
          <cell r="D588" t="str">
            <v>05201</v>
          </cell>
          <cell r="E588" t="str">
            <v>BOI - Pcking Credit</v>
          </cell>
        </row>
        <row r="589">
          <cell r="C589">
            <v>14079</v>
          </cell>
          <cell r="D589" t="str">
            <v>0600</v>
          </cell>
          <cell r="E589" t="str">
            <v>Current Account - HSBC (CBR)</v>
          </cell>
        </row>
        <row r="590">
          <cell r="D590" t="str">
            <v>0603</v>
          </cell>
          <cell r="E590" t="str">
            <v>HSBC - Bill Discounting</v>
          </cell>
        </row>
        <row r="591">
          <cell r="C591">
            <v>14080</v>
          </cell>
          <cell r="D591" t="str">
            <v>0608</v>
          </cell>
          <cell r="E591" t="str">
            <v>Current Account - HSBC (Vlx)</v>
          </cell>
        </row>
        <row r="592">
          <cell r="C592">
            <v>14083</v>
          </cell>
          <cell r="D592" t="str">
            <v>0610</v>
          </cell>
          <cell r="E592" t="str">
            <v>Packing Credit - HSBC</v>
          </cell>
        </row>
        <row r="593">
          <cell r="C593">
            <v>14082</v>
          </cell>
          <cell r="D593" t="str">
            <v>0630</v>
          </cell>
          <cell r="E593" t="str">
            <v>Demand Loan - HSBC</v>
          </cell>
        </row>
        <row r="594">
          <cell r="D594" t="str">
            <v>0631</v>
          </cell>
          <cell r="E594" t="str">
            <v>Demand Loan - BOI A/c</v>
          </cell>
        </row>
        <row r="595">
          <cell r="E595" t="str">
            <v>Sub-total</v>
          </cell>
        </row>
        <row r="596">
          <cell r="E596" t="str">
            <v>Unsecured</v>
          </cell>
        </row>
        <row r="597">
          <cell r="E597" t="str">
            <v>Overdraft with Bank</v>
          </cell>
        </row>
        <row r="598">
          <cell r="C598">
            <v>14235</v>
          </cell>
          <cell r="D598" t="str">
            <v>1226</v>
          </cell>
          <cell r="E598" t="str">
            <v>Loan From -RBS</v>
          </cell>
        </row>
        <row r="599">
          <cell r="C599">
            <v>15163</v>
          </cell>
          <cell r="D599" t="str">
            <v>0612</v>
          </cell>
          <cell r="E599" t="str">
            <v>RBS - Bank Account</v>
          </cell>
        </row>
        <row r="600">
          <cell r="E600" t="str">
            <v>Sub-total</v>
          </cell>
        </row>
        <row r="603">
          <cell r="D603" t="str">
            <v>TRADE PAYABLES</v>
          </cell>
        </row>
        <row r="604">
          <cell r="E604" t="str">
            <v>Sundry  Creditors</v>
          </cell>
        </row>
        <row r="605">
          <cell r="D605" t="str">
            <v>1510</v>
          </cell>
          <cell r="E605" t="str">
            <v>Sundry Creditors Control</v>
          </cell>
        </row>
        <row r="606">
          <cell r="D606" t="str">
            <v>1509</v>
          </cell>
          <cell r="E606" t="str">
            <v>Sundry Creditors Control (sdc)</v>
          </cell>
        </row>
        <row r="607">
          <cell r="C607">
            <v>15297</v>
          </cell>
          <cell r="D607" t="str">
            <v>1517</v>
          </cell>
          <cell r="E607" t="str">
            <v>Provision for Pending GRN</v>
          </cell>
        </row>
        <row r="608">
          <cell r="C608">
            <v>15429</v>
          </cell>
          <cell r="E608" t="str">
            <v>Provision For Pending Grn (Purc Pack Slip Offset Net W15078)</v>
          </cell>
        </row>
        <row r="609">
          <cell r="C609">
            <v>15078</v>
          </cell>
          <cell r="E609" t="str">
            <v>Purchase, Packing Slip (Pending Grn)(Net Off With 15429)</v>
          </cell>
        </row>
        <row r="610">
          <cell r="C610">
            <v>15427</v>
          </cell>
          <cell r="E610" t="str">
            <v>Sundry Creditors Domestic</v>
          </cell>
        </row>
        <row r="611">
          <cell r="C611">
            <v>15428</v>
          </cell>
          <cell r="E611" t="str">
            <v>Sundry Creditors Foreign</v>
          </cell>
        </row>
        <row r="612">
          <cell r="C612">
            <v>15434</v>
          </cell>
          <cell r="E612" t="str">
            <v>Creditors For Expenses (Service Providers)</v>
          </cell>
        </row>
        <row r="613">
          <cell r="E613" t="str">
            <v>Rent Control Account</v>
          </cell>
        </row>
        <row r="614">
          <cell r="C614">
            <v>15433</v>
          </cell>
          <cell r="D614" t="str">
            <v>0451</v>
          </cell>
          <cell r="E614" t="str">
            <v>Cheques  adj.a/c (Stale Cheque)</v>
          </cell>
        </row>
        <row r="615">
          <cell r="C615">
            <v>15435</v>
          </cell>
          <cell r="D615" t="str">
            <v>1511</v>
          </cell>
          <cell r="E615" t="str">
            <v>BL - Liability Travel</v>
          </cell>
        </row>
        <row r="616">
          <cell r="D616" t="str">
            <v>1512</v>
          </cell>
          <cell r="E616" t="str">
            <v>BL - Liability Travel (New Delhi)</v>
          </cell>
        </row>
        <row r="617">
          <cell r="C617">
            <v>15566</v>
          </cell>
          <cell r="D617" t="str">
            <v>1610</v>
          </cell>
          <cell r="E617" t="str">
            <v>Liab for Exp</v>
          </cell>
        </row>
        <row r="618">
          <cell r="E618" t="str">
            <v>Liability For Capex</v>
          </cell>
        </row>
        <row r="619">
          <cell r="D619" t="str">
            <v>1611</v>
          </cell>
          <cell r="E619" t="str">
            <v>Liab for Exp 2000-01</v>
          </cell>
        </row>
        <row r="620">
          <cell r="D620" t="str">
            <v>1612</v>
          </cell>
          <cell r="E620" t="str">
            <v>Liability for Exp 2001-02</v>
          </cell>
        </row>
        <row r="621">
          <cell r="D621" t="str">
            <v>1613</v>
          </cell>
          <cell r="E621" t="str">
            <v>Liability for Exp 2002-03</v>
          </cell>
        </row>
        <row r="622">
          <cell r="D622" t="str">
            <v>1614</v>
          </cell>
          <cell r="E622" t="str">
            <v>Liability for Expenses 03-04</v>
          </cell>
        </row>
        <row r="623">
          <cell r="D623" t="str">
            <v>1615</v>
          </cell>
          <cell r="E623" t="str">
            <v>Liability for Expense 04-05</v>
          </cell>
        </row>
        <row r="624">
          <cell r="D624" t="str">
            <v>1616</v>
          </cell>
          <cell r="E624" t="str">
            <v>Liability for Expens 05-06</v>
          </cell>
        </row>
        <row r="625">
          <cell r="D625" t="str">
            <v>1617</v>
          </cell>
          <cell r="E625" t="str">
            <v>Liabilities for Expenses -2006-07</v>
          </cell>
        </row>
        <row r="626">
          <cell r="D626" t="str">
            <v>1618</v>
          </cell>
          <cell r="E626" t="str">
            <v>Liabilities for Expenses -2007-08</v>
          </cell>
        </row>
        <row r="627">
          <cell r="D627" t="str">
            <v>1619</v>
          </cell>
          <cell r="E627" t="str">
            <v>Liabilities for Expenses -2008-09</v>
          </cell>
        </row>
        <row r="628">
          <cell r="D628" t="str">
            <v>1620</v>
          </cell>
          <cell r="E628" t="str">
            <v>Liability a/c retention money</v>
          </cell>
        </row>
        <row r="629">
          <cell r="C629">
            <v>15470</v>
          </cell>
          <cell r="D629" t="str">
            <v>1621</v>
          </cell>
          <cell r="E629" t="str">
            <v>Liabilities for Expenses -2009-10</v>
          </cell>
        </row>
        <row r="630">
          <cell r="C630">
            <v>15436</v>
          </cell>
          <cell r="D630" t="str">
            <v>1622</v>
          </cell>
          <cell r="E630" t="str">
            <v>Liabilities for Expenses -2010-11</v>
          </cell>
        </row>
        <row r="631">
          <cell r="C631">
            <v>15459</v>
          </cell>
          <cell r="D631" t="str">
            <v>1623</v>
          </cell>
          <cell r="E631" t="str">
            <v>LIABILITY FOR EXP. (11-12)</v>
          </cell>
        </row>
        <row r="632">
          <cell r="C632">
            <v>15462</v>
          </cell>
          <cell r="D632" t="str">
            <v>1624</v>
          </cell>
          <cell r="E632" t="str">
            <v>LIABILITY FOR EXPENSES [ 2012-13]</v>
          </cell>
        </row>
        <row r="633">
          <cell r="D633" t="str">
            <v>1650</v>
          </cell>
          <cell r="E633" t="str">
            <v>Liability for services - bl &amp; Co</v>
          </cell>
        </row>
        <row r="634">
          <cell r="C634">
            <v>15457</v>
          </cell>
          <cell r="E634" t="str">
            <v>Liability For Misc. Charges-(FERA)</v>
          </cell>
        </row>
        <row r="635">
          <cell r="C635">
            <v>15458</v>
          </cell>
          <cell r="E635" t="str">
            <v>Liability For Clg. Frd. Charges-(FERA)</v>
          </cell>
        </row>
        <row r="636">
          <cell r="E636" t="str">
            <v>Liability For TPT (Cases where auto TPT Posting is skipped)</v>
          </cell>
        </row>
        <row r="637">
          <cell r="C637">
            <v>15461</v>
          </cell>
          <cell r="E637" t="str">
            <v>Liability of Freight In (FOB) Export</v>
          </cell>
        </row>
        <row r="638">
          <cell r="C638">
            <v>15607</v>
          </cell>
          <cell r="E638" t="str">
            <v>Import Duty Payable A/c</v>
          </cell>
        </row>
        <row r="639">
          <cell r="E639" t="str">
            <v>NMMC CESS Liability</v>
          </cell>
        </row>
        <row r="640">
          <cell r="C640">
            <v>15564</v>
          </cell>
          <cell r="D640" t="str">
            <v>1675</v>
          </cell>
          <cell r="E640" t="str">
            <v>Reimb. Of expenses to be incurred on delisting of shares</v>
          </cell>
        </row>
        <row r="641">
          <cell r="C641">
            <v>15439</v>
          </cell>
          <cell r="D641" t="str">
            <v>1730</v>
          </cell>
          <cell r="E641" t="str">
            <v>Share Appln Money  BOI</v>
          </cell>
        </row>
        <row r="642">
          <cell r="D642" t="str">
            <v>200'</v>
          </cell>
          <cell r="E642" t="str">
            <v>Inter Unit Sale adj in CL of 2007-08</v>
          </cell>
        </row>
        <row r="643">
          <cell r="C643">
            <v>15443</v>
          </cell>
          <cell r="D643" t="str">
            <v>2681</v>
          </cell>
          <cell r="E643" t="str">
            <v>The Chembur Nagrik Sahakari Bank-Adjustable</v>
          </cell>
        </row>
        <row r="644">
          <cell r="C644">
            <v>15445</v>
          </cell>
          <cell r="D644" t="str">
            <v>2682</v>
          </cell>
          <cell r="E644" t="str">
            <v>misc deduction salary adjustable a/c</v>
          </cell>
        </row>
        <row r="645">
          <cell r="C645">
            <v>15444</v>
          </cell>
          <cell r="D645" t="str">
            <v>2690</v>
          </cell>
          <cell r="E645" t="str">
            <v>L I C Adjustable</v>
          </cell>
        </row>
        <row r="646">
          <cell r="C646">
            <v>15446</v>
          </cell>
          <cell r="D646" t="str">
            <v>2700</v>
          </cell>
          <cell r="E646" t="str">
            <v>Employees co-op Credit Society</v>
          </cell>
        </row>
        <row r="647">
          <cell r="C647">
            <v>15447</v>
          </cell>
          <cell r="D647" t="str">
            <v>2710</v>
          </cell>
          <cell r="E647" t="str">
            <v>Housing Loan Adjustable A/c</v>
          </cell>
        </row>
        <row r="648">
          <cell r="C648">
            <v>15450</v>
          </cell>
          <cell r="D648" t="str">
            <v>2760</v>
          </cell>
          <cell r="E648" t="str">
            <v>Coin adj</v>
          </cell>
        </row>
        <row r="649">
          <cell r="C649">
            <v>12140</v>
          </cell>
          <cell r="E649" t="str">
            <v>Rounding Of Diff A/C</v>
          </cell>
        </row>
        <row r="650">
          <cell r="C650">
            <v>13740</v>
          </cell>
          <cell r="E650" t="str">
            <v>Round Off Diff In F Currency (Sys)</v>
          </cell>
        </row>
        <row r="651">
          <cell r="D651" t="str">
            <v>2804</v>
          </cell>
          <cell r="E651" t="str">
            <v>Payable to Debtors ( S. Tax)</v>
          </cell>
        </row>
        <row r="652">
          <cell r="D652" t="str">
            <v>2807</v>
          </cell>
          <cell r="E652" t="str">
            <v>Payable to Contractors &amp; Others</v>
          </cell>
        </row>
        <row r="653">
          <cell r="C653">
            <v>15456</v>
          </cell>
          <cell r="D653" t="str">
            <v>3541</v>
          </cell>
          <cell r="E653" t="str">
            <v>Advance HP (Sale of Property)</v>
          </cell>
        </row>
        <row r="654">
          <cell r="C654">
            <v>0</v>
          </cell>
          <cell r="E654" t="str">
            <v>Liability For Tax Group</v>
          </cell>
        </row>
        <row r="655">
          <cell r="E655" t="str">
            <v>regrouping from trade paybles</v>
          </cell>
        </row>
        <row r="656">
          <cell r="E656" t="str">
            <v>git</v>
          </cell>
        </row>
        <row r="657">
          <cell r="C657">
            <v>15627</v>
          </cell>
        </row>
        <row r="660">
          <cell r="D660" t="str">
            <v>OTHER CURRENT LIABILITIES</v>
          </cell>
        </row>
        <row r="661">
          <cell r="E661" t="str">
            <v>Current Maturities of Long Term Boirrowings</v>
          </cell>
        </row>
        <row r="664">
          <cell r="E664" t="str">
            <v>Sub-total</v>
          </cell>
        </row>
        <row r="665">
          <cell r="E665" t="str">
            <v>Interest accrued but not due on borrowings</v>
          </cell>
        </row>
        <row r="666">
          <cell r="C666">
            <v>15474</v>
          </cell>
          <cell r="D666" t="str">
            <v>1660</v>
          </cell>
          <cell r="E666" t="str">
            <v>Int Accrued but not due on loan</v>
          </cell>
        </row>
        <row r="667">
          <cell r="C667">
            <v>14143</v>
          </cell>
          <cell r="D667" t="str">
            <v>1661</v>
          </cell>
          <cell r="E667" t="str">
            <v>Int Accrued &amp; due on loan</v>
          </cell>
        </row>
        <row r="668">
          <cell r="E668" t="str">
            <v>Sub-total</v>
          </cell>
        </row>
        <row r="669">
          <cell r="E669" t="str">
            <v>Unclaimed Dividend</v>
          </cell>
        </row>
        <row r="670">
          <cell r="C670">
            <v>15489</v>
          </cell>
          <cell r="D670" t="str">
            <v>1734</v>
          </cell>
          <cell r="E670" t="str">
            <v>Dividend A/C</v>
          </cell>
        </row>
        <row r="671">
          <cell r="D671" t="str">
            <v>1735</v>
          </cell>
          <cell r="E671" t="str">
            <v>Dividend  (Liab) 03-04 (Pd 27/09)</v>
          </cell>
        </row>
        <row r="672">
          <cell r="D672" t="str">
            <v>1736</v>
          </cell>
          <cell r="E672" t="str">
            <v>Dividend (Liab) A/c 2004-05 pd on 3/10</v>
          </cell>
        </row>
        <row r="673">
          <cell r="D673" t="str">
            <v>1737</v>
          </cell>
          <cell r="E673" t="str">
            <v>DIVIDEND -2005-06 (Liability a/c)</v>
          </cell>
        </row>
        <row r="674">
          <cell r="D674" t="str">
            <v>1738</v>
          </cell>
          <cell r="E674" t="str">
            <v>DIVIDEND -2006-07 (Liability a/c)</v>
          </cell>
        </row>
        <row r="675">
          <cell r="D675" t="str">
            <v>1739</v>
          </cell>
          <cell r="E675" t="str">
            <v>DIVIDEND -2007-08 (Liability a/c)</v>
          </cell>
        </row>
        <row r="676">
          <cell r="D676" t="str">
            <v>1742</v>
          </cell>
          <cell r="E676" t="str">
            <v>DIVIDEND -2009-10 (Liability a/c)</v>
          </cell>
        </row>
        <row r="679">
          <cell r="E679" t="str">
            <v>Sub-total</v>
          </cell>
        </row>
        <row r="680">
          <cell r="E680" t="str">
            <v>Advances/Deposits received</v>
          </cell>
        </row>
        <row r="681">
          <cell r="C681">
            <v>15497</v>
          </cell>
          <cell r="D681" t="str">
            <v>1810</v>
          </cell>
          <cell r="E681" t="str">
            <v>Deposit Received</v>
          </cell>
        </row>
        <row r="682">
          <cell r="D682" t="str">
            <v>1811</v>
          </cell>
          <cell r="E682" t="str">
            <v>Deposit Recd from Contractor</v>
          </cell>
        </row>
        <row r="683">
          <cell r="C683">
            <v>15498</v>
          </cell>
          <cell r="D683" t="str">
            <v>1820</v>
          </cell>
          <cell r="E683" t="str">
            <v>EMD Received</v>
          </cell>
        </row>
        <row r="684">
          <cell r="C684">
            <v>15499</v>
          </cell>
          <cell r="D684" t="str">
            <v>1840</v>
          </cell>
          <cell r="E684" t="str">
            <v>Advance Received From Cust</v>
          </cell>
        </row>
        <row r="685">
          <cell r="C685">
            <v>15500</v>
          </cell>
          <cell r="D685" t="str">
            <v>3301</v>
          </cell>
          <cell r="E685" t="str">
            <v>Debtors CR, BAL</v>
          </cell>
        </row>
        <row r="686">
          <cell r="D686" t="str">
            <v>3415</v>
          </cell>
          <cell r="E686" t="str">
            <v>Advances from Customer -BL</v>
          </cell>
        </row>
        <row r="688">
          <cell r="E688" t="str">
            <v>Sub-total</v>
          </cell>
        </row>
        <row r="689">
          <cell r="E689" t="str">
            <v>Employee Benefits Payable</v>
          </cell>
        </row>
        <row r="690">
          <cell r="D690" t="str">
            <v>1600</v>
          </cell>
          <cell r="E690" t="str">
            <v>Laib for exp Payroll related</v>
          </cell>
        </row>
        <row r="691">
          <cell r="C691">
            <v>15441</v>
          </cell>
          <cell r="D691" t="str">
            <v>2618</v>
          </cell>
          <cell r="E691" t="str">
            <v>Superannuation adjustable</v>
          </cell>
        </row>
        <row r="692">
          <cell r="C692">
            <v>15442</v>
          </cell>
          <cell r="D692" t="str">
            <v>2650</v>
          </cell>
          <cell r="E692" t="str">
            <v>Welfare Fund Adjustable</v>
          </cell>
        </row>
        <row r="693">
          <cell r="C693">
            <v>15448</v>
          </cell>
          <cell r="D693" t="str">
            <v>2720</v>
          </cell>
          <cell r="E693" t="str">
            <v>Unclaimed Salary\Wages</v>
          </cell>
        </row>
        <row r="694">
          <cell r="C694">
            <v>15449</v>
          </cell>
          <cell r="D694" t="str">
            <v>2730</v>
          </cell>
          <cell r="E694" t="str">
            <v>Unclaimed Bonus</v>
          </cell>
        </row>
        <row r="695">
          <cell r="C695">
            <v>15440</v>
          </cell>
          <cell r="D695" t="str">
            <v>2600</v>
          </cell>
          <cell r="E695" t="str">
            <v>Net Salary Adjustable</v>
          </cell>
        </row>
        <row r="696">
          <cell r="D696" t="str">
            <v>2601</v>
          </cell>
          <cell r="E696" t="str">
            <v>Net Salary Adjustable</v>
          </cell>
        </row>
        <row r="697">
          <cell r="C697">
            <v>15454</v>
          </cell>
          <cell r="D697" t="str">
            <v>2808</v>
          </cell>
          <cell r="E697" t="str">
            <v>Payable to employees</v>
          </cell>
        </row>
        <row r="698">
          <cell r="C698">
            <v>15452</v>
          </cell>
          <cell r="D698" t="str">
            <v>2161</v>
          </cell>
          <cell r="E698" t="str">
            <v>PRO. FOR MANAGERIAL EXP.</v>
          </cell>
        </row>
        <row r="699">
          <cell r="E699" t="str">
            <v>regrouping from trade paybles</v>
          </cell>
        </row>
        <row r="701">
          <cell r="E701" t="str">
            <v>Statutory Dues Payable</v>
          </cell>
        </row>
        <row r="702">
          <cell r="D702" t="str">
            <v>2510</v>
          </cell>
          <cell r="E702" t="str">
            <v>MST Adjustable</v>
          </cell>
        </row>
        <row r="703">
          <cell r="D703" t="str">
            <v>2512</v>
          </cell>
          <cell r="E703" t="str">
            <v>VAT (MST) -Sales</v>
          </cell>
        </row>
        <row r="704">
          <cell r="D704" t="str">
            <v>2513</v>
          </cell>
          <cell r="E704" t="str">
            <v>VAT MST - Purchase</v>
          </cell>
        </row>
        <row r="705">
          <cell r="C705">
            <v>15506</v>
          </cell>
          <cell r="D705" t="str">
            <v>2514</v>
          </cell>
          <cell r="E705" t="str">
            <v>VAT PAYABLE</v>
          </cell>
        </row>
        <row r="706">
          <cell r="C706">
            <v>15507</v>
          </cell>
          <cell r="E706" t="str">
            <v>Vat Receivable</v>
          </cell>
        </row>
        <row r="707">
          <cell r="C707">
            <v>15511</v>
          </cell>
          <cell r="D707" t="str">
            <v>2520</v>
          </cell>
          <cell r="E707" t="str">
            <v>CST Payable</v>
          </cell>
        </row>
        <row r="708">
          <cell r="D708" t="str">
            <v>2522</v>
          </cell>
          <cell r="E708" t="str">
            <v>VAT (CST) -Sales</v>
          </cell>
        </row>
        <row r="709">
          <cell r="D709" t="str">
            <v>2524</v>
          </cell>
          <cell r="E709" t="str">
            <v>CST Payable</v>
          </cell>
        </row>
        <row r="710">
          <cell r="D710" t="str">
            <v>2537</v>
          </cell>
          <cell r="E710" t="str">
            <v>Set-Off Due</v>
          </cell>
        </row>
        <row r="711">
          <cell r="D711" t="str">
            <v>2550</v>
          </cell>
          <cell r="E711" t="str">
            <v>sales tax control a/c</v>
          </cell>
        </row>
        <row r="712">
          <cell r="D712" t="str">
            <v>7112</v>
          </cell>
          <cell r="E712" t="str">
            <v>Turnover tax-sales/purchase</v>
          </cell>
        </row>
        <row r="713">
          <cell r="D713" t="str">
            <v>7113</v>
          </cell>
          <cell r="E713" t="str">
            <v>Surcharge on MST</v>
          </cell>
        </row>
        <row r="714">
          <cell r="D714" t="str">
            <v>7130</v>
          </cell>
          <cell r="E714" t="str">
            <v>Works Contract Tax</v>
          </cell>
        </row>
        <row r="715">
          <cell r="D715" t="str">
            <v>7140</v>
          </cell>
          <cell r="E715" t="str">
            <v>Purchase Tax</v>
          </cell>
        </row>
        <row r="716">
          <cell r="D716" t="str">
            <v>6113</v>
          </cell>
          <cell r="E716" t="str">
            <v>VAT (MST) - Purchase</v>
          </cell>
        </row>
        <row r="717">
          <cell r="C717">
            <v>15544</v>
          </cell>
          <cell r="E717" t="str">
            <v>TDS-On Vat</v>
          </cell>
        </row>
        <row r="718">
          <cell r="C718">
            <v>15522</v>
          </cell>
          <cell r="E718" t="str">
            <v>CST Payable (Cochin)</v>
          </cell>
        </row>
        <row r="719">
          <cell r="C719">
            <v>15518</v>
          </cell>
          <cell r="D719" t="str">
            <v>2515</v>
          </cell>
          <cell r="E719" t="str">
            <v>Cochin Vat Payable</v>
          </cell>
        </row>
        <row r="720">
          <cell r="D720" t="str">
            <v>2527</v>
          </cell>
          <cell r="E720" t="str">
            <v>TDS - Others</v>
          </cell>
        </row>
        <row r="721">
          <cell r="C721">
            <v>15535</v>
          </cell>
          <cell r="D721" t="str">
            <v>2528</v>
          </cell>
          <cell r="E721" t="str">
            <v>TCS - Sale of Scrap</v>
          </cell>
        </row>
        <row r="722">
          <cell r="C722">
            <v>15540</v>
          </cell>
          <cell r="D722" t="str">
            <v>2529</v>
          </cell>
          <cell r="E722" t="str">
            <v>TDS - Commission Agent</v>
          </cell>
        </row>
        <row r="723">
          <cell r="C723">
            <v>15537</v>
          </cell>
          <cell r="D723" t="str">
            <v>2660</v>
          </cell>
          <cell r="E723" t="str">
            <v>income tax adjustable - Employees</v>
          </cell>
        </row>
        <row r="724">
          <cell r="C724">
            <v>15539</v>
          </cell>
          <cell r="D724" t="str">
            <v>2530</v>
          </cell>
          <cell r="E724" t="str">
            <v>TDS - Contractors</v>
          </cell>
        </row>
        <row r="725">
          <cell r="C725">
            <v>15541</v>
          </cell>
          <cell r="D725" t="str">
            <v>2534</v>
          </cell>
          <cell r="E725" t="str">
            <v>TDS - Rent</v>
          </cell>
        </row>
        <row r="726">
          <cell r="C726">
            <v>15542</v>
          </cell>
          <cell r="D726" t="str">
            <v>2535</v>
          </cell>
          <cell r="E726" t="str">
            <v>TDS - Professionals</v>
          </cell>
        </row>
        <row r="727">
          <cell r="C727">
            <v>15538</v>
          </cell>
          <cell r="D727" t="str">
            <v>2536</v>
          </cell>
          <cell r="E727" t="str">
            <v>TDS - Int other than securities</v>
          </cell>
        </row>
        <row r="728">
          <cell r="C728">
            <v>15543</v>
          </cell>
          <cell r="E728" t="str">
            <v>TDS/ TCS-Adjustment (Op. Bal.)</v>
          </cell>
        </row>
        <row r="729">
          <cell r="D729" t="str">
            <v>25361</v>
          </cell>
          <cell r="E729" t="str">
            <v>adj a/c tds</v>
          </cell>
        </row>
        <row r="730">
          <cell r="D730" t="str">
            <v>2670</v>
          </cell>
          <cell r="E730" t="str">
            <v>Salary Saving Scheme Adjustable</v>
          </cell>
        </row>
        <row r="731">
          <cell r="D731" t="str">
            <v>2538</v>
          </cell>
          <cell r="E731" t="str">
            <v>adj a/c tds valerex (2536A/2538)</v>
          </cell>
        </row>
        <row r="732">
          <cell r="C732">
            <v>15556</v>
          </cell>
          <cell r="D732" t="str">
            <v>2541</v>
          </cell>
          <cell r="E732" t="str">
            <v>Excise duty payable a/c ( FG Cl St)</v>
          </cell>
        </row>
        <row r="733">
          <cell r="D733" t="str">
            <v>2545</v>
          </cell>
          <cell r="E733" t="str">
            <v>Education Cess on TDS deducted</v>
          </cell>
        </row>
        <row r="734">
          <cell r="C734">
            <v>15557</v>
          </cell>
          <cell r="D734" t="str">
            <v>2610</v>
          </cell>
          <cell r="E734" t="str">
            <v>Provident Fund Adjustable</v>
          </cell>
        </row>
        <row r="735">
          <cell r="C735">
            <v>15558</v>
          </cell>
          <cell r="D735" t="str">
            <v>2616</v>
          </cell>
          <cell r="E735" t="str">
            <v>PF &amp; FPF Adjustable-Contractors &amp; Others</v>
          </cell>
        </row>
        <row r="736">
          <cell r="C736">
            <v>15559</v>
          </cell>
          <cell r="D736" t="str">
            <v>2630</v>
          </cell>
          <cell r="E736" t="str">
            <v>Professional Tax Adjustable</v>
          </cell>
        </row>
        <row r="737">
          <cell r="C737">
            <v>15560</v>
          </cell>
          <cell r="D737" t="str">
            <v>2631</v>
          </cell>
          <cell r="E737" t="str">
            <v>Professional Tax Adjustable Contractors</v>
          </cell>
        </row>
        <row r="738">
          <cell r="C738">
            <v>15561</v>
          </cell>
          <cell r="D738" t="str">
            <v>2640</v>
          </cell>
          <cell r="E738" t="str">
            <v>ESIC Adjustable</v>
          </cell>
        </row>
        <row r="739">
          <cell r="C739">
            <v>15562</v>
          </cell>
          <cell r="D739" t="str">
            <v>2641</v>
          </cell>
          <cell r="E739" t="str">
            <v>ESIC Adjustable - Contractors &amp; Others</v>
          </cell>
        </row>
        <row r="740">
          <cell r="C740">
            <v>15565</v>
          </cell>
          <cell r="E740" t="str">
            <v>Nmmc Cess Liability</v>
          </cell>
        </row>
        <row r="741">
          <cell r="C741">
            <v>15613</v>
          </cell>
          <cell r="E741" t="str">
            <v>Liability For Tax Group</v>
          </cell>
        </row>
        <row r="742">
          <cell r="D742" t="str">
            <v>1741</v>
          </cell>
          <cell r="E742" t="str">
            <v>Share Refund  PCD</v>
          </cell>
        </row>
        <row r="743">
          <cell r="D743" t="str">
            <v>3541</v>
          </cell>
          <cell r="E743" t="str">
            <v>Advance HP (Sale of Property)</v>
          </cell>
        </row>
        <row r="744">
          <cell r="C744">
            <v>15531</v>
          </cell>
          <cell r="E744" t="str">
            <v>Purchase Tax Payable (Vat)</v>
          </cell>
        </row>
        <row r="745">
          <cell r="E745" t="str">
            <v>regrouping of stat dues provided in Liab for Exp</v>
          </cell>
        </row>
        <row r="746">
          <cell r="E746" t="str">
            <v>Sub-total</v>
          </cell>
        </row>
        <row r="747">
          <cell r="E747" t="str">
            <v>Payable for Fixed Assets</v>
          </cell>
        </row>
        <row r="750">
          <cell r="E750" t="str">
            <v>Sub-total</v>
          </cell>
        </row>
        <row r="751">
          <cell r="E751" t="str">
            <v>Others</v>
          </cell>
        </row>
        <row r="754">
          <cell r="E754" t="str">
            <v>Sub-total</v>
          </cell>
        </row>
        <row r="755">
          <cell r="E755" t="str">
            <v>TOTAL</v>
          </cell>
        </row>
        <row r="757">
          <cell r="D757" t="str">
            <v>SHORT TERM PROVISIONS</v>
          </cell>
        </row>
        <row r="758">
          <cell r="E758" t="str">
            <v>Provision for Employee Benefits</v>
          </cell>
        </row>
        <row r="759">
          <cell r="E759" t="str">
            <v>Provision for Gratuity</v>
          </cell>
        </row>
        <row r="760">
          <cell r="E760" t="str">
            <v>Provision for Compensated Absences</v>
          </cell>
        </row>
        <row r="761">
          <cell r="C761">
            <v>15577</v>
          </cell>
          <cell r="D761" t="str">
            <v>2015</v>
          </cell>
          <cell r="E761" t="str">
            <v>Provision for Leave Encashment</v>
          </cell>
        </row>
        <row r="762">
          <cell r="E762" t="str">
            <v>Sub-total</v>
          </cell>
        </row>
        <row r="763">
          <cell r="E763" t="str">
            <v>Provision for Income Tax</v>
          </cell>
        </row>
        <row r="764">
          <cell r="C764">
            <v>15585</v>
          </cell>
          <cell r="D764" t="str">
            <v>2030</v>
          </cell>
          <cell r="E764" t="str">
            <v>Provision for Taxation</v>
          </cell>
        </row>
        <row r="765">
          <cell r="C765">
            <v>15586</v>
          </cell>
          <cell r="D765" t="str">
            <v>2032</v>
          </cell>
          <cell r="E765" t="str">
            <v>Provision for FBT</v>
          </cell>
        </row>
        <row r="766">
          <cell r="C766">
            <v>15587</v>
          </cell>
          <cell r="D766" t="str">
            <v>2040</v>
          </cell>
          <cell r="E766" t="str">
            <v>Provision For Wealth tax</v>
          </cell>
        </row>
        <row r="767">
          <cell r="E767" t="str">
            <v>Advance Income Tax ( Net)</v>
          </cell>
        </row>
        <row r="768">
          <cell r="C768">
            <v>15398</v>
          </cell>
          <cell r="D768" t="str">
            <v>3850</v>
          </cell>
          <cell r="E768" t="str">
            <v>Advance Income Tax</v>
          </cell>
        </row>
        <row r="770">
          <cell r="E770" t="str">
            <v>Sub-total</v>
          </cell>
        </row>
        <row r="771">
          <cell r="E771" t="str">
            <v>Other Provisions-Proposed Dividend</v>
          </cell>
        </row>
        <row r="772">
          <cell r="C772">
            <v>15595</v>
          </cell>
          <cell r="D772" t="str">
            <v>2020</v>
          </cell>
          <cell r="E772" t="str">
            <v>Proposed Dividend</v>
          </cell>
        </row>
        <row r="773">
          <cell r="C773">
            <v>15596</v>
          </cell>
          <cell r="D773" t="str">
            <v>2021</v>
          </cell>
          <cell r="E773" t="str">
            <v>Distribution Tax</v>
          </cell>
        </row>
        <row r="774">
          <cell r="E774" t="str">
            <v>Sub-total</v>
          </cell>
        </row>
        <row r="775">
          <cell r="E775" t="str">
            <v>TOTAL</v>
          </cell>
        </row>
        <row r="777">
          <cell r="E777" t="str">
            <v>TOTAL</v>
          </cell>
        </row>
        <row r="778">
          <cell r="D778" t="str">
            <v>TOTAL</v>
          </cell>
        </row>
        <row r="780">
          <cell r="D780" t="str">
            <v>ASSETS</v>
          </cell>
        </row>
        <row r="781">
          <cell r="D781" t="str">
            <v>Fixed Assets</v>
          </cell>
        </row>
        <row r="782">
          <cell r="E782" t="str">
            <v>(a) Gross Block</v>
          </cell>
        </row>
        <row r="783">
          <cell r="C783">
            <v>15012</v>
          </cell>
          <cell r="D783" t="str">
            <v>3010</v>
          </cell>
          <cell r="E783" t="str">
            <v>Fixed Assets - Gross Block</v>
          </cell>
        </row>
        <row r="784">
          <cell r="C784">
            <v>15001</v>
          </cell>
          <cell r="E784" t="str">
            <v>Freehold Land (GB)</v>
          </cell>
        </row>
        <row r="785">
          <cell r="E785" t="str">
            <v>Leasehold Land (GB)</v>
          </cell>
        </row>
        <row r="786">
          <cell r="E786" t="str">
            <v>Building (GB)</v>
          </cell>
        </row>
        <row r="787">
          <cell r="E787" t="str">
            <v>Onership Flats (GB)</v>
          </cell>
        </row>
        <row r="788">
          <cell r="E788" t="str">
            <v>Plant and Machinery (GB)</v>
          </cell>
        </row>
        <row r="789">
          <cell r="C789">
            <v>15008</v>
          </cell>
          <cell r="E789" t="str">
            <v>Computers (GB)</v>
          </cell>
        </row>
        <row r="790">
          <cell r="E790" t="str">
            <v>Furniture and Fittings (GB)</v>
          </cell>
        </row>
        <row r="791">
          <cell r="E791" t="str">
            <v>Vehicles (GB)</v>
          </cell>
        </row>
        <row r="792">
          <cell r="E792" t="str">
            <v>Enabling Assets (GB)</v>
          </cell>
        </row>
        <row r="793">
          <cell r="E793" t="str">
            <v>(b) Less  : Depreciation</v>
          </cell>
        </row>
        <row r="794">
          <cell r="C794">
            <v>15031</v>
          </cell>
          <cell r="D794" t="str">
            <v>2100</v>
          </cell>
          <cell r="E794" t="str">
            <v>Provision for Depreciation</v>
          </cell>
        </row>
        <row r="795">
          <cell r="E795" t="str">
            <v>Accumlated Depreciation - Freehold Land</v>
          </cell>
        </row>
        <row r="796">
          <cell r="E796" t="str">
            <v>Accumlated Depreciation - Leasehold Land</v>
          </cell>
        </row>
        <row r="797">
          <cell r="E797" t="str">
            <v>Accumlated Depreciation - Building</v>
          </cell>
        </row>
        <row r="798">
          <cell r="E798" t="str">
            <v>Accumlated Depreciation - Ownership Flats</v>
          </cell>
        </row>
        <row r="799">
          <cell r="E799" t="str">
            <v>Accumlated Depreciation - Plant &amp; Machinery</v>
          </cell>
        </row>
        <row r="800">
          <cell r="E800" t="str">
            <v>Accumlated Depreciation - Computers</v>
          </cell>
        </row>
        <row r="801">
          <cell r="E801" t="str">
            <v>Accumlated Depreciation - Furniture &amp; Fittings</v>
          </cell>
        </row>
        <row r="802">
          <cell r="E802" t="str">
            <v>Accumlated Depreciation - Vehicles</v>
          </cell>
        </row>
        <row r="803">
          <cell r="E803" t="str">
            <v>Accumlated Depreciation - Enabling Assets</v>
          </cell>
        </row>
        <row r="805">
          <cell r="E805" t="str">
            <v>(c) Net Block</v>
          </cell>
        </row>
        <row r="806">
          <cell r="E806" t="str">
            <v>Add : Capital Work -in- Progress</v>
          </cell>
        </row>
        <row r="807">
          <cell r="C807">
            <v>15050</v>
          </cell>
          <cell r="D807" t="str">
            <v>3050</v>
          </cell>
          <cell r="E807" t="str">
            <v>Capital Work in Process</v>
          </cell>
        </row>
        <row r="808">
          <cell r="C808">
            <v>15044</v>
          </cell>
          <cell r="E808" t="str">
            <v>CWIP- Building</v>
          </cell>
        </row>
        <row r="809">
          <cell r="C809">
            <v>15045</v>
          </cell>
          <cell r="E809" t="str">
            <v>CWIP- Plant and Machinery</v>
          </cell>
        </row>
        <row r="810">
          <cell r="C810">
            <v>15046</v>
          </cell>
          <cell r="E810" t="str">
            <v>CWIP- Computers</v>
          </cell>
        </row>
        <row r="811">
          <cell r="E811" t="str">
            <v>CWIP- Furniture and Fittings</v>
          </cell>
        </row>
        <row r="812">
          <cell r="E812" t="str">
            <v>CWIP- Vehicles</v>
          </cell>
        </row>
        <row r="813">
          <cell r="C813">
            <v>15049</v>
          </cell>
          <cell r="D813" t="str">
            <v>3420</v>
          </cell>
          <cell r="E813" t="str">
            <v>Advance A/C - Capex</v>
          </cell>
        </row>
        <row r="814">
          <cell r="D814" t="str">
            <v>3054</v>
          </cell>
          <cell r="E814" t="str">
            <v>CWIP- Project Factory Shifting</v>
          </cell>
        </row>
        <row r="815">
          <cell r="D815" t="str">
            <v>3055</v>
          </cell>
          <cell r="E815" t="str">
            <v>CWIP- Chennai</v>
          </cell>
        </row>
        <row r="816">
          <cell r="D816" t="str">
            <v>3056</v>
          </cell>
          <cell r="E816" t="str">
            <v>CWIP- North</v>
          </cell>
        </row>
        <row r="818">
          <cell r="E818" t="str">
            <v>TOTAL</v>
          </cell>
        </row>
        <row r="820">
          <cell r="D820" t="str">
            <v>INVESTMENTS</v>
          </cell>
        </row>
        <row r="821">
          <cell r="C821">
            <v>15062</v>
          </cell>
          <cell r="D821" t="str">
            <v>3100</v>
          </cell>
          <cell r="E821" t="str">
            <v>Investment In Subsidiries (Proseal)</v>
          </cell>
        </row>
        <row r="822">
          <cell r="E822" t="str">
            <v>Investment In Transafe</v>
          </cell>
        </row>
        <row r="823">
          <cell r="D823" t="str">
            <v>3110</v>
          </cell>
          <cell r="E823" t="str">
            <v>Investment in Mutual Funds</v>
          </cell>
        </row>
        <row r="824">
          <cell r="E824" t="str">
            <v>TOTAL</v>
          </cell>
        </row>
        <row r="826">
          <cell r="D826" t="str">
            <v>LONG -TERM LOANS AND ADVANCES</v>
          </cell>
        </row>
        <row r="827">
          <cell r="E827" t="str">
            <v>Deposits</v>
          </cell>
        </row>
        <row r="828">
          <cell r="C828">
            <v>15197</v>
          </cell>
          <cell r="D828" t="str">
            <v>3700</v>
          </cell>
          <cell r="E828" t="str">
            <v>Deposits Paid</v>
          </cell>
        </row>
        <row r="829">
          <cell r="C829">
            <v>15198</v>
          </cell>
          <cell r="D829" t="str">
            <v>3705</v>
          </cell>
          <cell r="E829" t="str">
            <v>Rent Deposits</v>
          </cell>
        </row>
        <row r="831">
          <cell r="E831" t="str">
            <v>Sub-total</v>
          </cell>
        </row>
        <row r="832">
          <cell r="E832" t="str">
            <v>Considered Doubtful</v>
          </cell>
        </row>
        <row r="833">
          <cell r="C833">
            <v>15269</v>
          </cell>
          <cell r="D833" t="str">
            <v>2160</v>
          </cell>
          <cell r="E833" t="str">
            <v>Provision for  Loans &amp; Advances</v>
          </cell>
        </row>
        <row r="834">
          <cell r="E834" t="str">
            <v>Sub-total</v>
          </cell>
        </row>
        <row r="835">
          <cell r="E835" t="str">
            <v>Balance with Government Authorities</v>
          </cell>
        </row>
        <row r="836">
          <cell r="C836">
            <v>15381</v>
          </cell>
          <cell r="D836" t="str">
            <v>3604</v>
          </cell>
          <cell r="E836" t="str">
            <v>Recoverable From Sales Tax A/C</v>
          </cell>
        </row>
        <row r="838">
          <cell r="E838" t="str">
            <v>Sub-total</v>
          </cell>
        </row>
        <row r="839">
          <cell r="E839" t="str">
            <v>Prepaid Expenses</v>
          </cell>
        </row>
        <row r="840">
          <cell r="C840">
            <v>15221</v>
          </cell>
          <cell r="D840" t="str">
            <v>3750</v>
          </cell>
          <cell r="E840" t="str">
            <v>Prepaid Expenses</v>
          </cell>
        </row>
        <row r="841">
          <cell r="C841">
            <v>15222</v>
          </cell>
          <cell r="D841" t="str">
            <v>3755</v>
          </cell>
          <cell r="E841" t="str">
            <v>Prepaid Insurance</v>
          </cell>
        </row>
        <row r="842">
          <cell r="E842" t="str">
            <v>Sub-total</v>
          </cell>
        </row>
        <row r="843">
          <cell r="E843" t="str">
            <v>Advance to Related Parties</v>
          </cell>
        </row>
        <row r="844">
          <cell r="C844">
            <v>15225</v>
          </cell>
          <cell r="D844" t="str">
            <v>3780</v>
          </cell>
          <cell r="E844" t="str">
            <v>Recoverable From Balmer Lawrie</v>
          </cell>
        </row>
        <row r="845">
          <cell r="C845">
            <v>15224</v>
          </cell>
          <cell r="D845" t="str">
            <v>3782</v>
          </cell>
          <cell r="E845" t="str">
            <v>Recoverable from Proseal</v>
          </cell>
        </row>
        <row r="846">
          <cell r="C846">
            <v>15226</v>
          </cell>
          <cell r="D846" t="str">
            <v>3784</v>
          </cell>
          <cell r="E846" t="str">
            <v>Recoverable from Transafe</v>
          </cell>
        </row>
        <row r="847">
          <cell r="D847" t="str">
            <v>3787</v>
          </cell>
          <cell r="E847" t="str">
            <v>FOREING CURRENCY RECEIVABLE</v>
          </cell>
        </row>
        <row r="848">
          <cell r="C848">
            <v>15233</v>
          </cell>
          <cell r="D848" t="str">
            <v>3788</v>
          </cell>
          <cell r="E848" t="str">
            <v>Recoverable from Greif Australia</v>
          </cell>
        </row>
        <row r="849">
          <cell r="E849" t="str">
            <v>Sub-total</v>
          </cell>
        </row>
        <row r="850">
          <cell r="E850" t="str">
            <v>Balance with Excise authorities</v>
          </cell>
        </row>
        <row r="851">
          <cell r="E851" t="str">
            <v>PLA</v>
          </cell>
        </row>
        <row r="852">
          <cell r="D852" t="str">
            <v>6100</v>
          </cell>
          <cell r="E852" t="str">
            <v>Excise Duty - PLA A/c</v>
          </cell>
        </row>
        <row r="853">
          <cell r="C853">
            <v>15311</v>
          </cell>
          <cell r="E853" t="str">
            <v>Interim PLA Account</v>
          </cell>
        </row>
        <row r="854">
          <cell r="C854">
            <v>15314</v>
          </cell>
          <cell r="D854" t="str">
            <v>6097 P</v>
          </cell>
          <cell r="E854" t="str">
            <v>Education Cess on PLA A/c</v>
          </cell>
        </row>
        <row r="855">
          <cell r="C855">
            <v>15368</v>
          </cell>
          <cell r="E855" t="str">
            <v>Basic Excise Duty Payable</v>
          </cell>
        </row>
        <row r="856">
          <cell r="C856">
            <v>15369</v>
          </cell>
          <cell r="E856" t="str">
            <v>Education Cess Payable</v>
          </cell>
        </row>
        <row r="857">
          <cell r="C857">
            <v>15370</v>
          </cell>
          <cell r="E857" t="str">
            <v>Higher Education Cess Payable</v>
          </cell>
        </row>
        <row r="858">
          <cell r="C858">
            <v>15312</v>
          </cell>
          <cell r="E858" t="str">
            <v>Interim EduCess - PLA A/C</v>
          </cell>
        </row>
        <row r="859">
          <cell r="C859">
            <v>15315</v>
          </cell>
          <cell r="D859" t="str">
            <v>6097 PH</v>
          </cell>
          <cell r="E859" t="str">
            <v>Higher Education Cess  PLA A/c</v>
          </cell>
        </row>
        <row r="860">
          <cell r="C860">
            <v>15310</v>
          </cell>
          <cell r="E860" t="str">
            <v>Interim Hedu Cess - PLA A/C</v>
          </cell>
        </row>
        <row r="861">
          <cell r="D861">
            <v>0</v>
          </cell>
          <cell r="E861" t="str">
            <v>Cenvat</v>
          </cell>
        </row>
        <row r="862">
          <cell r="D862">
            <v>0</v>
          </cell>
          <cell r="E862" t="str">
            <v>Part-A</v>
          </cell>
        </row>
        <row r="863">
          <cell r="C863">
            <v>15323</v>
          </cell>
          <cell r="D863" t="str">
            <v>6099</v>
          </cell>
          <cell r="E863" t="str">
            <v>Excise RG 23 A (Input)</v>
          </cell>
        </row>
        <row r="864">
          <cell r="C864">
            <v>15324</v>
          </cell>
          <cell r="D864" t="str">
            <v>6097</v>
          </cell>
          <cell r="E864" t="str">
            <v>Cess on Excise Duty</v>
          </cell>
        </row>
        <row r="865">
          <cell r="D865" t="str">
            <v>6097'</v>
          </cell>
          <cell r="E865" t="str">
            <v>Education Cess RG 23 A</v>
          </cell>
        </row>
        <row r="866">
          <cell r="C866">
            <v>15325</v>
          </cell>
          <cell r="D866" t="str">
            <v>6097'H</v>
          </cell>
          <cell r="E866" t="str">
            <v>Higher Education Cess RG 23 A</v>
          </cell>
        </row>
        <row r="867">
          <cell r="D867">
            <v>2162</v>
          </cell>
        </row>
        <row r="868">
          <cell r="D868" t="str">
            <v>2540</v>
          </cell>
          <cell r="E868" t="str">
            <v>Excise Duty AdjustableA/c</v>
          </cell>
        </row>
        <row r="869">
          <cell r="D869" t="str">
            <v>25401</v>
          </cell>
          <cell r="E869" t="str">
            <v>Edu. Cess Adjustable A/c</v>
          </cell>
        </row>
        <row r="870">
          <cell r="D870" t="str">
            <v>25402</v>
          </cell>
          <cell r="E870" t="str">
            <v>H. Edu. Cess adjustable</v>
          </cell>
        </row>
        <row r="871">
          <cell r="D871">
            <v>0</v>
          </cell>
          <cell r="E871" t="str">
            <v>Part-C</v>
          </cell>
        </row>
        <row r="872">
          <cell r="C872">
            <v>15332</v>
          </cell>
          <cell r="D872" t="str">
            <v>6098</v>
          </cell>
          <cell r="E872" t="str">
            <v>Excise RG 23 C (Capital)</v>
          </cell>
        </row>
        <row r="873">
          <cell r="C873">
            <v>15333</v>
          </cell>
          <cell r="D873" t="str">
            <v>6097C</v>
          </cell>
          <cell r="E873" t="str">
            <v>Education Cess on RG 23 C</v>
          </cell>
        </row>
        <row r="874">
          <cell r="C874">
            <v>15334</v>
          </cell>
          <cell r="D874" t="str">
            <v>6097CH</v>
          </cell>
          <cell r="E874" t="str">
            <v>Higher Education Cess RG 23 C</v>
          </cell>
        </row>
        <row r="875">
          <cell r="D875" t="str">
            <v>6097PH</v>
          </cell>
          <cell r="E875" t="str">
            <v>Higher Education Cess PLA</v>
          </cell>
        </row>
        <row r="876">
          <cell r="E876" t="str">
            <v>Part-D</v>
          </cell>
        </row>
        <row r="877">
          <cell r="C877">
            <v>15339</v>
          </cell>
          <cell r="E877" t="str">
            <v>RG 23 D Cenvat Credit Transfer Account</v>
          </cell>
        </row>
        <row r="878">
          <cell r="C878">
            <v>15340</v>
          </cell>
          <cell r="E878" t="str">
            <v>RG 23 D Cenvat Credit Account</v>
          </cell>
        </row>
        <row r="879">
          <cell r="E879" t="str">
            <v>Deferred Excise Duty A/C (RG23)</v>
          </cell>
        </row>
        <row r="880">
          <cell r="E880" t="str">
            <v>Deferred Edu Cess A/C (RG23)</v>
          </cell>
        </row>
        <row r="881">
          <cell r="E881" t="str">
            <v>Deferred SHE Cess A/C (RG23 A)</v>
          </cell>
        </row>
        <row r="882">
          <cell r="D882">
            <v>0</v>
          </cell>
          <cell r="E882" t="str">
            <v>Service Tax</v>
          </cell>
        </row>
        <row r="883">
          <cell r="C883">
            <v>15344</v>
          </cell>
          <cell r="D883" t="str">
            <v>2543</v>
          </cell>
          <cell r="E883" t="str">
            <v>Service Tax</v>
          </cell>
        </row>
        <row r="884">
          <cell r="C884">
            <v>15345</v>
          </cell>
          <cell r="D884" t="str">
            <v>2544</v>
          </cell>
          <cell r="E884" t="str">
            <v>Edu. Cess on Service Tax</v>
          </cell>
        </row>
        <row r="885">
          <cell r="C885">
            <v>15346</v>
          </cell>
          <cell r="D885" t="str">
            <v>2548</v>
          </cell>
          <cell r="E885" t="str">
            <v>SH cess on Service Tax A</v>
          </cell>
        </row>
        <row r="886">
          <cell r="C886">
            <v>15351</v>
          </cell>
          <cell r="D886">
            <v>0</v>
          </cell>
          <cell r="E886" t="str">
            <v>Service Tax Interim Recoverable</v>
          </cell>
        </row>
        <row r="887">
          <cell r="C887">
            <v>15347</v>
          </cell>
          <cell r="D887" t="str">
            <v>2546</v>
          </cell>
          <cell r="E887" t="str">
            <v>Service Tax Payable</v>
          </cell>
        </row>
        <row r="888">
          <cell r="D888" t="str">
            <v>2547</v>
          </cell>
          <cell r="E888" t="str">
            <v>Education cess on Service tax - Trpt</v>
          </cell>
        </row>
        <row r="889">
          <cell r="C889">
            <v>15348</v>
          </cell>
          <cell r="D889" t="str">
            <v>2547'</v>
          </cell>
          <cell r="E889" t="str">
            <v>Cess on Service Tax Payable</v>
          </cell>
        </row>
        <row r="890">
          <cell r="C890">
            <v>15350</v>
          </cell>
          <cell r="E890" t="str">
            <v>Service Tax Interim Payable</v>
          </cell>
        </row>
        <row r="891">
          <cell r="C891">
            <v>15349</v>
          </cell>
          <cell r="D891" t="str">
            <v>2550</v>
          </cell>
          <cell r="E891" t="str">
            <v>SH cess on Service Tax Payable</v>
          </cell>
        </row>
        <row r="892">
          <cell r="E892" t="str">
            <v>Edu Cess Service Tax Interim Recoverable</v>
          </cell>
        </row>
        <row r="893">
          <cell r="D893">
            <v>0</v>
          </cell>
          <cell r="E893" t="str">
            <v>H Edu Cess Service Tax Interim Recoverable</v>
          </cell>
        </row>
        <row r="894">
          <cell r="D894">
            <v>0</v>
          </cell>
          <cell r="E894" t="str">
            <v>Others</v>
          </cell>
        </row>
        <row r="895">
          <cell r="C895">
            <v>15356</v>
          </cell>
          <cell r="D895" t="str">
            <v>3785</v>
          </cell>
          <cell r="E895" t="str">
            <v>Recoverable from Excise</v>
          </cell>
        </row>
        <row r="896">
          <cell r="C896">
            <v>15371</v>
          </cell>
          <cell r="E896" t="str">
            <v>Recoverable from Excise (Till The Time Matl Is With Processor)</v>
          </cell>
        </row>
        <row r="897">
          <cell r="D897" t="str">
            <v>3786</v>
          </cell>
          <cell r="E897" t="str">
            <v>Recoverable from Excise (Current</v>
          </cell>
        </row>
        <row r="898">
          <cell r="C898">
            <v>15357</v>
          </cell>
          <cell r="D898" t="str">
            <v>103</v>
          </cell>
          <cell r="E898" t="str">
            <v>Deferred Excise Duty (Capital Goods)</v>
          </cell>
        </row>
        <row r="899">
          <cell r="C899">
            <v>15358</v>
          </cell>
          <cell r="D899" t="str">
            <v>104</v>
          </cell>
          <cell r="E899" t="str">
            <v>Deferred Edu. Cess (Capital Goods)</v>
          </cell>
        </row>
        <row r="900">
          <cell r="C900">
            <v>15359</v>
          </cell>
          <cell r="D900" t="str">
            <v>105</v>
          </cell>
          <cell r="E900" t="str">
            <v>Deferred Higher Edu Cess (Capital Goods)</v>
          </cell>
        </row>
        <row r="901">
          <cell r="D901" t="str">
            <v>101</v>
          </cell>
        </row>
        <row r="902">
          <cell r="D902" t="str">
            <v>6108</v>
          </cell>
          <cell r="E902" t="str">
            <v>Excise Cochin</v>
          </cell>
        </row>
        <row r="903">
          <cell r="D903" t="str">
            <v>6096</v>
          </cell>
          <cell r="E903" t="str">
            <v>Excise Cochin</v>
          </cell>
        </row>
        <row r="904">
          <cell r="D904" t="str">
            <v>0102+SUS HEC</v>
          </cell>
          <cell r="E904" t="str">
            <v>Delete RG 23 A</v>
          </cell>
        </row>
        <row r="905">
          <cell r="E905" t="str">
            <v>Suspense a/c excise (GRN)</v>
          </cell>
        </row>
        <row r="906">
          <cell r="E906" t="str">
            <v>Sub-total</v>
          </cell>
        </row>
        <row r="907">
          <cell r="E907" t="str">
            <v>DEPB Licences on Hand</v>
          </cell>
        </row>
        <row r="908">
          <cell r="C908">
            <v>15218</v>
          </cell>
          <cell r="D908" t="str">
            <v>3715</v>
          </cell>
          <cell r="E908" t="str">
            <v>DEPB RECEIVABLE A/c</v>
          </cell>
        </row>
        <row r="910">
          <cell r="E910" t="str">
            <v>Sub-total</v>
          </cell>
        </row>
        <row r="911">
          <cell r="E911" t="str">
            <v>Interest accrude on Deposits</v>
          </cell>
        </row>
        <row r="912">
          <cell r="C912">
            <v>15216</v>
          </cell>
          <cell r="D912" t="str">
            <v>3710</v>
          </cell>
          <cell r="E912" t="str">
            <v>Interest Receivable</v>
          </cell>
        </row>
        <row r="914">
          <cell r="E914" t="str">
            <v>Sub-total</v>
          </cell>
        </row>
        <row r="916">
          <cell r="C916">
            <v>15256</v>
          </cell>
          <cell r="D916" t="str">
            <v>1514</v>
          </cell>
          <cell r="E916" t="str">
            <v>CREDITORS DR. BALANCE</v>
          </cell>
        </row>
        <row r="917">
          <cell r="D917" t="str">
            <v>3411</v>
          </cell>
          <cell r="E917" t="str">
            <v>Advance Others</v>
          </cell>
        </row>
        <row r="918">
          <cell r="C918">
            <v>15243</v>
          </cell>
          <cell r="D918" t="str">
            <v>3410</v>
          </cell>
          <cell r="E918" t="str">
            <v>Advance  Suppliers</v>
          </cell>
        </row>
        <row r="919">
          <cell r="D919" t="str">
            <v>3420*0</v>
          </cell>
          <cell r="E919" t="str">
            <v>Advance Capex</v>
          </cell>
        </row>
        <row r="920">
          <cell r="C920">
            <v>15239</v>
          </cell>
          <cell r="D920" t="str">
            <v>3510</v>
          </cell>
          <cell r="E920" t="str">
            <v>Advance against Expenses</v>
          </cell>
        </row>
        <row r="921">
          <cell r="D921" t="str">
            <v>3520</v>
          </cell>
          <cell r="E921" t="str">
            <v>Advance Travelling - (Currency)</v>
          </cell>
        </row>
        <row r="922">
          <cell r="D922" t="str">
            <v>3425</v>
          </cell>
          <cell r="E922" t="str">
            <v>Advance Grautity a/c</v>
          </cell>
        </row>
        <row r="923">
          <cell r="D923" t="str">
            <v>3511</v>
          </cell>
          <cell r="E923" t="str">
            <v>Imperest A/c.</v>
          </cell>
        </row>
        <row r="924">
          <cell r="C924">
            <v>15241</v>
          </cell>
          <cell r="D924" t="str">
            <v>3530</v>
          </cell>
          <cell r="E924" t="str">
            <v>Advance Against Salary/Wages</v>
          </cell>
        </row>
        <row r="925">
          <cell r="C925">
            <v>15242</v>
          </cell>
          <cell r="D925" t="str">
            <v>3540</v>
          </cell>
          <cell r="E925" t="str">
            <v>Advance against LTA</v>
          </cell>
        </row>
        <row r="926">
          <cell r="C926">
            <v>15244</v>
          </cell>
          <cell r="E926" t="str">
            <v>Advance Against Cheque</v>
          </cell>
        </row>
        <row r="927">
          <cell r="C927">
            <v>15249</v>
          </cell>
          <cell r="D927" t="str">
            <v>3550</v>
          </cell>
          <cell r="E927" t="str">
            <v>Festivals Loan</v>
          </cell>
        </row>
        <row r="928">
          <cell r="C928">
            <v>15250</v>
          </cell>
          <cell r="D928" t="str">
            <v>3560</v>
          </cell>
          <cell r="E928" t="str">
            <v>Car Loan</v>
          </cell>
        </row>
        <row r="929">
          <cell r="D929" t="str">
            <v>1741</v>
          </cell>
          <cell r="E929" t="str">
            <v>Share Refund  PCD</v>
          </cell>
        </row>
        <row r="930">
          <cell r="D930" t="str">
            <v>3570</v>
          </cell>
          <cell r="E930" t="str">
            <v>House Bldg Loan/Flood Relief Loan</v>
          </cell>
        </row>
        <row r="931">
          <cell r="C931">
            <v>15251</v>
          </cell>
          <cell r="D931" t="str">
            <v>3580</v>
          </cell>
          <cell r="E931" t="str">
            <v>Sundry Loan</v>
          </cell>
        </row>
        <row r="932">
          <cell r="C932">
            <v>15227</v>
          </cell>
          <cell r="D932" t="str">
            <v>3600</v>
          </cell>
          <cell r="E932" t="str">
            <v>Recoverable from Employees</v>
          </cell>
        </row>
        <row r="933">
          <cell r="D933" t="str">
            <v>2765</v>
          </cell>
          <cell r="E933" t="str">
            <v>Per exp recoverable</v>
          </cell>
        </row>
        <row r="934">
          <cell r="C934">
            <v>15228</v>
          </cell>
          <cell r="D934" t="str">
            <v>3601</v>
          </cell>
          <cell r="E934" t="str">
            <v>Recoverable from Others</v>
          </cell>
        </row>
        <row r="935">
          <cell r="C935">
            <v>15229</v>
          </cell>
          <cell r="D935" t="str">
            <v>3602</v>
          </cell>
          <cell r="E935" t="str">
            <v>Recoverable from Insurance Co.</v>
          </cell>
        </row>
        <row r="936">
          <cell r="C936">
            <v>15230</v>
          </cell>
          <cell r="D936" t="str">
            <v>3603</v>
          </cell>
          <cell r="E936" t="str">
            <v>Recoverable From Van Leer</v>
          </cell>
        </row>
        <row r="937">
          <cell r="C937">
            <v>15231</v>
          </cell>
          <cell r="D937" t="str">
            <v>3605</v>
          </cell>
          <cell r="E937" t="str">
            <v>Recoverable From L.I.C.- Gratuirty</v>
          </cell>
        </row>
        <row r="938">
          <cell r="D938" t="str">
            <v>3606</v>
          </cell>
          <cell r="E938" t="str">
            <v>Receivable From Income Tax Dept / Authority</v>
          </cell>
        </row>
        <row r="939">
          <cell r="C939">
            <v>15232</v>
          </cell>
          <cell r="E939" t="str">
            <v>Recoverable From ESIC</v>
          </cell>
        </row>
        <row r="940">
          <cell r="D940" t="str">
            <v>3607</v>
          </cell>
          <cell r="E940" t="str">
            <v>Recoverable from Customs</v>
          </cell>
        </row>
        <row r="941">
          <cell r="D941" t="str">
            <v>2770</v>
          </cell>
          <cell r="E941" t="str">
            <v>Misc. Deduction Salary</v>
          </cell>
        </row>
        <row r="942">
          <cell r="E942" t="str">
            <v>Sub-total</v>
          </cell>
        </row>
        <row r="943">
          <cell r="E943" t="str">
            <v>TOTAL</v>
          </cell>
        </row>
        <row r="945">
          <cell r="D945" t="str">
            <v>INVENTORIES</v>
          </cell>
        </row>
        <row r="946">
          <cell r="E946" t="str">
            <v>Stores &amp; Spares</v>
          </cell>
        </row>
        <row r="947">
          <cell r="C947" t="str">
            <v>15071-1</v>
          </cell>
          <cell r="D947" t="str">
            <v>3200</v>
          </cell>
          <cell r="E947" t="str">
            <v>Inventories</v>
          </cell>
        </row>
        <row r="948">
          <cell r="C948">
            <v>15072</v>
          </cell>
          <cell r="D948" t="str">
            <v>6095</v>
          </cell>
          <cell r="E948" t="str">
            <v>Stores Spares Not W/Off</v>
          </cell>
        </row>
        <row r="949">
          <cell r="E949" t="str">
            <v>Sub-total</v>
          </cell>
        </row>
        <row r="950">
          <cell r="E950" t="str">
            <v>Raw Material</v>
          </cell>
        </row>
        <row r="951">
          <cell r="C951">
            <v>15076</v>
          </cell>
          <cell r="D951" t="str">
            <v>9001</v>
          </cell>
          <cell r="E951" t="str">
            <v>Cl - St. of Raw Matl. -B/s</v>
          </cell>
        </row>
        <row r="952">
          <cell r="D952" t="str">
            <v>9000</v>
          </cell>
          <cell r="E952" t="str">
            <v>Cl.Stock [ GIT ] C / F</v>
          </cell>
        </row>
        <row r="953">
          <cell r="C953">
            <v>15090</v>
          </cell>
          <cell r="E953" t="str">
            <v>Goods-In-Transit (Rm)</v>
          </cell>
        </row>
        <row r="954">
          <cell r="E954" t="str">
            <v>Sub-total</v>
          </cell>
        </row>
        <row r="955">
          <cell r="E955" t="str">
            <v>Packing Material (Balance Sheet)</v>
          </cell>
        </row>
        <row r="956">
          <cell r="C956">
            <v>16000</v>
          </cell>
          <cell r="D956" t="str">
            <v>9002</v>
          </cell>
          <cell r="E956" t="str">
            <v>Cl-St. of Pack. Matl- B/s</v>
          </cell>
        </row>
        <row r="957">
          <cell r="D957" t="str">
            <v>6039</v>
          </cell>
          <cell r="E957" t="str">
            <v>Stock of Packing Materials B/s</v>
          </cell>
        </row>
        <row r="958">
          <cell r="E958" t="str">
            <v>Purchase A/c-Packing Mat. (B/s)</v>
          </cell>
        </row>
        <row r="959">
          <cell r="E959" t="str">
            <v>Issue A/c Packing Material Stock (BS)</v>
          </cell>
        </row>
        <row r="960">
          <cell r="E960" t="str">
            <v>Sub-total</v>
          </cell>
        </row>
        <row r="961">
          <cell r="E961" t="str">
            <v>Work in Progress</v>
          </cell>
        </row>
        <row r="962">
          <cell r="C962">
            <v>15130</v>
          </cell>
          <cell r="D962" t="str">
            <v>9004</v>
          </cell>
          <cell r="E962" t="str">
            <v>CL-St.of WIP- B/S</v>
          </cell>
        </row>
        <row r="963">
          <cell r="C963">
            <v>15648</v>
          </cell>
          <cell r="E963" t="str">
            <v>Scrap Consumed</v>
          </cell>
        </row>
        <row r="964">
          <cell r="C964" t="str">
            <v>15135-2</v>
          </cell>
          <cell r="E964" t="str">
            <v>Work In Process Scrap (Bs)</v>
          </cell>
        </row>
        <row r="965">
          <cell r="C965">
            <v>15623</v>
          </cell>
          <cell r="E965" t="str">
            <v>Wip Issue A/C - Work Center</v>
          </cell>
        </row>
        <row r="966">
          <cell r="C966">
            <v>15624</v>
          </cell>
          <cell r="E966" t="str">
            <v>Wip A/C - Work Center (Costing Offset)</v>
          </cell>
        </row>
        <row r="967">
          <cell r="C967">
            <v>15619</v>
          </cell>
        </row>
        <row r="968">
          <cell r="C968">
            <v>15620</v>
          </cell>
        </row>
        <row r="969">
          <cell r="E969" t="str">
            <v>Sub-total</v>
          </cell>
        </row>
        <row r="970">
          <cell r="E970" t="str">
            <v>Finished Goods</v>
          </cell>
        </row>
        <row r="971">
          <cell r="C971">
            <v>15116</v>
          </cell>
          <cell r="D971" t="str">
            <v>9003</v>
          </cell>
          <cell r="E971" t="str">
            <v>CL-St. of FG - B/s</v>
          </cell>
        </row>
        <row r="972">
          <cell r="C972">
            <v>15117</v>
          </cell>
          <cell r="E972" t="str">
            <v>FG STOCKS - EXCISE DUTY COMPONANT</v>
          </cell>
        </row>
        <row r="973">
          <cell r="E973" t="str">
            <v>Transfer Issue/Receipt A/C-(GIT) RM</v>
          </cell>
        </row>
        <row r="974">
          <cell r="E974" t="str">
            <v>Transfer Issue/Receipt A/C-(GIT) FG</v>
          </cell>
        </row>
        <row r="975">
          <cell r="E975" t="str">
            <v>Sub-total</v>
          </cell>
        </row>
        <row r="976">
          <cell r="E976" t="str">
            <v>TOTAL</v>
          </cell>
        </row>
        <row r="978">
          <cell r="D978" t="str">
            <v>TRADE RECEIVABLES</v>
          </cell>
        </row>
        <row r="979">
          <cell r="E979" t="str">
            <v>Considered Good</v>
          </cell>
        </row>
        <row r="980">
          <cell r="D980" t="str">
            <v>3300</v>
          </cell>
          <cell r="E980" t="str">
            <v>Sundry Debtors Control</v>
          </cell>
        </row>
        <row r="981">
          <cell r="C981">
            <v>15136</v>
          </cell>
          <cell r="E981" t="str">
            <v>Sundry Debtors - Domestic</v>
          </cell>
        </row>
        <row r="982">
          <cell r="C982">
            <v>15137</v>
          </cell>
          <cell r="E982" t="str">
            <v>Sundry Debtors - Foreign</v>
          </cell>
        </row>
        <row r="983">
          <cell r="C983">
            <v>15138</v>
          </cell>
          <cell r="D983" t="str">
            <v>2150</v>
          </cell>
          <cell r="E983" t="str">
            <v>Provision for doubtful debts</v>
          </cell>
        </row>
        <row r="984">
          <cell r="E984" t="str">
            <v>Branch Sales</v>
          </cell>
        </row>
        <row r="985">
          <cell r="E985" t="str">
            <v>Sundry Debtors Control Exports</v>
          </cell>
        </row>
        <row r="986">
          <cell r="E986" t="str">
            <v>Debtors CR, BAL</v>
          </cell>
        </row>
        <row r="987">
          <cell r="D987" t="str">
            <v>2575</v>
          </cell>
          <cell r="E987" t="str">
            <v>Sundry Debtors Cross Adj A/c</v>
          </cell>
        </row>
        <row r="988">
          <cell r="E988" t="str">
            <v>TOTAL</v>
          </cell>
        </row>
        <row r="990">
          <cell r="D990" t="str">
            <v>CASH &amp; BANK BALANCES</v>
          </cell>
        </row>
        <row r="992">
          <cell r="C992">
            <v>15151</v>
          </cell>
          <cell r="D992" t="str">
            <v>0400</v>
          </cell>
          <cell r="E992" t="str">
            <v>Cash in Hand</v>
          </cell>
        </row>
        <row r="994">
          <cell r="C994">
            <v>15152</v>
          </cell>
          <cell r="D994" t="str">
            <v>0450</v>
          </cell>
          <cell r="E994" t="str">
            <v>Cheques in Hand</v>
          </cell>
        </row>
        <row r="995">
          <cell r="C995">
            <v>15622</v>
          </cell>
          <cell r="E995" t="str">
            <v>MULTIPLE ENTRY IN BANK PAYMENT ACCOUNT (SUSPENSE)</v>
          </cell>
        </row>
        <row r="998">
          <cell r="C998">
            <v>15183</v>
          </cell>
          <cell r="D998" t="str">
            <v>0740</v>
          </cell>
          <cell r="E998" t="str">
            <v>Fixed Deposits</v>
          </cell>
        </row>
        <row r="1002">
          <cell r="C1002">
            <v>15155</v>
          </cell>
          <cell r="D1002" t="str">
            <v>0530</v>
          </cell>
          <cell r="E1002" t="str">
            <v>C/A BOI (Turbhe)</v>
          </cell>
        </row>
        <row r="1003">
          <cell r="C1003">
            <v>15159</v>
          </cell>
          <cell r="D1003" t="str">
            <v>0531</v>
          </cell>
          <cell r="E1003" t="str">
            <v>C/A S B T (TURBHE)</v>
          </cell>
        </row>
        <row r="1004">
          <cell r="C1004">
            <v>15170</v>
          </cell>
          <cell r="D1004" t="str">
            <v>0540</v>
          </cell>
          <cell r="E1004" t="str">
            <v>Trustee Group Gratuity (BOI)</v>
          </cell>
        </row>
        <row r="1005">
          <cell r="D1005" t="str">
            <v>0451*0</v>
          </cell>
          <cell r="E1005" t="str">
            <v>Cheque in Stale</v>
          </cell>
        </row>
        <row r="1006">
          <cell r="C1006">
            <v>15171</v>
          </cell>
          <cell r="D1006" t="str">
            <v>0542</v>
          </cell>
          <cell r="E1006" t="str">
            <v>Superannuation a/c BOI</v>
          </cell>
        </row>
        <row r="1007">
          <cell r="C1007">
            <v>15174</v>
          </cell>
          <cell r="D1007" t="str">
            <v>0546</v>
          </cell>
          <cell r="E1007" t="str">
            <v>Debenture Redemption A/c 98-99 (BOI)</v>
          </cell>
        </row>
        <row r="1008">
          <cell r="D1008" t="str">
            <v>0547</v>
          </cell>
          <cell r="E1008" t="str">
            <v>ABN AMRO BANK (Current A/C)</v>
          </cell>
        </row>
        <row r="1009">
          <cell r="E1009" t="str">
            <v>Current Account HSBC (003)</v>
          </cell>
        </row>
        <row r="1010">
          <cell r="C1010">
            <v>15157</v>
          </cell>
          <cell r="D1010" t="str">
            <v>0605</v>
          </cell>
          <cell r="E1010" t="str">
            <v>Current Account Corporation Bank</v>
          </cell>
        </row>
        <row r="1011">
          <cell r="E1011" t="str">
            <v>Corporation Bank</v>
          </cell>
        </row>
        <row r="1012">
          <cell r="E1012" t="str">
            <v>RBS Bank</v>
          </cell>
        </row>
        <row r="1013">
          <cell r="C1013">
            <v>15158</v>
          </cell>
          <cell r="D1013" t="str">
            <v>0606</v>
          </cell>
          <cell r="E1013" t="str">
            <v>ICICI BANK</v>
          </cell>
        </row>
        <row r="1014">
          <cell r="C1014">
            <v>15156</v>
          </cell>
          <cell r="D1014" t="str">
            <v>0607</v>
          </cell>
          <cell r="E1014" t="str">
            <v>HSBC - MG ROAD BRANCH</v>
          </cell>
        </row>
        <row r="1015">
          <cell r="C1015">
            <v>15160</v>
          </cell>
          <cell r="D1015" t="str">
            <v>0609</v>
          </cell>
          <cell r="E1015" t="str">
            <v>C/A - hdfc-dehradun</v>
          </cell>
        </row>
        <row r="1016">
          <cell r="D1016" t="str">
            <v>0611</v>
          </cell>
          <cell r="E1016" t="str">
            <v>C/A - Indus Ind Bank</v>
          </cell>
        </row>
        <row r="1017">
          <cell r="C1017">
            <v>15162</v>
          </cell>
          <cell r="D1017" t="str">
            <v>0754</v>
          </cell>
          <cell r="E1017" t="str">
            <v>Currrent Account - SCB</v>
          </cell>
        </row>
        <row r="1018">
          <cell r="C1018">
            <v>15185</v>
          </cell>
          <cell r="D1018" t="str">
            <v>0625</v>
          </cell>
          <cell r="E1018" t="str">
            <v>Current A/C - UCO BANK</v>
          </cell>
        </row>
        <row r="1019">
          <cell r="C1019">
            <v>15169</v>
          </cell>
          <cell r="D1019" t="str">
            <v>0751</v>
          </cell>
          <cell r="E1019" t="str">
            <v>Refund  PCD  - Federal Bank</v>
          </cell>
        </row>
        <row r="1020">
          <cell r="C1020">
            <v>15164</v>
          </cell>
          <cell r="D1020" t="str">
            <v>0545</v>
          </cell>
          <cell r="E1020" t="str">
            <v>EEFC</v>
          </cell>
        </row>
        <row r="1021">
          <cell r="C1021">
            <v>15165</v>
          </cell>
          <cell r="E1021" t="str">
            <v>EEFC-HSBC</v>
          </cell>
        </row>
        <row r="1022">
          <cell r="C1022">
            <v>15180</v>
          </cell>
          <cell r="D1022" t="str">
            <v>0740</v>
          </cell>
          <cell r="E1022" t="str">
            <v>Fixed Deposits</v>
          </cell>
        </row>
        <row r="1023">
          <cell r="E1023" t="str">
            <v>With Others</v>
          </cell>
        </row>
        <row r="1024">
          <cell r="C1024">
            <v>15186</v>
          </cell>
          <cell r="E1024" t="str">
            <v>ICICI Bank-Vashi</v>
          </cell>
        </row>
        <row r="1025">
          <cell r="C1025">
            <v>15182</v>
          </cell>
          <cell r="D1025" t="str">
            <v>0730</v>
          </cell>
          <cell r="E1025" t="str">
            <v>Muncipal Co op Bank</v>
          </cell>
        </row>
        <row r="1026">
          <cell r="D1026" t="str">
            <v>0601</v>
          </cell>
          <cell r="E1026" t="str">
            <v>Current Account - HSBC (003)</v>
          </cell>
        </row>
        <row r="1028">
          <cell r="D1028" t="str">
            <v>Unpaid Dividend</v>
          </cell>
        </row>
        <row r="1029">
          <cell r="C1029">
            <v>15175</v>
          </cell>
          <cell r="D1029" t="str">
            <v>0724</v>
          </cell>
          <cell r="E1029" t="str">
            <v>Dividend A/c 2004-05 ( Bank)</v>
          </cell>
        </row>
        <row r="1030">
          <cell r="D1030" t="str">
            <v>0725</v>
          </cell>
          <cell r="E1030" t="str">
            <v>Dividend A/c 2005-06 ( Bank)</v>
          </cell>
        </row>
        <row r="1031">
          <cell r="D1031" t="str">
            <v>0726</v>
          </cell>
          <cell r="E1031" t="str">
            <v>Dividend A/c 2006-07 ( Bank)</v>
          </cell>
        </row>
        <row r="1032">
          <cell r="D1032" t="str">
            <v>0727</v>
          </cell>
          <cell r="E1032" t="str">
            <v>Dividend A/c 2007-08 ( Bank)</v>
          </cell>
        </row>
        <row r="1033">
          <cell r="D1033" t="str">
            <v>0728</v>
          </cell>
          <cell r="E1033" t="str">
            <v>Dividend A/c 20097-10 ( Bank)</v>
          </cell>
        </row>
        <row r="1035">
          <cell r="E1035" t="str">
            <v>TOTAL</v>
          </cell>
        </row>
        <row r="1037">
          <cell r="D1037" t="str">
            <v>INTERUNIT ACCOUNT</v>
          </cell>
        </row>
        <row r="1038">
          <cell r="E1038" t="str">
            <v>Current A/c ( Inter Unit) - SDC &amp; PCD-T</v>
          </cell>
        </row>
        <row r="1039">
          <cell r="D1039" t="str">
            <v>0200</v>
          </cell>
          <cell r="E1039" t="str">
            <v xml:space="preserve">Current A/c HO </v>
          </cell>
        </row>
        <row r="1040">
          <cell r="D1040" t="str">
            <v>0201</v>
          </cell>
          <cell r="E1040" t="str">
            <v>Current Account- Valerex ((PCD-Turbhe)</v>
          </cell>
        </row>
        <row r="1041">
          <cell r="C1041">
            <v>14274</v>
          </cell>
          <cell r="E1041" t="str">
            <v>Inter Unit Account (0200, 206, 608</v>
          </cell>
        </row>
        <row r="1042">
          <cell r="C1042">
            <v>14275</v>
          </cell>
          <cell r="E1042" t="str">
            <v>Inter Unit Account Payable</v>
          </cell>
        </row>
        <row r="1043">
          <cell r="D1043" t="str">
            <v>0202</v>
          </cell>
          <cell r="E1043" t="str">
            <v>Corrent Account - HO Ledger</v>
          </cell>
        </row>
        <row r="1044">
          <cell r="D1044" t="str">
            <v>0204</v>
          </cell>
          <cell r="E1044" t="str">
            <v>HO - A/C - Plastic Contianer - Division - Chennai</v>
          </cell>
        </row>
        <row r="1045">
          <cell r="D1045" t="str">
            <v>0205</v>
          </cell>
          <cell r="E1045" t="str">
            <v>Bank  A/c Closure Division</v>
          </cell>
        </row>
        <row r="1046">
          <cell r="D1046" t="str">
            <v>0608</v>
          </cell>
          <cell r="E1046" t="str">
            <v>Current A/c - (CBR - VLX)</v>
          </cell>
        </row>
        <row r="1048">
          <cell r="D1048" t="str">
            <v>Current A/c ( Inter Unit) - SDC &amp; PCD-C</v>
          </cell>
        </row>
        <row r="1049">
          <cell r="D1049" t="str">
            <v>0200</v>
          </cell>
          <cell r="E1049" t="str">
            <v>Current A/c HO</v>
          </cell>
        </row>
        <row r="1050">
          <cell r="C1050">
            <v>14276</v>
          </cell>
          <cell r="D1050" t="str">
            <v>0203</v>
          </cell>
          <cell r="E1050" t="str">
            <v>HO - A/C - Plastic Contianer - Division- Chennai</v>
          </cell>
        </row>
        <row r="1051">
          <cell r="D1051" t="str">
            <v>0205</v>
          </cell>
          <cell r="E1051" t="str">
            <v>Bank  A/c Closure Division</v>
          </cell>
        </row>
        <row r="1052">
          <cell r="D1052" t="str">
            <v>0204</v>
          </cell>
          <cell r="E1052" t="str">
            <v>Bank A/c Plastic Container Division</v>
          </cell>
        </row>
        <row r="1055">
          <cell r="D1055" t="str">
            <v>Current A/c ( Inter Unit) - PCD - T &amp; PCD - C</v>
          </cell>
        </row>
        <row r="1056">
          <cell r="D1056" t="str">
            <v>0200</v>
          </cell>
          <cell r="E1056" t="str">
            <v>Current A/c HO</v>
          </cell>
        </row>
        <row r="1057">
          <cell r="D1057" t="str">
            <v>0201</v>
          </cell>
          <cell r="E1057" t="str">
            <v>Current Account+ Valerex</v>
          </cell>
        </row>
        <row r="1058">
          <cell r="D1058" t="str">
            <v>0203</v>
          </cell>
          <cell r="E1058" t="str">
            <v>HO + A/C + Plastic Contianer + Division+ Chennai</v>
          </cell>
        </row>
        <row r="1059">
          <cell r="D1059" t="str">
            <v>0204</v>
          </cell>
          <cell r="E1059" t="str">
            <v>Bank A/c Plastic Container Division</v>
          </cell>
        </row>
        <row r="1060">
          <cell r="D1060" t="str">
            <v>0608</v>
          </cell>
          <cell r="E1060" t="str">
            <v>Current A/c + (CBR+VLX)</v>
          </cell>
        </row>
        <row r="1062">
          <cell r="D1062" t="str">
            <v>Current A/c ( Inter Unit) - PCD-NORTH</v>
          </cell>
        </row>
        <row r="1063">
          <cell r="D1063" t="str">
            <v>0200</v>
          </cell>
          <cell r="E1063" t="str">
            <v>Current A/c HO</v>
          </cell>
        </row>
        <row r="1064">
          <cell r="D1064" t="str">
            <v>0201</v>
          </cell>
          <cell r="E1064" t="str">
            <v>Current Account - Valerex</v>
          </cell>
        </row>
        <row r="1065">
          <cell r="D1065" t="str">
            <v>0203</v>
          </cell>
          <cell r="E1065" t="str">
            <v>HO - A/C - Plastic Contianer - Division - Chennai</v>
          </cell>
        </row>
        <row r="1066">
          <cell r="D1066" t="str">
            <v>0204</v>
          </cell>
          <cell r="E1066" t="str">
            <v>Bank A/c Plastic Container Division</v>
          </cell>
        </row>
        <row r="1067">
          <cell r="C1067">
            <v>14277</v>
          </cell>
          <cell r="D1067" t="str">
            <v>0206</v>
          </cell>
          <cell r="E1067" t="str">
            <v>HO - A/C PCD - DEHARDUN (GL)</v>
          </cell>
        </row>
        <row r="1068">
          <cell r="E1068" t="str">
            <v>Unrealised Profit/Loss on Transfer</v>
          </cell>
        </row>
        <row r="1069">
          <cell r="D1069" t="str">
            <v>0207</v>
          </cell>
          <cell r="E1069" t="str">
            <v>HO -  A/C PCD - DEHARDUN (BANK)</v>
          </cell>
        </row>
        <row r="1070">
          <cell r="D1070" t="str">
            <v>0608</v>
          </cell>
          <cell r="E1070" t="str">
            <v>Current A/c - (CBR - VLX)</v>
          </cell>
        </row>
        <row r="1073">
          <cell r="E1073" t="str">
            <v>SYSTEM (ERP) ACCOUNTS</v>
          </cell>
        </row>
        <row r="1074">
          <cell r="C1074">
            <v>12150</v>
          </cell>
          <cell r="E1074" t="str">
            <v>Raw Material Consumed (Bom)</v>
          </cell>
        </row>
        <row r="1075">
          <cell r="C1075">
            <v>12153</v>
          </cell>
          <cell r="E1075" t="str">
            <v>Consumption Raw Materials (Other Than Bom)</v>
          </cell>
        </row>
        <row r="1076">
          <cell r="C1076">
            <v>12155</v>
          </cell>
          <cell r="E1076" t="str">
            <v>Plating Chemicals Consumed (Other Than Bom)</v>
          </cell>
        </row>
        <row r="1077">
          <cell r="C1077">
            <v>12225</v>
          </cell>
          <cell r="E1077" t="str">
            <v>Packing Material Consumed</v>
          </cell>
        </row>
        <row r="1078">
          <cell r="C1078">
            <v>13102</v>
          </cell>
          <cell r="E1078" t="str">
            <v>Stock Valuation Diff A/C (Wip)</v>
          </cell>
        </row>
        <row r="1079">
          <cell r="C1079">
            <v>13111</v>
          </cell>
          <cell r="E1079" t="str">
            <v>Stores, Spare Parts, Consumables Consumed</v>
          </cell>
        </row>
        <row r="1082">
          <cell r="C1082">
            <v>14034</v>
          </cell>
          <cell r="E1082">
            <v>0</v>
          </cell>
        </row>
        <row r="1085">
          <cell r="C1085">
            <v>15027</v>
          </cell>
          <cell r="E1085" t="str">
            <v>Accumlated Depreciation Computers</v>
          </cell>
        </row>
        <row r="1086">
          <cell r="C1086">
            <v>15028</v>
          </cell>
          <cell r="E1086" t="str">
            <v>Accumlated Depreciation Furniture &amp; Fittings</v>
          </cell>
        </row>
        <row r="1087">
          <cell r="C1087">
            <v>15089</v>
          </cell>
          <cell r="E1087" t="str">
            <v>Goods-In-Transit (Fg)</v>
          </cell>
        </row>
        <row r="1088">
          <cell r="E1088" t="str">
            <v>Goods-In-Transit (Rm)</v>
          </cell>
        </row>
        <row r="1089">
          <cell r="C1089">
            <v>15091</v>
          </cell>
          <cell r="E1089" t="str">
            <v>Transfer Issue/Receipt A/C (Git) Rm</v>
          </cell>
        </row>
        <row r="1090">
          <cell r="C1090">
            <v>15092</v>
          </cell>
          <cell r="E1090" t="str">
            <v>Unrealised Profit/Loss On Transfer</v>
          </cell>
        </row>
        <row r="1091">
          <cell r="C1091">
            <v>15095</v>
          </cell>
          <cell r="E1091" t="str">
            <v>Transfer Issue/Receipt A/C (Git) Fg</v>
          </cell>
        </row>
        <row r="1092">
          <cell r="C1092">
            <v>15119</v>
          </cell>
          <cell r="E1092" t="str">
            <v>Packing Slip A/C (Matl Assign Yet To Despatch [Net 15615])</v>
          </cell>
        </row>
        <row r="1093">
          <cell r="C1093">
            <v>15123</v>
          </cell>
          <cell r="E1093" t="str">
            <v>Scrap Receipt</v>
          </cell>
        </row>
        <row r="1094">
          <cell r="C1094">
            <v>15124</v>
          </cell>
          <cell r="E1094" t="str">
            <v>Purchase, Packing Slip Prov For Pending Grn Wip)</v>
          </cell>
        </row>
        <row r="1095">
          <cell r="E1095" t="str">
            <v>Work In Process Stock (Bs)</v>
          </cell>
        </row>
        <row r="1096">
          <cell r="C1096">
            <v>15139</v>
          </cell>
          <cell r="E1096" t="str">
            <v>Branch Sales</v>
          </cell>
        </row>
        <row r="1097">
          <cell r="E1097" t="e">
            <v>#N/A</v>
          </cell>
        </row>
        <row r="1098">
          <cell r="C1098">
            <v>15184</v>
          </cell>
          <cell r="E1098" t="str">
            <v>Margin Money Account</v>
          </cell>
        </row>
        <row r="1099">
          <cell r="C1099">
            <v>15219</v>
          </cell>
          <cell r="E1099" t="str">
            <v>Aa Receivable A/C</v>
          </cell>
        </row>
        <row r="1100">
          <cell r="E1100" t="str">
            <v>Recoverable From Employees</v>
          </cell>
        </row>
        <row r="1101">
          <cell r="C1101">
            <v>15606</v>
          </cell>
          <cell r="E1101" t="str">
            <v>Import Duty Expence A/C</v>
          </cell>
        </row>
        <row r="1102">
          <cell r="C1102">
            <v>15609</v>
          </cell>
          <cell r="E1102" t="str">
            <v>Export Duty Payable A/C</v>
          </cell>
        </row>
        <row r="1103">
          <cell r="C1103">
            <v>15612</v>
          </cell>
          <cell r="E1103" t="str">
            <v>Tax Adjustment - Settlement (Sys)</v>
          </cell>
        </row>
        <row r="1104">
          <cell r="C1104">
            <v>15614</v>
          </cell>
          <cell r="E1104" t="str">
            <v>Issue A/C - Packing Material Stock (Bs)</v>
          </cell>
        </row>
        <row r="1105">
          <cell r="C1105">
            <v>15615</v>
          </cell>
          <cell r="E1105" t="str">
            <v>Packing Slip A/C Off Set (Matl Assign Yet To Des Net 15119)</v>
          </cell>
        </row>
        <row r="1106">
          <cell r="C1106">
            <v>15616</v>
          </cell>
          <cell r="E1106" t="str">
            <v>Production Issue Offset A/C Sales Order Issue (1)</v>
          </cell>
        </row>
        <row r="1107">
          <cell r="C1107">
            <v>15617</v>
          </cell>
          <cell r="E1107" t="str">
            <v>Production Picking Slip A/C (1)</v>
          </cell>
        </row>
        <row r="1108">
          <cell r="C1108">
            <v>15618</v>
          </cell>
          <cell r="E1108" t="str">
            <v>Production Picking Slip Offset A/C (1)</v>
          </cell>
        </row>
        <row r="1109">
          <cell r="E1109" t="str">
            <v>Opening Balance Off Set A/C</v>
          </cell>
        </row>
        <row r="1110">
          <cell r="C1110">
            <v>15631</v>
          </cell>
          <cell r="E1110" t="str">
            <v>Inventory Issue A/C (Internal) - Rm</v>
          </cell>
        </row>
        <row r="1111">
          <cell r="C1111">
            <v>15632</v>
          </cell>
          <cell r="E1111" t="str">
            <v>Issue A/C - Rm</v>
          </cell>
        </row>
        <row r="1112">
          <cell r="C1112">
            <v>15633</v>
          </cell>
          <cell r="E1112" t="str">
            <v>Inventory Issue A/C (Internal) - Rm (Steel/Hdpe)</v>
          </cell>
        </row>
        <row r="1113">
          <cell r="C1113">
            <v>15634</v>
          </cell>
          <cell r="E1113" t="str">
            <v>Issue A/C - Rm (Steel / Hdpe) - Bs</v>
          </cell>
        </row>
        <row r="1114">
          <cell r="C1114">
            <v>15635</v>
          </cell>
          <cell r="E1114" t="str">
            <v>Inventory Issue A/C (Internal) - Rm (Gasket Tube/ M B)</v>
          </cell>
        </row>
        <row r="1115">
          <cell r="C1115">
            <v>15636</v>
          </cell>
          <cell r="E1115" t="str">
            <v>Issue A/C - Rm (Gasket Tube / Master Batch) - Bs</v>
          </cell>
        </row>
        <row r="1116">
          <cell r="C1116">
            <v>15637</v>
          </cell>
          <cell r="E1116" t="str">
            <v>Inventory Issue A/C (Internal) - Rm (Tinplate / Co-Pp)</v>
          </cell>
        </row>
        <row r="1117">
          <cell r="C1117">
            <v>15638</v>
          </cell>
          <cell r="E1117" t="str">
            <v>Issue A/C - Rm (Tin Plate / Co-Pp) - Bs</v>
          </cell>
        </row>
        <row r="1118">
          <cell r="C1118">
            <v>15639</v>
          </cell>
          <cell r="E1118" t="str">
            <v>Inventory Issue A/C (Internal) - Rm (Inks)</v>
          </cell>
        </row>
        <row r="1119">
          <cell r="C1119">
            <v>15640</v>
          </cell>
          <cell r="E1119" t="str">
            <v>Isse A/C - Rm (Inks) - Bs</v>
          </cell>
        </row>
        <row r="1120">
          <cell r="C1120">
            <v>15641</v>
          </cell>
          <cell r="E1120" t="str">
            <v>Inventory Issue A/C (Internal) - Rm (Chemicals/Accessories)</v>
          </cell>
        </row>
        <row r="1121">
          <cell r="C1121">
            <v>15642</v>
          </cell>
          <cell r="E1121" t="str">
            <v>Issue A/C - Rm (Chemicals / Accessories) - Bs</v>
          </cell>
        </row>
        <row r="1122">
          <cell r="C1122">
            <v>15643</v>
          </cell>
          <cell r="E1122" t="str">
            <v>Inventory Issue A/C (Internal) - Rm (Others)</v>
          </cell>
        </row>
        <row r="1123">
          <cell r="C1123">
            <v>15644</v>
          </cell>
          <cell r="E1123" t="str">
            <v>Issue A/C - Rm (Others) - Bs</v>
          </cell>
        </row>
        <row r="1124">
          <cell r="C1124">
            <v>15645</v>
          </cell>
          <cell r="E1124" t="str">
            <v>Inventory Issue A/C (Internal) - Rm (Purchase+Process)</v>
          </cell>
        </row>
        <row r="1125">
          <cell r="C1125">
            <v>15646</v>
          </cell>
          <cell r="E1125" t="str">
            <v>Issue A/C - Rm (Puchase-Process) - Bs</v>
          </cell>
        </row>
        <row r="1126">
          <cell r="C1126">
            <v>15647</v>
          </cell>
          <cell r="E1126" t="str">
            <v>Inventory Issue A/C (Internal) - Fg/Wip/Scrap</v>
          </cell>
        </row>
        <row r="1129">
          <cell r="D1129" t="str">
            <v>Total of Assets</v>
          </cell>
        </row>
      </sheetData>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Joe"/>
      <sheetName val="Cover Page"/>
      <sheetName val="Key Indicators"/>
      <sheetName val="AR Bal"/>
      <sheetName val="AR Graphs"/>
      <sheetName val="ESBU Prod'y"/>
      <sheetName val="ESBU Mo Fcst"/>
      <sheetName val="ESBU YTD Fcst"/>
      <sheetName val="GRF Prod'y"/>
      <sheetName val="GRF Mo Fcst"/>
      <sheetName val="GRF YTD Fcst"/>
      <sheetName val="PUB Prod'y"/>
      <sheetName val="PUB Mo Fcst"/>
      <sheetName val="PUB YTD Fcst"/>
      <sheetName val="YRK Prod'y"/>
      <sheetName val="YRK Mo Fcst"/>
      <sheetName val="YRK YTD Fcst"/>
      <sheetName val="DEL Prod'y"/>
      <sheetName val="DEL Mo Fcst"/>
      <sheetName val="DEL YTD Fcst"/>
      <sheetName val="ELIM Mo Fcst"/>
      <sheetName val="ELIM YTD Fcst"/>
      <sheetName val="ESBU Dtl 1"/>
      <sheetName val="ESBU Dtl 2"/>
      <sheetName val="GRF Dtl 1"/>
      <sheetName val="GRF Dtl 2"/>
      <sheetName val="PUB Dtl 1"/>
      <sheetName val="PUB Dtl 2"/>
      <sheetName val="YRK Dtl 1"/>
      <sheetName val="YRK Dtl 2"/>
      <sheetName val="DEL Dtl 1"/>
      <sheetName val="DEL Dtl 2"/>
      <sheetName val="ELIM Dtl 1"/>
      <sheetName val="ELIM Dtl 2"/>
      <sheetName val="DSO"/>
      <sheetName val="Glossary"/>
    </sheetNames>
    <sheetDataSet>
      <sheetData sheetId="0"/>
      <sheetData sheetId="1"/>
      <sheetData sheetId="2"/>
      <sheetData sheetId="3"/>
      <sheetData sheetId="4" refreshError="1">
        <row r="2">
          <cell r="A2" t="str">
            <v>Accounts Receivables - By Age</v>
          </cell>
        </row>
        <row r="3">
          <cell r="A3" t="str">
            <v>For the 54 Months Ended 12/31/02</v>
          </cell>
        </row>
        <row r="5">
          <cell r="A5" t="str">
            <v>Total A/R Balances</v>
          </cell>
        </row>
        <row r="33">
          <cell r="A33" t="str">
            <v>Percentage of A/R Balances in Each Aging Category</v>
          </cell>
        </row>
        <row r="65">
          <cell r="A65" t="str">
            <v>The GTS Companies</v>
          </cell>
        </row>
        <row r="66">
          <cell r="A66" t="str">
            <v>Accounts Receivables - By Age</v>
          </cell>
        </row>
        <row r="67">
          <cell r="A67" t="str">
            <v>For the 54 Months Ended 12/31/02</v>
          </cell>
        </row>
        <row r="69">
          <cell r="A69" t="str">
            <v>A/R Balances &gt; 90 Days</v>
          </cell>
        </row>
        <row r="97">
          <cell r="A97" t="str">
            <v>&gt; 90 Day Balance as a Percentage of Total A/R Balance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 end (Daily rate)"/>
      <sheetName val="Monthly rate"/>
    </sheetNames>
    <sheetDataSet>
      <sheetData sheetId="0"/>
      <sheetData sheetId="1">
        <row r="1">
          <cell r="A1" t="str">
            <v xml:space="preserve">F11 EXCHANGE RATES </v>
          </cell>
        </row>
        <row r="2">
          <cell r="A2" t="str">
            <v>Title</v>
          </cell>
          <cell r="B2" t="str">
            <v>A$1=USD</v>
          </cell>
          <cell r="C2" t="str">
            <v>Trade-weighted Index May 1970 = 100</v>
          </cell>
          <cell r="D2" t="str">
            <v>A$1=CNY</v>
          </cell>
          <cell r="E2" t="str">
            <v>A$1=JPY</v>
          </cell>
          <cell r="F2" t="str">
            <v>A$1=EUR</v>
          </cell>
          <cell r="G2" t="str">
            <v>A$1=KRW</v>
          </cell>
          <cell r="H2" t="str">
            <v>A$1=GBP</v>
          </cell>
          <cell r="I2" t="str">
            <v>A$1=SGD</v>
          </cell>
          <cell r="J2" t="str">
            <v>A$1=INR</v>
          </cell>
          <cell r="K2" t="str">
            <v>A$1=THB</v>
          </cell>
          <cell r="L2" t="str">
            <v>A$1=NZD</v>
          </cell>
          <cell r="M2" t="str">
            <v>A$1=TWD</v>
          </cell>
          <cell r="N2" t="str">
            <v>A$1=MYR</v>
          </cell>
          <cell r="O2" t="str">
            <v>A$1=IDR</v>
          </cell>
          <cell r="P2" t="str">
            <v>A$1=VND</v>
          </cell>
          <cell r="Q2" t="str">
            <v>A$1=AED</v>
          </cell>
          <cell r="R2" t="str">
            <v>A$1=PGK</v>
          </cell>
          <cell r="S2" t="str">
            <v>A$1=HKD</v>
          </cell>
          <cell r="T2" t="str">
            <v>A$1=CAD</v>
          </cell>
          <cell r="U2" t="str">
            <v>A$1=ZAR</v>
          </cell>
          <cell r="V2" t="str">
            <v>A$1=SAR</v>
          </cell>
          <cell r="W2" t="str">
            <v>A$1=CHF</v>
          </cell>
          <cell r="X2" t="str">
            <v>A$1=SEK</v>
          </cell>
          <cell r="Y2" t="str">
            <v>A$1=PHP</v>
          </cell>
          <cell r="Z2" t="str">
            <v>A$1=SDR</v>
          </cell>
        </row>
        <row r="3">
          <cell r="A3" t="str">
            <v>Description</v>
          </cell>
          <cell r="B3" t="str">
            <v>AUD/USD Exchange Rate; see notes for further detail.</v>
          </cell>
          <cell r="C3" t="str">
            <v>Australian Dollar Trade-weighted Index</v>
          </cell>
          <cell r="D3" t="str">
            <v>AUD/CNY Exchange Rate</v>
          </cell>
          <cell r="E3" t="str">
            <v>AUD/JPY Exchange Rate</v>
          </cell>
          <cell r="F3" t="str">
            <v>AUD/EUR Exchange Rate</v>
          </cell>
          <cell r="G3" t="str">
            <v>AUD/KRW Exchange Rate</v>
          </cell>
          <cell r="H3" t="str">
            <v>AUD/GBP Exchange Rate</v>
          </cell>
          <cell r="I3" t="str">
            <v>AUD/SGD Exchange Rate</v>
          </cell>
          <cell r="J3" t="str">
            <v>AUD/INR Exchange Rate</v>
          </cell>
          <cell r="K3" t="str">
            <v>AUD/THB Exchange Rate</v>
          </cell>
          <cell r="L3" t="str">
            <v>AUD/NZD Exchange Rate</v>
          </cell>
          <cell r="M3" t="str">
            <v>AUD/TWD Exchange Rate</v>
          </cell>
          <cell r="N3" t="str">
            <v>AUD/MYR Exchange Rate</v>
          </cell>
          <cell r="O3" t="str">
            <v>AUD/IDR Exchange Rate</v>
          </cell>
          <cell r="P3" t="str">
            <v>AUD/VND Exchange Rate</v>
          </cell>
          <cell r="Q3" t="str">
            <v>AUD/AED Exchange Rate</v>
          </cell>
          <cell r="R3" t="str">
            <v>AUD/PGK Exchange Rate</v>
          </cell>
          <cell r="S3" t="str">
            <v>AUD/HKD Exchange Rate</v>
          </cell>
          <cell r="T3" t="str">
            <v>AUD/CAD Exchange Rate</v>
          </cell>
          <cell r="U3" t="str">
            <v>AUD/ZAR Exchange Rate</v>
          </cell>
          <cell r="V3" t="str">
            <v>AUD/SAR Exchange Rate</v>
          </cell>
          <cell r="W3" t="str">
            <v>AUD/CHF Exchange Rate</v>
          </cell>
          <cell r="X3" t="str">
            <v>AUD/SEK Exchange Rate</v>
          </cell>
          <cell r="Y3" t="str">
            <v>AUD/PHP Exchange Rate</v>
          </cell>
          <cell r="Z3" t="str">
            <v>AUD/SDR Exchange Rate</v>
          </cell>
        </row>
        <row r="4">
          <cell r="A4" t="str">
            <v>Frequency</v>
          </cell>
          <cell r="B4" t="str">
            <v>Monthly</v>
          </cell>
          <cell r="C4" t="str">
            <v>Monthly</v>
          </cell>
          <cell r="D4" t="str">
            <v>Monthly</v>
          </cell>
          <cell r="E4" t="str">
            <v>Monthly</v>
          </cell>
          <cell r="F4" t="str">
            <v>Monthly</v>
          </cell>
          <cell r="G4" t="str">
            <v>Monthly</v>
          </cell>
          <cell r="H4" t="str">
            <v>Monthly</v>
          </cell>
          <cell r="I4" t="str">
            <v>Monthly</v>
          </cell>
          <cell r="J4" t="str">
            <v>Monthly</v>
          </cell>
          <cell r="K4" t="str">
            <v>Monthly</v>
          </cell>
          <cell r="L4" t="str">
            <v>Monthly</v>
          </cell>
          <cell r="M4" t="str">
            <v>Monthly</v>
          </cell>
          <cell r="N4" t="str">
            <v>Monthly</v>
          </cell>
          <cell r="O4" t="str">
            <v>Monthly</v>
          </cell>
          <cell r="P4" t="str">
            <v>Monthly</v>
          </cell>
          <cell r="Q4" t="str">
            <v>Monthly</v>
          </cell>
          <cell r="R4" t="str">
            <v>Monthly</v>
          </cell>
          <cell r="S4" t="str">
            <v>Monthly</v>
          </cell>
          <cell r="T4" t="str">
            <v>Monthly</v>
          </cell>
          <cell r="U4" t="str">
            <v>Monthly</v>
          </cell>
          <cell r="V4" t="str">
            <v>Monthly</v>
          </cell>
          <cell r="W4" t="str">
            <v>Monthly</v>
          </cell>
          <cell r="X4" t="str">
            <v>Monthly</v>
          </cell>
          <cell r="Y4" t="str">
            <v>Monthly</v>
          </cell>
          <cell r="Z4" t="str">
            <v>Monthly</v>
          </cell>
        </row>
        <row r="5">
          <cell r="A5" t="str">
            <v>Type</v>
          </cell>
          <cell r="B5" t="str">
            <v>Indicative</v>
          </cell>
          <cell r="C5" t="str">
            <v>Indicative</v>
          </cell>
          <cell r="D5" t="str">
            <v>Indicative</v>
          </cell>
          <cell r="E5" t="str">
            <v>Indicative</v>
          </cell>
          <cell r="F5" t="str">
            <v>Indicative</v>
          </cell>
          <cell r="G5" t="str">
            <v>Indicative</v>
          </cell>
          <cell r="H5" t="str">
            <v>Indicative</v>
          </cell>
          <cell r="I5" t="str">
            <v>Indicative</v>
          </cell>
          <cell r="J5" t="str">
            <v>Indicative</v>
          </cell>
          <cell r="K5" t="str">
            <v>Indicative</v>
          </cell>
          <cell r="L5" t="str">
            <v>Indicative</v>
          </cell>
          <cell r="M5" t="str">
            <v>Indicative</v>
          </cell>
          <cell r="N5" t="str">
            <v>Indicative</v>
          </cell>
          <cell r="O5" t="str">
            <v>Indicative</v>
          </cell>
          <cell r="P5" t="str">
            <v>Indicative</v>
          </cell>
          <cell r="Q5" t="str">
            <v>Indicative</v>
          </cell>
          <cell r="R5" t="str">
            <v>Indicative</v>
          </cell>
          <cell r="S5" t="str">
            <v>Indicative</v>
          </cell>
          <cell r="T5" t="str">
            <v>Indicative</v>
          </cell>
          <cell r="U5" t="str">
            <v>Indicative</v>
          </cell>
          <cell r="V5" t="str">
            <v>Indicative</v>
          </cell>
          <cell r="W5" t="str">
            <v>Indicative</v>
          </cell>
          <cell r="X5" t="str">
            <v>Indicative</v>
          </cell>
          <cell r="Y5" t="str">
            <v>Indicative</v>
          </cell>
          <cell r="Z5" t="str">
            <v>Indicative</v>
          </cell>
        </row>
        <row r="6">
          <cell r="A6" t="str">
            <v>Units</v>
          </cell>
          <cell r="B6" t="str">
            <v>USD</v>
          </cell>
          <cell r="C6" t="str">
            <v>Index</v>
          </cell>
          <cell r="D6" t="str">
            <v>CNY</v>
          </cell>
          <cell r="E6" t="str">
            <v>JPY</v>
          </cell>
          <cell r="F6" t="str">
            <v>EUR</v>
          </cell>
          <cell r="G6" t="str">
            <v>KRW</v>
          </cell>
          <cell r="H6" t="str">
            <v>GBP</v>
          </cell>
          <cell r="I6" t="str">
            <v>SGD</v>
          </cell>
          <cell r="J6" t="str">
            <v>INR</v>
          </cell>
          <cell r="K6" t="str">
            <v>THB</v>
          </cell>
          <cell r="L6" t="str">
            <v>NZD</v>
          </cell>
          <cell r="M6" t="str">
            <v>TWD</v>
          </cell>
          <cell r="N6" t="str">
            <v>MYR</v>
          </cell>
          <cell r="O6" t="str">
            <v>IDR</v>
          </cell>
          <cell r="P6" t="str">
            <v>VND</v>
          </cell>
          <cell r="Q6" t="str">
            <v>AED</v>
          </cell>
          <cell r="R6" t="str">
            <v>PGK</v>
          </cell>
          <cell r="S6" t="str">
            <v>HKD</v>
          </cell>
          <cell r="T6" t="str">
            <v>CAD</v>
          </cell>
          <cell r="U6" t="str">
            <v>ZAR</v>
          </cell>
          <cell r="V6" t="str">
            <v>SAR</v>
          </cell>
          <cell r="W6" t="str">
            <v>CHF</v>
          </cell>
          <cell r="X6" t="str">
            <v>SEK</v>
          </cell>
          <cell r="Y6" t="str">
            <v>PHP</v>
          </cell>
          <cell r="Z6" t="str">
            <v>SDR</v>
          </cell>
        </row>
        <row r="9">
          <cell r="A9" t="str">
            <v>Source</v>
          </cell>
          <cell r="B9" t="str">
            <v>WM/Reuters</v>
          </cell>
          <cell r="C9" t="str">
            <v>RBA</v>
          </cell>
          <cell r="D9" t="str">
            <v>RBA</v>
          </cell>
          <cell r="E9" t="str">
            <v>RBA</v>
          </cell>
          <cell r="F9" t="str">
            <v>RBA</v>
          </cell>
          <cell r="G9" t="str">
            <v>RBA</v>
          </cell>
          <cell r="H9" t="str">
            <v>RBA</v>
          </cell>
          <cell r="I9" t="str">
            <v>RBA</v>
          </cell>
          <cell r="J9" t="str">
            <v>RBA</v>
          </cell>
          <cell r="K9" t="str">
            <v>RBA</v>
          </cell>
          <cell r="L9" t="str">
            <v>RBA</v>
          </cell>
          <cell r="M9" t="str">
            <v>RBA</v>
          </cell>
          <cell r="N9" t="str">
            <v>RBA</v>
          </cell>
          <cell r="O9" t="str">
            <v>RBA</v>
          </cell>
          <cell r="P9" t="str">
            <v>RBA</v>
          </cell>
          <cell r="Q9" t="str">
            <v>RBA</v>
          </cell>
          <cell r="R9" t="str">
            <v>RBA</v>
          </cell>
          <cell r="S9" t="str">
            <v>RBA</v>
          </cell>
          <cell r="T9" t="str">
            <v>RBA</v>
          </cell>
          <cell r="U9" t="str">
            <v>RBA</v>
          </cell>
          <cell r="V9" t="str">
            <v>RBA</v>
          </cell>
          <cell r="W9" t="str">
            <v>RBA</v>
          </cell>
          <cell r="X9" t="str">
            <v>RBA</v>
          </cell>
          <cell r="Y9" t="str">
            <v>RBA</v>
          </cell>
          <cell r="Z9" t="str">
            <v>IMF</v>
          </cell>
        </row>
        <row r="10">
          <cell r="A10" t="str">
            <v>Publication date</v>
          </cell>
          <cell r="B10">
            <v>41789</v>
          </cell>
          <cell r="C10">
            <v>41789</v>
          </cell>
          <cell r="D10">
            <v>41789</v>
          </cell>
          <cell r="E10">
            <v>41789</v>
          </cell>
          <cell r="F10">
            <v>41789</v>
          </cell>
          <cell r="G10">
            <v>41789</v>
          </cell>
          <cell r="H10">
            <v>41789</v>
          </cell>
          <cell r="I10">
            <v>41789</v>
          </cell>
          <cell r="J10">
            <v>41789</v>
          </cell>
          <cell r="K10">
            <v>41789</v>
          </cell>
          <cell r="L10">
            <v>41789</v>
          </cell>
          <cell r="M10">
            <v>41789</v>
          </cell>
          <cell r="N10">
            <v>41789</v>
          </cell>
          <cell r="O10">
            <v>41789</v>
          </cell>
          <cell r="P10">
            <v>41789</v>
          </cell>
          <cell r="Q10">
            <v>41789</v>
          </cell>
          <cell r="R10">
            <v>41789</v>
          </cell>
          <cell r="S10">
            <v>41789</v>
          </cell>
          <cell r="T10">
            <v>41789</v>
          </cell>
          <cell r="U10">
            <v>41789</v>
          </cell>
          <cell r="V10">
            <v>41789</v>
          </cell>
          <cell r="W10">
            <v>41789</v>
          </cell>
          <cell r="X10">
            <v>41789</v>
          </cell>
          <cell r="Y10">
            <v>41789</v>
          </cell>
          <cell r="Z10">
            <v>41789</v>
          </cell>
        </row>
        <row r="11">
          <cell r="A11" t="str">
            <v>Series ID</v>
          </cell>
        </row>
        <row r="12">
          <cell r="A12">
            <v>40207</v>
          </cell>
        </row>
        <row r="13">
          <cell r="A13">
            <v>40235</v>
          </cell>
        </row>
        <row r="14">
          <cell r="A14">
            <v>40268</v>
          </cell>
        </row>
        <row r="15">
          <cell r="A15">
            <v>40298</v>
          </cell>
        </row>
        <row r="16">
          <cell r="A16">
            <v>40329</v>
          </cell>
        </row>
        <row r="17">
          <cell r="A17">
            <v>40359</v>
          </cell>
        </row>
        <row r="18">
          <cell r="A18">
            <v>40389</v>
          </cell>
        </row>
        <row r="19">
          <cell r="A19">
            <v>40421</v>
          </cell>
        </row>
        <row r="20">
          <cell r="A20">
            <v>40451</v>
          </cell>
        </row>
        <row r="21">
          <cell r="A21">
            <v>40480</v>
          </cell>
        </row>
        <row r="22">
          <cell r="A22">
            <v>40512</v>
          </cell>
        </row>
        <row r="23">
          <cell r="A23">
            <v>40543</v>
          </cell>
        </row>
        <row r="24">
          <cell r="A24">
            <v>40574</v>
          </cell>
        </row>
        <row r="25">
          <cell r="A25">
            <v>40602</v>
          </cell>
        </row>
        <row r="26">
          <cell r="A26">
            <v>40633</v>
          </cell>
        </row>
        <row r="27">
          <cell r="A27">
            <v>40662</v>
          </cell>
        </row>
        <row r="28">
          <cell r="A28">
            <v>40694</v>
          </cell>
        </row>
        <row r="29">
          <cell r="A29">
            <v>40724</v>
          </cell>
        </row>
        <row r="30">
          <cell r="A30">
            <v>40753</v>
          </cell>
        </row>
        <row r="31">
          <cell r="A31">
            <v>40786</v>
          </cell>
        </row>
        <row r="32">
          <cell r="A32">
            <v>40816</v>
          </cell>
        </row>
        <row r="33">
          <cell r="A33">
            <v>40847</v>
          </cell>
        </row>
        <row r="34">
          <cell r="A34">
            <v>40877</v>
          </cell>
        </row>
        <row r="35">
          <cell r="A35">
            <v>40907</v>
          </cell>
        </row>
        <row r="36">
          <cell r="A36">
            <v>40939</v>
          </cell>
        </row>
        <row r="37">
          <cell r="A37">
            <v>40968</v>
          </cell>
        </row>
        <row r="38">
          <cell r="A38">
            <v>40998</v>
          </cell>
        </row>
        <row r="39">
          <cell r="A39">
            <v>41029</v>
          </cell>
        </row>
        <row r="40">
          <cell r="A40">
            <v>41060</v>
          </cell>
        </row>
        <row r="41">
          <cell r="A41">
            <v>41089</v>
          </cell>
        </row>
        <row r="42">
          <cell r="A42">
            <v>41121</v>
          </cell>
        </row>
        <row r="43">
          <cell r="A43">
            <v>41152</v>
          </cell>
        </row>
        <row r="44">
          <cell r="A44">
            <v>41180</v>
          </cell>
        </row>
        <row r="45">
          <cell r="A45">
            <v>41213</v>
          </cell>
        </row>
        <row r="46">
          <cell r="A46">
            <v>41243</v>
          </cell>
        </row>
        <row r="47">
          <cell r="A47">
            <v>41274</v>
          </cell>
        </row>
        <row r="48">
          <cell r="A48">
            <v>41305</v>
          </cell>
        </row>
        <row r="49">
          <cell r="A49">
            <v>41333</v>
          </cell>
        </row>
        <row r="50">
          <cell r="A50">
            <v>41362</v>
          </cell>
        </row>
        <row r="51">
          <cell r="A51">
            <v>41394</v>
          </cell>
        </row>
        <row r="52">
          <cell r="A52">
            <v>41425</v>
          </cell>
        </row>
        <row r="53">
          <cell r="A53">
            <v>41453</v>
          </cell>
        </row>
        <row r="54">
          <cell r="A54">
            <v>41486</v>
          </cell>
        </row>
        <row r="55">
          <cell r="A55">
            <v>41516</v>
          </cell>
        </row>
        <row r="56">
          <cell r="A56">
            <v>41547</v>
          </cell>
        </row>
        <row r="57">
          <cell r="A57">
            <v>41578</v>
          </cell>
        </row>
        <row r="58">
          <cell r="A58">
            <v>41607</v>
          </cell>
        </row>
        <row r="59">
          <cell r="A59">
            <v>41639</v>
          </cell>
        </row>
        <row r="60">
          <cell r="A60">
            <v>41670</v>
          </cell>
        </row>
        <row r="61">
          <cell r="A61">
            <v>41698</v>
          </cell>
        </row>
        <row r="62">
          <cell r="A62">
            <v>41729</v>
          </cell>
        </row>
        <row r="63">
          <cell r="A63">
            <v>41759</v>
          </cell>
        </row>
        <row r="64">
          <cell r="A64">
            <v>41789</v>
          </cell>
        </row>
        <row r="65">
          <cell r="A65">
            <v>41820</v>
          </cell>
        </row>
        <row r="66">
          <cell r="A66">
            <v>41851</v>
          </cell>
        </row>
        <row r="67">
          <cell r="A67">
            <v>41880</v>
          </cell>
        </row>
        <row r="68">
          <cell r="A68">
            <v>41912</v>
          </cell>
        </row>
        <row r="69">
          <cell r="A69">
            <v>41943</v>
          </cell>
        </row>
        <row r="70">
          <cell r="A70">
            <v>41971</v>
          </cell>
        </row>
        <row r="71">
          <cell r="A71">
            <v>42004</v>
          </cell>
        </row>
        <row r="72">
          <cell r="A72">
            <v>42034</v>
          </cell>
        </row>
        <row r="73">
          <cell r="A73">
            <v>42062</v>
          </cell>
        </row>
        <row r="74">
          <cell r="A74">
            <v>42094</v>
          </cell>
        </row>
        <row r="75">
          <cell r="A75">
            <v>42124</v>
          </cell>
        </row>
        <row r="76">
          <cell r="A76">
            <v>42153</v>
          </cell>
        </row>
        <row r="77">
          <cell r="A77">
            <v>42185</v>
          </cell>
        </row>
      </sheetData>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 Liab."/>
      <sheetName val="Subcont. Liab."/>
      <sheetName val="Mat. Liab."/>
      <sheetName val="Cl.Stock"/>
      <sheetName val="Site Stock"/>
      <sheetName val="Cl.WIP"/>
      <sheetName val="Adv. Rnt."/>
      <sheetName val="Deposit"/>
      <sheetName val="Fuel Consumption"/>
      <sheetName val="BG"/>
      <sheetName val="BG (2)"/>
      <sheetName val="Telephone"/>
      <sheetName val="Wages"/>
      <sheetName val="CAR"/>
      <sheetName val="Prel.Mat."/>
      <sheetName val="OT"/>
      <sheetName val="Encl.12"/>
      <sheetName val="TB P1"/>
      <sheetName val="ENCL12-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OW"/>
      <sheetName val="OPS_asia"/>
      <sheetName val="Production"/>
      <sheetName val="PRICE"/>
      <sheetName val="Data"/>
      <sheetName val="OPS_SIMPLIFIE"/>
      <sheetName val="CESSION"/>
      <sheetName val="ORDER"/>
      <sheetName val="income"/>
      <sheetName val="AP RA99-06"/>
      <sheetName val="HV RA99-06"/>
      <sheetName val="IN RA99-06"/>
      <sheetName val="CH RA99-06"/>
      <sheetName val="TH RA99-06"/>
      <sheetName val="HZ RA99-06"/>
      <sheetName val="Params"/>
      <sheetName val="Masters"/>
      <sheetName val="Rates"/>
      <sheetName val="TB"/>
      <sheetName val="Total MG "/>
      <sheetName val="Schedule"/>
      <sheetName val="IOPlan"/>
      <sheetName val="Consol"/>
      <sheetName val="MAPPINGS"/>
      <sheetName val="Op Plan Sales"/>
      <sheetName val="Lists"/>
      <sheetName val="IT Only"/>
      <sheetName val="Sheet1"/>
      <sheetName val="AP_RA99-06"/>
      <sheetName val="HV_RA99-06"/>
      <sheetName val="IN_RA99-06"/>
      <sheetName val="CH_RA99-06"/>
      <sheetName val="TH_RA99-06"/>
      <sheetName val="HZ_RA99-06"/>
      <sheetName val="Op_Plan_Sales"/>
      <sheetName val="Rollup_Summary"/>
      <sheetName val="Trial Balance"/>
      <sheetName val="Other notes"/>
      <sheetName val="Sales &amp; Marketing Dashboard"/>
      <sheetName val="LIC"/>
      <sheetName val="PropertyList"/>
      <sheetName val="IT-accruals"/>
      <sheetName val="TPM Tot"/>
      <sheetName val="StdMarginRegQtr"/>
      <sheetName val="Sept '99"/>
      <sheetName val="AP_RA99-061"/>
      <sheetName val="HV_RA99-061"/>
      <sheetName val="IN_RA99-061"/>
      <sheetName val="CH_RA99-061"/>
      <sheetName val="TH_RA99-061"/>
      <sheetName val="HZ_RA99-061"/>
      <sheetName val="Total_MG_"/>
      <sheetName val="Op_Plan_Sales1"/>
      <sheetName val="IT_Only"/>
      <sheetName val="RES"/>
      <sheetName val="FBT Full"/>
      <sheetName val="M B-QtyRecn"/>
      <sheetName val="M_B-QtyRecn"/>
      <sheetName val="Push Diag on Premise"/>
      <sheetName val="CChannel Attract Input"/>
      <sheetName val="FStratPlan"/>
      <sheetName val="Rate_dec02"/>
      <sheetName val="Price Testing - Used - 1"/>
      <sheetName val="consolidated Budget"/>
      <sheetName val="Price_Testing_-_Used_-_11"/>
      <sheetName val="Price_Testing_-_Used_-_1"/>
      <sheetName val="COA-IPCL"/>
      <sheetName val="Chart of Accounts"/>
      <sheetName val="India"/>
      <sheetName val="Grouping TB"/>
      <sheetName val="working"/>
      <sheetName val="Comp"/>
      <sheetName val="Risco-Accts"/>
      <sheetName val="Control"/>
      <sheetName val="Payroll_Statement"/>
      <sheetName val="List"/>
      <sheetName val="Input schedule"/>
      <sheetName val="Trial_Balance"/>
      <sheetName val="Sales_&amp;_Marketing_Dashboard"/>
      <sheetName val="Input_schedule"/>
      <sheetName val="TPM_Tot"/>
      <sheetName val="Sept_'99"/>
      <sheetName val="2003"/>
      <sheetName val="BAL96-97"/>
      <sheetName val=""/>
      <sheetName val="Cover"/>
      <sheetName val="d"/>
      <sheetName val="5Y_v2.14"/>
      <sheetName val="Other"/>
      <sheetName val="Summary"/>
      <sheetName val="MAIN"/>
      <sheetName val="未着品BALANCE"/>
      <sheetName val="Annexure"/>
      <sheetName val="POFG"/>
      <sheetName val="Cash Flow.7"/>
      <sheetName val="Opening Balance"/>
      <sheetName val="Jodalli-P&amp;L"/>
      <sheetName val="Graphdata"/>
      <sheetName val="BS"/>
      <sheetName val="Assum"/>
      <sheetName val="VARFCST"/>
      <sheetName val="New form 3CD A"/>
      <sheetName val="CRITERIA1"/>
      <sheetName val="AP_RA99-062"/>
      <sheetName val="HV_RA99-062"/>
      <sheetName val="IN_RA99-062"/>
      <sheetName val="CH_RA99-062"/>
      <sheetName val="TH_RA99-062"/>
      <sheetName val="HZ_RA99-062"/>
      <sheetName val="Total_MG_1"/>
      <sheetName val="Op_Plan_Sales2"/>
      <sheetName val="IT_Only1"/>
      <sheetName val="Main-Material"/>
      <sheetName val="3 Yr Revenue Analysis(old)"/>
      <sheetName val="Macro1"/>
      <sheetName val="IS"/>
      <sheetName val="May 09"/>
      <sheetName val="Consolidated"/>
      <sheetName val="FINAL SHEET"/>
      <sheetName val="Other_notes"/>
      <sheetName val="M_B-QtyRecn1"/>
      <sheetName val="FBT_Full"/>
      <sheetName val="Chart_of_Accounts"/>
      <sheetName val="consolidated_Budget"/>
      <sheetName val="Other_notes1"/>
      <sheetName val="M_B-QtyRecn2"/>
      <sheetName val="Sales_&amp;_Marketing_Dashboard1"/>
      <sheetName val="Trial_Balance1"/>
      <sheetName val="Input_schedule1"/>
      <sheetName val="TPM_Tot1"/>
      <sheetName val="Sept_'991"/>
      <sheetName val="FBT_Full1"/>
      <sheetName val="Chart_of_Accounts1"/>
      <sheetName val="consolidated_Budget1"/>
      <sheetName val="AP_RA99-063"/>
      <sheetName val="HV_RA99-063"/>
      <sheetName val="IN_RA99-063"/>
      <sheetName val="CH_RA99-063"/>
      <sheetName val="TH_RA99-063"/>
      <sheetName val="HZ_RA99-063"/>
      <sheetName val="Op_Plan_Sales3"/>
      <sheetName val="Other_notes2"/>
      <sheetName val="M_B-QtyRecn3"/>
      <sheetName val="IT_Only2"/>
      <sheetName val="Sales_&amp;_Marketing_Dashboard2"/>
      <sheetName val="Total_MG_2"/>
      <sheetName val="Trial_Balance2"/>
      <sheetName val="Input_schedule2"/>
      <sheetName val="TPM_Tot2"/>
      <sheetName val="Sept_'992"/>
      <sheetName val="FBT_Full2"/>
      <sheetName val="Chart_of_Accounts2"/>
      <sheetName val="consolidated_Budget2"/>
      <sheetName val="AP_RA99-064"/>
      <sheetName val="HV_RA99-064"/>
      <sheetName val="IN_RA99-064"/>
      <sheetName val="CH_RA99-064"/>
      <sheetName val="TH_RA99-064"/>
      <sheetName val="HZ_RA99-064"/>
      <sheetName val="Op_Plan_Sales4"/>
      <sheetName val="Other_notes3"/>
      <sheetName val="M_B-QtyRecn4"/>
      <sheetName val="IT_Only3"/>
      <sheetName val="Sales_&amp;_Marketing_Dashboard3"/>
      <sheetName val="Total_MG_3"/>
      <sheetName val="Trial_Balance3"/>
      <sheetName val="Input_schedule3"/>
      <sheetName val="TPM_Tot3"/>
      <sheetName val="Sept_'993"/>
      <sheetName val="FBT_Full3"/>
      <sheetName val="Chart_of_Accounts3"/>
      <sheetName val="consolidated_Budget3"/>
      <sheetName val="5Y_v2_14"/>
      <sheetName val="Price_Testing_-_Used_-_12"/>
      <sheetName val="Push_Diag_on_Premise"/>
      <sheetName val="CChannel_Attract_Input"/>
      <sheetName val="Cash_Flow_7"/>
      <sheetName val="Opening_Balance"/>
      <sheetName val="AP_RA99-065"/>
      <sheetName val="HV_RA99-065"/>
      <sheetName val="IN_RA99-065"/>
      <sheetName val="CH_RA99-065"/>
      <sheetName val="TH_RA99-065"/>
      <sheetName val="HZ_RA99-065"/>
      <sheetName val="Op_Plan_Sales5"/>
      <sheetName val="Other_notes4"/>
      <sheetName val="M_B-QtyRecn5"/>
      <sheetName val="IT_Only4"/>
      <sheetName val="Sales_&amp;_Marketing_Dashboard4"/>
      <sheetName val="Total_MG_4"/>
      <sheetName val="Trial_Balance4"/>
      <sheetName val="Input_schedule4"/>
      <sheetName val="TPM_Tot4"/>
      <sheetName val="Sept_'994"/>
      <sheetName val="FBT_Full4"/>
      <sheetName val="Chart_of_Accounts4"/>
      <sheetName val="consolidated_Budget4"/>
      <sheetName val="5Y_v2_141"/>
      <sheetName val="Price_Testing_-_Used_-_13"/>
      <sheetName val="Push_Diag_on_Premise1"/>
      <sheetName val="CChannel_Attract_Input1"/>
      <sheetName val="Cash_Flow_71"/>
      <sheetName val="Opening_Balance1"/>
      <sheetName val="AP_RA99-067"/>
      <sheetName val="HV_RA99-067"/>
      <sheetName val="IN_RA99-067"/>
      <sheetName val="CH_RA99-067"/>
      <sheetName val="TH_RA99-067"/>
      <sheetName val="HZ_RA99-067"/>
      <sheetName val="Op_Plan_Sales7"/>
      <sheetName val="Other_notes6"/>
      <sheetName val="M_B-QtyRecn7"/>
      <sheetName val="IT_Only6"/>
      <sheetName val="Sales_&amp;_Marketing_Dashboard6"/>
      <sheetName val="Total_MG_6"/>
      <sheetName val="Trial_Balance6"/>
      <sheetName val="Input_schedule6"/>
      <sheetName val="TPM_Tot6"/>
      <sheetName val="Sept_'996"/>
      <sheetName val="FBT_Full6"/>
      <sheetName val="Chart_of_Accounts6"/>
      <sheetName val="consolidated_Budget6"/>
      <sheetName val="5Y_v2_143"/>
      <sheetName val="Price_Testing_-_Used_-_15"/>
      <sheetName val="Push_Diag_on_Premise3"/>
      <sheetName val="CChannel_Attract_Input3"/>
      <sheetName val="Cash_Flow_73"/>
      <sheetName val="Opening_Balance3"/>
      <sheetName val="AP_RA99-066"/>
      <sheetName val="HV_RA99-066"/>
      <sheetName val="IN_RA99-066"/>
      <sheetName val="CH_RA99-066"/>
      <sheetName val="TH_RA99-066"/>
      <sheetName val="HZ_RA99-066"/>
      <sheetName val="Op_Plan_Sales6"/>
      <sheetName val="Other_notes5"/>
      <sheetName val="M_B-QtyRecn6"/>
      <sheetName val="IT_Only5"/>
      <sheetName val="Sales_&amp;_Marketing_Dashboard5"/>
      <sheetName val="Total_MG_5"/>
      <sheetName val="Trial_Balance5"/>
      <sheetName val="Input_schedule5"/>
      <sheetName val="TPM_Tot5"/>
      <sheetName val="Sept_'995"/>
      <sheetName val="FBT_Full5"/>
      <sheetName val="Chart_of_Accounts5"/>
      <sheetName val="consolidated_Budget5"/>
      <sheetName val="5Y_v2_142"/>
      <sheetName val="Price_Testing_-_Used_-_14"/>
      <sheetName val="Push_Diag_on_Premise2"/>
      <sheetName val="CChannel_Attract_Input2"/>
      <sheetName val="Cash_Flow_72"/>
      <sheetName val="Opening_Balance2"/>
      <sheetName val="AP_RA99-068"/>
      <sheetName val="HV_RA99-068"/>
      <sheetName val="IN_RA99-068"/>
      <sheetName val="CH_RA99-068"/>
      <sheetName val="TH_RA99-068"/>
      <sheetName val="HZ_RA99-068"/>
      <sheetName val="Op_Plan_Sales8"/>
      <sheetName val="Other_notes7"/>
      <sheetName val="M_B-QtyRecn8"/>
      <sheetName val="IT_Only7"/>
      <sheetName val="Sales_&amp;_Marketing_Dashboard7"/>
      <sheetName val="Total_MG_7"/>
      <sheetName val="Trial_Balance7"/>
      <sheetName val="Input_schedule7"/>
      <sheetName val="TPM_Tot7"/>
      <sheetName val="Sept_'997"/>
      <sheetName val="FBT_Full7"/>
      <sheetName val="Chart_of_Accounts7"/>
      <sheetName val="consolidated_Budget7"/>
      <sheetName val="5Y_v2_144"/>
      <sheetName val="Price_Testing_-_Used_-_16"/>
      <sheetName val="Push_Diag_on_Premise4"/>
      <sheetName val="CChannel_Attract_Input4"/>
      <sheetName val="Cash_Flow_74"/>
      <sheetName val="Opening_Balance4"/>
      <sheetName val="AP_RA99-069"/>
      <sheetName val="HV_RA99-069"/>
      <sheetName val="IN_RA99-069"/>
      <sheetName val="CH_RA99-069"/>
      <sheetName val="TH_RA99-069"/>
      <sheetName val="HZ_RA99-069"/>
      <sheetName val="Op_Plan_Sales9"/>
      <sheetName val="Other_notes8"/>
      <sheetName val="M_B-QtyRecn9"/>
      <sheetName val="IT_Only8"/>
      <sheetName val="Sales_&amp;_Marketing_Dashboard8"/>
      <sheetName val="Total_MG_8"/>
      <sheetName val="Trial_Balance8"/>
      <sheetName val="Input_schedule8"/>
      <sheetName val="TPM_Tot8"/>
      <sheetName val="Sept_'998"/>
      <sheetName val="FBT_Full8"/>
      <sheetName val="Chart_of_Accounts8"/>
      <sheetName val="consolidated_Budget8"/>
      <sheetName val="5Y_v2_145"/>
      <sheetName val="Price_Testing_-_Used_-_17"/>
      <sheetName val="Push_Diag_on_Premise5"/>
      <sheetName val="CChannel_Attract_Input5"/>
      <sheetName val="Cash_Flow_75"/>
      <sheetName val="Opening_Balance5"/>
      <sheetName val="AP_RA99-0610"/>
      <sheetName val="HV_RA99-0610"/>
      <sheetName val="IN_RA99-0610"/>
      <sheetName val="CH_RA99-0610"/>
      <sheetName val="TH_RA99-0610"/>
      <sheetName val="HZ_RA99-0610"/>
      <sheetName val="Op_Plan_Sales10"/>
      <sheetName val="Other_notes9"/>
      <sheetName val="M_B-QtyRecn10"/>
      <sheetName val="IT_Only9"/>
      <sheetName val="Sales_&amp;_Marketing_Dashboard9"/>
      <sheetName val="Total_MG_9"/>
      <sheetName val="Trial_Balance9"/>
      <sheetName val="Input_schedule9"/>
      <sheetName val="TPM_Tot9"/>
      <sheetName val="Sept_'999"/>
      <sheetName val="FBT_Full9"/>
      <sheetName val="Chart_of_Accounts9"/>
      <sheetName val="consolidated_Budget9"/>
      <sheetName val="5Y_v2_146"/>
      <sheetName val="Price_Testing_-_Used_-_18"/>
      <sheetName val="Push_Diag_on_Premise6"/>
      <sheetName val="CChannel_Attract_Input6"/>
      <sheetName val="Cash_Flow_76"/>
      <sheetName val="Opening_Balance6"/>
      <sheetName val="データシート"/>
      <sheetName val="Categ"/>
      <sheetName val="Amortization Table"/>
      <sheetName val="Rev"/>
      <sheetName val="EXPENSES"/>
      <sheetName val="All Data"/>
      <sheetName val="riola don't know 9-26-99"/>
      <sheetName val="AP_RA99-0611"/>
      <sheetName val="HV_RA99-0611"/>
      <sheetName val="IN_RA99-0611"/>
      <sheetName val="CH_RA99-0611"/>
      <sheetName val="TH_RA99-0611"/>
      <sheetName val="HZ_RA99-0611"/>
      <sheetName val="Op_Plan_Sales11"/>
      <sheetName val="Other_notes10"/>
      <sheetName val="M_B-QtyRecn11"/>
      <sheetName val="IT_Only10"/>
      <sheetName val="Sales_&amp;_Marketing_Dashboard10"/>
      <sheetName val="Total_MG_10"/>
      <sheetName val="Trial_Balance10"/>
      <sheetName val="Input_schedule10"/>
      <sheetName val="TPM_Tot10"/>
      <sheetName val="Sept_'9910"/>
      <sheetName val="FBT_Full10"/>
      <sheetName val="Chart_of_Accounts10"/>
      <sheetName val="consolidated_Budget10"/>
      <sheetName val="5Y_v2_147"/>
      <sheetName val="Price_Testing_-_Used_-_19"/>
      <sheetName val="Push_Diag_on_Premise7"/>
      <sheetName val="CChannel_Attract_Input7"/>
      <sheetName val="Cash_Flow_77"/>
      <sheetName val="Opening_Balance7"/>
    </sheetNames>
    <sheetDataSet>
      <sheetData sheetId="0" refreshError="1"/>
      <sheetData sheetId="1" refreshError="1"/>
      <sheetData sheetId="2" refreshError="1"/>
      <sheetData sheetId="3" refreshError="1"/>
      <sheetData sheetId="4" refreshError="1">
        <row r="10">
          <cell r="D10">
            <v>8.3000000000000007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
      <sheetName val="fa add"/>
      <sheetName val="WDV-SLM"/>
      <sheetName val="fa 1"/>
      <sheetName val="qty"/>
      <sheetName val="3cd (2)"/>
      <sheetName val="3cd"/>
      <sheetName val="sta"/>
      <sheetName val="sti"/>
    </sheetNames>
    <sheetDataSet>
      <sheetData sheetId="0"/>
      <sheetData sheetId="1"/>
      <sheetData sheetId="2"/>
      <sheetData sheetId="3"/>
      <sheetData sheetId="4"/>
      <sheetData sheetId="5"/>
      <sheetData sheetId="6"/>
      <sheetData sheetId="7"/>
      <sheetData sheetId="8"/>
      <sheetData sheetId="9" refreshError="1">
        <row r="40">
          <cell r="B40" t="str">
            <v xml:space="preserve">NOTE: 1) </v>
          </cell>
        </row>
        <row r="543">
          <cell r="B543" t="str">
            <v xml:space="preserve"> Fire Fighting Equipments</v>
          </cell>
          <cell r="G543">
            <v>38030</v>
          </cell>
        </row>
        <row r="544">
          <cell r="B544" t="str">
            <v xml:space="preserve"> Fire Fighting Equipments</v>
          </cell>
          <cell r="G544">
            <v>38030</v>
          </cell>
        </row>
        <row r="545">
          <cell r="B545" t="str">
            <v xml:space="preserve"> Refrigerator</v>
          </cell>
          <cell r="G545">
            <v>17050</v>
          </cell>
        </row>
        <row r="546">
          <cell r="B546" t="str">
            <v xml:space="preserve"> Drill Machine</v>
          </cell>
          <cell r="G546">
            <v>7655</v>
          </cell>
        </row>
        <row r="547">
          <cell r="B547" t="str">
            <v xml:space="preserve"> Sealing Machine</v>
          </cell>
          <cell r="G547">
            <v>65500</v>
          </cell>
        </row>
        <row r="548">
          <cell r="B548" t="str">
            <v xml:space="preserve"> Piping and Valves &amp; Pumps</v>
          </cell>
          <cell r="G548">
            <v>16250</v>
          </cell>
        </row>
        <row r="549">
          <cell r="B549" t="str">
            <v xml:space="preserve"> Sealing Machine</v>
          </cell>
          <cell r="G549">
            <v>12500</v>
          </cell>
        </row>
        <row r="550">
          <cell r="B550" t="str">
            <v xml:space="preserve"> Laboratory Equipments</v>
          </cell>
          <cell r="G550">
            <v>11704</v>
          </cell>
        </row>
        <row r="551">
          <cell r="B551" t="str">
            <v xml:space="preserve"> Fax Machine</v>
          </cell>
          <cell r="G551">
            <v>17600</v>
          </cell>
        </row>
        <row r="552">
          <cell r="B552" t="str">
            <v xml:space="preserve"> Electric Installation</v>
          </cell>
          <cell r="G552">
            <v>58309</v>
          </cell>
        </row>
        <row r="553">
          <cell r="B553" t="str">
            <v xml:space="preserve"> Scooter (GJ-12R-4355)</v>
          </cell>
          <cell r="G553">
            <v>28318</v>
          </cell>
        </row>
        <row r="554">
          <cell r="B554" t="str">
            <v xml:space="preserve"> Sealing Machine</v>
          </cell>
          <cell r="G554">
            <v>12501</v>
          </cell>
        </row>
        <row r="555">
          <cell r="B555" t="str">
            <v xml:space="preserve"> Cycle</v>
          </cell>
          <cell r="G555">
            <v>1520</v>
          </cell>
        </row>
        <row r="556">
          <cell r="B556" t="str">
            <v xml:space="preserve"> EPABX System</v>
          </cell>
          <cell r="G556">
            <v>57100</v>
          </cell>
        </row>
        <row r="557">
          <cell r="B557" t="str">
            <v xml:space="preserve"> Volumetric Filler</v>
          </cell>
          <cell r="G557">
            <v>106300</v>
          </cell>
        </row>
        <row r="558">
          <cell r="B558" t="str">
            <v xml:space="preserve"> OHP Projector</v>
          </cell>
          <cell r="G558">
            <v>8250</v>
          </cell>
        </row>
        <row r="559">
          <cell r="B559" t="str">
            <v xml:space="preserve"> Fire Fighting Equipments</v>
          </cell>
          <cell r="G559">
            <v>29343</v>
          </cell>
        </row>
        <row r="560">
          <cell r="B560" t="str">
            <v xml:space="preserve"> Vibrating Seives</v>
          </cell>
          <cell r="G560">
            <v>192721</v>
          </cell>
        </row>
        <row r="561">
          <cell r="B561" t="str">
            <v xml:space="preserve"> Transformer</v>
          </cell>
          <cell r="H561">
            <v>227582</v>
          </cell>
        </row>
        <row r="562">
          <cell r="B562" t="str">
            <v xml:space="preserve"> Transformer</v>
          </cell>
          <cell r="H562">
            <v>227582</v>
          </cell>
        </row>
        <row r="563">
          <cell r="B563" t="str">
            <v xml:space="preserve"> Laboratory Equipments</v>
          </cell>
          <cell r="H563">
            <v>48370</v>
          </cell>
        </row>
        <row r="564">
          <cell r="B564" t="str">
            <v xml:space="preserve"> Payloader Tractor (GJ12J-8872)</v>
          </cell>
          <cell r="H564">
            <v>568721</v>
          </cell>
        </row>
        <row r="565">
          <cell r="B565" t="str">
            <v xml:space="preserve"> Electric Installation</v>
          </cell>
          <cell r="H565">
            <v>546725</v>
          </cell>
        </row>
        <row r="566">
          <cell r="B566" t="str">
            <v xml:space="preserve"> Stitching Machine</v>
          </cell>
          <cell r="H566">
            <v>9550</v>
          </cell>
        </row>
        <row r="567">
          <cell r="B567" t="str">
            <v xml:space="preserve"> Chilling Plant</v>
          </cell>
          <cell r="H567">
            <v>200880</v>
          </cell>
        </row>
        <row r="568">
          <cell r="B568" t="str">
            <v xml:space="preserve"> Electronics Weigh Scale</v>
          </cell>
          <cell r="H568">
            <v>27012</v>
          </cell>
        </row>
        <row r="569">
          <cell r="B569" t="str">
            <v xml:space="preserve"> Electri Motor</v>
          </cell>
          <cell r="H569">
            <v>22243</v>
          </cell>
        </row>
        <row r="570">
          <cell r="B570" t="str">
            <v xml:space="preserve"> Packing Screw Conveyor</v>
          </cell>
          <cell r="H570">
            <v>113992</v>
          </cell>
        </row>
      </sheetData>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BI-Mar"/>
      <sheetName val="GLED"/>
    </sheetNames>
    <sheetDataSet>
      <sheetData sheetId="0" refreshError="1"/>
      <sheetData sheetId="1">
        <row r="1">
          <cell r="A1" t="str">
            <v>FOLIO</v>
          </cell>
          <cell r="B1" t="str">
            <v>VNO</v>
          </cell>
          <cell r="C1" t="str">
            <v>CHQNO</v>
          </cell>
          <cell r="D1" t="str">
            <v>DESCR</v>
          </cell>
          <cell r="E1" t="str">
            <v>DATE</v>
          </cell>
          <cell r="F1" t="str">
            <v>DEBIT</v>
          </cell>
          <cell r="G1" t="str">
            <v>CREDIT</v>
          </cell>
          <cell r="H1" t="str">
            <v>TYPE</v>
          </cell>
          <cell r="I1" t="str">
            <v>BOOKCODE</v>
          </cell>
          <cell r="J1" t="str">
            <v>RENAMT</v>
          </cell>
          <cell r="K1" t="str">
            <v>AMOUNT</v>
          </cell>
        </row>
        <row r="2">
          <cell r="D2" t="str">
            <v>OPENING BALANCE</v>
          </cell>
          <cell r="F2">
            <v>1377079.26</v>
          </cell>
        </row>
        <row r="3">
          <cell r="A3" t="str">
            <v>00100041</v>
          </cell>
          <cell r="B3" t="str">
            <v>1625</v>
          </cell>
          <cell r="D3" t="str">
            <v>SBIDN REMM TO B2801/2805/2808</v>
          </cell>
          <cell r="E3">
            <v>38819</v>
          </cell>
          <cell r="G3">
            <v>24826030</v>
          </cell>
          <cell r="I3" t="str">
            <v>BP</v>
          </cell>
        </row>
        <row r="4">
          <cell r="A4" t="str">
            <v>00100041</v>
          </cell>
          <cell r="B4" t="str">
            <v>1626</v>
          </cell>
          <cell r="C4" t="str">
            <v>111205</v>
          </cell>
          <cell r="D4" t="str">
            <v>SBIDN REMM TO B2818</v>
          </cell>
          <cell r="E4">
            <v>38819</v>
          </cell>
          <cell r="G4">
            <v>200000</v>
          </cell>
          <cell r="I4" t="str">
            <v>BP</v>
          </cell>
        </row>
        <row r="5">
          <cell r="A5" t="str">
            <v>00100041</v>
          </cell>
          <cell r="B5" t="str">
            <v>1628</v>
          </cell>
          <cell r="C5" t="str">
            <v>504824</v>
          </cell>
          <cell r="D5" t="str">
            <v>BOBCC: TRF TO SBI DN ROAD</v>
          </cell>
          <cell r="E5">
            <v>38819</v>
          </cell>
          <cell r="F5">
            <v>4000000</v>
          </cell>
          <cell r="I5" t="str">
            <v>BP</v>
          </cell>
        </row>
        <row r="6">
          <cell r="A6" t="str">
            <v>00100041</v>
          </cell>
          <cell r="B6" t="str">
            <v>1629</v>
          </cell>
          <cell r="C6" t="str">
            <v>110927</v>
          </cell>
          <cell r="D6" t="str">
            <v>SBIDN: TRF TO ABCC</v>
          </cell>
          <cell r="E6">
            <v>38819</v>
          </cell>
          <cell r="G6">
            <v>2400000</v>
          </cell>
          <cell r="I6" t="str">
            <v>BP</v>
          </cell>
        </row>
        <row r="7">
          <cell r="A7" t="str">
            <v>00100041</v>
          </cell>
          <cell r="B7" t="str">
            <v>1631</v>
          </cell>
          <cell r="C7" t="str">
            <v>LETTER</v>
          </cell>
          <cell r="D7" t="str">
            <v>SBIDN REMM TO B2801/2825/2826</v>
          </cell>
          <cell r="E7">
            <v>38820</v>
          </cell>
          <cell r="G7">
            <v>4315380</v>
          </cell>
          <cell r="I7" t="str">
            <v>BP</v>
          </cell>
        </row>
        <row r="8">
          <cell r="A8" t="str">
            <v>00100041</v>
          </cell>
          <cell r="B8" t="str">
            <v>1632</v>
          </cell>
          <cell r="C8" t="str">
            <v>LETTER</v>
          </cell>
          <cell r="D8" t="str">
            <v>SBIDN REMM TO B2777/BC</v>
          </cell>
          <cell r="E8">
            <v>38820</v>
          </cell>
          <cell r="G8">
            <v>1806410</v>
          </cell>
          <cell r="I8" t="str">
            <v>BP</v>
          </cell>
        </row>
        <row r="9">
          <cell r="A9" t="str">
            <v>00100041</v>
          </cell>
          <cell r="B9" t="str">
            <v>1634</v>
          </cell>
          <cell r="C9" t="str">
            <v>LETTER</v>
          </cell>
          <cell r="D9" t="str">
            <v>SBIDN: REMM TO B2830/B2829/BC</v>
          </cell>
          <cell r="E9">
            <v>38820</v>
          </cell>
          <cell r="G9">
            <v>7721950</v>
          </cell>
          <cell r="I9" t="str">
            <v>BP</v>
          </cell>
        </row>
        <row r="10">
          <cell r="A10" t="str">
            <v>00100041</v>
          </cell>
          <cell r="B10" t="str">
            <v>1635</v>
          </cell>
          <cell r="C10" t="str">
            <v>LETTER</v>
          </cell>
          <cell r="D10" t="str">
            <v>SBIDN: TRF TO SBH</v>
          </cell>
          <cell r="E10">
            <v>38820</v>
          </cell>
          <cell r="G10">
            <v>5000000</v>
          </cell>
          <cell r="I10" t="str">
            <v>BP</v>
          </cell>
        </row>
        <row r="11">
          <cell r="A11" t="str">
            <v>00100041</v>
          </cell>
          <cell r="B11" t="str">
            <v>1642</v>
          </cell>
          <cell r="C11" t="str">
            <v>LETTER</v>
          </cell>
          <cell r="D11" t="str">
            <v>ICICI TRF TO SBI</v>
          </cell>
          <cell r="E11">
            <v>38820</v>
          </cell>
          <cell r="F11">
            <v>1800000</v>
          </cell>
          <cell r="I11" t="str">
            <v>BP</v>
          </cell>
        </row>
        <row r="12">
          <cell r="A12" t="str">
            <v>00100041</v>
          </cell>
          <cell r="B12" t="str">
            <v>1643</v>
          </cell>
          <cell r="C12" t="str">
            <v>798116</v>
          </cell>
          <cell r="D12" t="str">
            <v>ICICI TRF TO SBI</v>
          </cell>
          <cell r="E12">
            <v>38824</v>
          </cell>
          <cell r="F12">
            <v>25000000</v>
          </cell>
          <cell r="I12" t="str">
            <v>BP</v>
          </cell>
        </row>
        <row r="13">
          <cell r="A13" t="str">
            <v>00100041</v>
          </cell>
          <cell r="B13" t="str">
            <v>1652</v>
          </cell>
          <cell r="C13" t="str">
            <v>798124</v>
          </cell>
          <cell r="D13" t="str">
            <v>ICICI:TRF TO SBI</v>
          </cell>
          <cell r="E13">
            <v>38829</v>
          </cell>
          <cell r="F13">
            <v>4500000</v>
          </cell>
          <cell r="I13" t="str">
            <v>BP</v>
          </cell>
        </row>
        <row r="14">
          <cell r="A14" t="str">
            <v>00100041</v>
          </cell>
          <cell r="B14" t="str">
            <v>1653</v>
          </cell>
          <cell r="D14" t="str">
            <v>SBIDN:REMM TO AA029/BC</v>
          </cell>
          <cell r="E14">
            <v>38824</v>
          </cell>
          <cell r="G14">
            <v>200810</v>
          </cell>
          <cell r="I14" t="str">
            <v>BP</v>
          </cell>
        </row>
        <row r="15">
          <cell r="A15" t="str">
            <v>00100041</v>
          </cell>
          <cell r="B15" t="str">
            <v>1655</v>
          </cell>
          <cell r="C15" t="str">
            <v>110928</v>
          </cell>
          <cell r="D15" t="str">
            <v>SBI:TRF TO ABCA</v>
          </cell>
          <cell r="E15">
            <v>38825</v>
          </cell>
          <cell r="G15">
            <v>2500000</v>
          </cell>
          <cell r="I15" t="str">
            <v>BP</v>
          </cell>
        </row>
        <row r="16">
          <cell r="A16" t="str">
            <v>00100041</v>
          </cell>
          <cell r="B16" t="str">
            <v>1656</v>
          </cell>
          <cell r="D16" t="str">
            <v>SBI:REMM TO B2805/BC</v>
          </cell>
          <cell r="E16">
            <v>38826</v>
          </cell>
          <cell r="G16">
            <v>7512610</v>
          </cell>
          <cell r="I16" t="str">
            <v>BP</v>
          </cell>
        </row>
        <row r="17">
          <cell r="A17" t="str">
            <v>00100041</v>
          </cell>
          <cell r="B17" t="str">
            <v>1676</v>
          </cell>
          <cell r="C17" t="str">
            <v>TT</v>
          </cell>
          <cell r="D17" t="str">
            <v>SBIDN: REMM TO AA026/BC</v>
          </cell>
          <cell r="E17">
            <v>38828</v>
          </cell>
          <cell r="G17">
            <v>3512360</v>
          </cell>
          <cell r="I17" t="str">
            <v>BP</v>
          </cell>
        </row>
        <row r="18">
          <cell r="A18" t="str">
            <v>00100041</v>
          </cell>
          <cell r="B18" t="str">
            <v>1683</v>
          </cell>
          <cell r="C18" t="str">
            <v>TT</v>
          </cell>
          <cell r="D18" t="str">
            <v>SBIDN: REMM TO AA026/BC</v>
          </cell>
          <cell r="E18">
            <v>38829</v>
          </cell>
          <cell r="G18">
            <v>4515970</v>
          </cell>
          <cell r="I18" t="str">
            <v>BP</v>
          </cell>
        </row>
        <row r="19">
          <cell r="A19" t="str">
            <v>00100041</v>
          </cell>
          <cell r="B19" t="str">
            <v>1977</v>
          </cell>
          <cell r="C19" t="str">
            <v>TT</v>
          </cell>
          <cell r="D19" t="str">
            <v>SBIDN: REMM TO B2777/BC</v>
          </cell>
          <cell r="E19">
            <v>38832</v>
          </cell>
          <cell r="G19">
            <v>501860</v>
          </cell>
          <cell r="I19" t="str">
            <v>BP</v>
          </cell>
        </row>
        <row r="20">
          <cell r="A20" t="str">
            <v>00100041</v>
          </cell>
          <cell r="B20" t="str">
            <v>1998</v>
          </cell>
          <cell r="C20" t="str">
            <v>111008</v>
          </cell>
          <cell r="D20" t="str">
            <v>SBIDN:PF/EDLI/ADM CH/MAR06</v>
          </cell>
          <cell r="E20">
            <v>38819</v>
          </cell>
          <cell r="G20">
            <v>9553</v>
          </cell>
          <cell r="I20" t="str">
            <v>BP</v>
          </cell>
        </row>
        <row r="21">
          <cell r="A21" t="str">
            <v>00100041</v>
          </cell>
          <cell r="B21" t="str">
            <v>2009</v>
          </cell>
          <cell r="D21" t="str">
            <v>SBIDN BANK CH/B2829</v>
          </cell>
          <cell r="E21">
            <v>38820</v>
          </cell>
          <cell r="G21">
            <v>12500</v>
          </cell>
          <cell r="I21" t="str">
            <v>BP</v>
          </cell>
        </row>
        <row r="22">
          <cell r="A22" t="str">
            <v>00100041</v>
          </cell>
          <cell r="B22" t="str">
            <v>2011</v>
          </cell>
          <cell r="D22" t="str">
            <v>SBIDN: BANK CH/B2777</v>
          </cell>
          <cell r="E22">
            <v>38820</v>
          </cell>
          <cell r="G22">
            <v>6410</v>
          </cell>
          <cell r="I22" t="str">
            <v>BP</v>
          </cell>
        </row>
        <row r="23">
          <cell r="A23" t="str">
            <v>00100041</v>
          </cell>
          <cell r="B23" t="str">
            <v>2008</v>
          </cell>
          <cell r="D23" t="str">
            <v>SBIDN BANK CH/B2830</v>
          </cell>
          <cell r="E23">
            <v>38820</v>
          </cell>
          <cell r="G23">
            <v>9450</v>
          </cell>
          <cell r="I23" t="str">
            <v>BP</v>
          </cell>
        </row>
        <row r="24">
          <cell r="A24" t="str">
            <v>00100041</v>
          </cell>
          <cell r="B24" t="str">
            <v>2012</v>
          </cell>
          <cell r="D24" t="str">
            <v>SBIDN: BANK CH/2801</v>
          </cell>
          <cell r="E24">
            <v>38820</v>
          </cell>
          <cell r="G24">
            <v>2910</v>
          </cell>
          <cell r="I24" t="str">
            <v>BP</v>
          </cell>
        </row>
        <row r="25">
          <cell r="A25" t="str">
            <v>00100041</v>
          </cell>
          <cell r="B25" t="str">
            <v>2013</v>
          </cell>
          <cell r="D25" t="str">
            <v>SBIDN: BANK CH/2825</v>
          </cell>
          <cell r="E25">
            <v>38820</v>
          </cell>
          <cell r="G25">
            <v>5360</v>
          </cell>
          <cell r="I25" t="str">
            <v>BP</v>
          </cell>
        </row>
        <row r="26">
          <cell r="A26" t="str">
            <v>00100041</v>
          </cell>
          <cell r="B26" t="str">
            <v>2014</v>
          </cell>
          <cell r="D26" t="str">
            <v>SBIDN: BANK CH/2826</v>
          </cell>
          <cell r="E26">
            <v>38820</v>
          </cell>
          <cell r="G26">
            <v>7110</v>
          </cell>
          <cell r="I26" t="str">
            <v>BP</v>
          </cell>
        </row>
        <row r="27">
          <cell r="A27" t="str">
            <v>00100041</v>
          </cell>
          <cell r="B27" t="str">
            <v>2019</v>
          </cell>
          <cell r="C27" t="str">
            <v>DD</v>
          </cell>
          <cell r="D27" t="str">
            <v>SBIDN: SALARY/SR/AS PER LIST</v>
          </cell>
          <cell r="E27">
            <v>38821</v>
          </cell>
          <cell r="G27">
            <v>258670</v>
          </cell>
          <cell r="I27" t="str">
            <v>BP</v>
          </cell>
        </row>
        <row r="28">
          <cell r="A28" t="str">
            <v>00100041</v>
          </cell>
          <cell r="B28" t="str">
            <v>2038</v>
          </cell>
          <cell r="D28" t="str">
            <v>SBIDN:TRAVEL</v>
          </cell>
          <cell r="E28">
            <v>38824</v>
          </cell>
          <cell r="G28">
            <v>32852</v>
          </cell>
          <cell r="I28" t="str">
            <v>BP</v>
          </cell>
        </row>
        <row r="29">
          <cell r="A29" t="str">
            <v>00100041</v>
          </cell>
          <cell r="B29" t="str">
            <v>1896</v>
          </cell>
          <cell r="C29" t="str">
            <v>advice</v>
          </cell>
          <cell r="D29" t="str">
            <v>SBI:  BANK CHGS ON TT TO SOMPE</v>
          </cell>
          <cell r="E29">
            <v>38819</v>
          </cell>
          <cell r="G29">
            <v>12610</v>
          </cell>
          <cell r="I29" t="str">
            <v>BP</v>
          </cell>
        </row>
        <row r="30">
          <cell r="A30" t="str">
            <v>00100041</v>
          </cell>
          <cell r="B30" t="str">
            <v>1897</v>
          </cell>
          <cell r="C30" t="str">
            <v>advice</v>
          </cell>
          <cell r="D30" t="str">
            <v>SBI:  BANK CHGS ON TT TO SATAT</v>
          </cell>
          <cell r="E30">
            <v>38819</v>
          </cell>
          <cell r="G30">
            <v>810</v>
          </cell>
          <cell r="I30" t="str">
            <v>BP</v>
          </cell>
        </row>
        <row r="31">
          <cell r="A31" t="str">
            <v>00100041</v>
          </cell>
          <cell r="B31" t="str">
            <v>1898</v>
          </cell>
          <cell r="C31" t="str">
            <v>advice</v>
          </cell>
          <cell r="D31" t="str">
            <v>SBI:  BANK CHGS ON TT TO UDHAM</v>
          </cell>
          <cell r="E31">
            <v>38819</v>
          </cell>
          <cell r="G31">
            <v>12610</v>
          </cell>
          <cell r="I31" t="str">
            <v>BP</v>
          </cell>
        </row>
        <row r="32">
          <cell r="A32" t="str">
            <v>00100041</v>
          </cell>
          <cell r="B32" t="str">
            <v>363</v>
          </cell>
          <cell r="D32" t="str">
            <v>SBI/B2826 THOTAPALLY</v>
          </cell>
          <cell r="E32">
            <v>38811</v>
          </cell>
          <cell r="F32">
            <v>19756575</v>
          </cell>
          <cell r="I32" t="str">
            <v>BR</v>
          </cell>
        </row>
        <row r="33">
          <cell r="A33" t="str">
            <v>00100041</v>
          </cell>
          <cell r="B33" t="str">
            <v>364</v>
          </cell>
          <cell r="D33" t="str">
            <v>SBI/B2825 CHENNAI BOX</v>
          </cell>
          <cell r="E33">
            <v>38811</v>
          </cell>
          <cell r="F33">
            <v>14034789</v>
          </cell>
          <cell r="I33" t="str">
            <v>BR</v>
          </cell>
        </row>
        <row r="34">
          <cell r="A34" t="str">
            <v>00100041</v>
          </cell>
          <cell r="B34" t="str">
            <v>367</v>
          </cell>
          <cell r="D34" t="str">
            <v>SBI/B2829 LESHKA</v>
          </cell>
          <cell r="E34">
            <v>38831</v>
          </cell>
          <cell r="F34">
            <v>891244</v>
          </cell>
          <cell r="I34" t="str">
            <v>BR</v>
          </cell>
        </row>
        <row r="35">
          <cell r="A35" t="str">
            <v>00100041</v>
          </cell>
          <cell r="B35" t="str">
            <v>516</v>
          </cell>
          <cell r="D35" t="str">
            <v>SBI/B2824 SEW CONSTRUCTION</v>
          </cell>
          <cell r="E35">
            <v>38822</v>
          </cell>
          <cell r="F35">
            <v>1494000</v>
          </cell>
          <cell r="I35" t="str">
            <v>BR</v>
          </cell>
        </row>
      </sheetData>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AdditionalPrintCode"/>
      <sheetName val="MainPrintCode"/>
      <sheetName val="DCF_inputs"/>
      <sheetName val="DCF"/>
    </sheetNames>
    <sheetDataSet>
      <sheetData sheetId="0">
        <row r="3">
          <cell r="F3" t="str">
            <v>Valuation</v>
          </cell>
        </row>
      </sheetData>
      <sheetData sheetId="1" refreshError="1"/>
      <sheetData sheetId="2" refreshError="1"/>
      <sheetData sheetId="3"/>
      <sheetData sheetId="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mples (2)"/>
      <sheetName val="SUM-TAXES"/>
      <sheetName val="DATA"/>
      <sheetName val="Sheet3"/>
      <sheetName val="UNIT CONVERT"/>
      <sheetName val="custmast"/>
      <sheetName val="pRESENTATION1"/>
      <sheetName val="PCD-T"/>
      <sheetName val="P&amp;L -PCD-T"/>
      <sheetName val="P&amp;L V-20"/>
      <sheetName val="P&amp;L V-200"/>
      <sheetName val="P&amp;L -BM"/>
      <sheetName val="P&amp;L -PAIL"/>
      <sheetName val="Assumptions "/>
      <sheetName val="Budget 15-16"/>
      <sheetName val="Segments"/>
      <sheetName val="Assumptions"/>
      <sheetName val="Accessories"/>
      <sheetName val="FREIGHT"/>
    </sheetNames>
    <sheetDataSet>
      <sheetData sheetId="0"/>
      <sheetData sheetId="1"/>
      <sheetData sheetId="2"/>
      <sheetData sheetId="3"/>
      <sheetData sheetId="4"/>
      <sheetData sheetId="5">
        <row r="3">
          <cell r="E3" t="str">
            <v>FG VC10027</v>
          </cell>
          <cell r="F3" t="str">
            <v>APCOTEX INDUSTRIES LTD.</v>
          </cell>
        </row>
        <row r="4">
          <cell r="E4" t="str">
            <v>FG VC10039</v>
          </cell>
          <cell r="F4" t="str">
            <v>BALMER LAWRIE - VAN LEER LIMITED - SAMPLE</v>
          </cell>
        </row>
        <row r="5">
          <cell r="E5" t="str">
            <v>FG VC10052</v>
          </cell>
          <cell r="F5" t="str">
            <v>BEHRAN OIL CO.</v>
          </cell>
        </row>
        <row r="6">
          <cell r="E6" t="str">
            <v>FG VC10088</v>
          </cell>
          <cell r="F6" t="str">
            <v>ELANTAS BECK INDIA LIMITED - PIMPRI</v>
          </cell>
        </row>
        <row r="7">
          <cell r="E7" t="str">
            <v>FG VC10113</v>
          </cell>
          <cell r="F7" t="str">
            <v>HINDUSTAN PETROLEUM CORPN. - SEWREE</v>
          </cell>
        </row>
        <row r="8">
          <cell r="E8" t="str">
            <v>FG VC10123</v>
          </cell>
          <cell r="F8" t="str">
            <v>INDIAN OIL CORPORATION  LTD. (PIRPAU)</v>
          </cell>
        </row>
        <row r="9">
          <cell r="E9" t="str">
            <v>FG VC10124</v>
          </cell>
          <cell r="F9" t="str">
            <v>INDIAN OIL CORPORATION LTD - SILVASSA</v>
          </cell>
        </row>
        <row r="10">
          <cell r="E10" t="str">
            <v>FG WC10026</v>
          </cell>
          <cell r="F10" t="str">
            <v>APAR INDUSTRIES LTD. - SILVASSA</v>
          </cell>
        </row>
        <row r="11">
          <cell r="E11" t="str">
            <v>FG WC10039</v>
          </cell>
          <cell r="F11" t="str">
            <v>BALMER LAWRIE - VAN LEER LIMITED - SAMPLE</v>
          </cell>
        </row>
        <row r="12">
          <cell r="E12" t="str">
            <v>FG WC10071</v>
          </cell>
          <cell r="F12" t="str">
            <v>CASTROL INDIA LIMITED - PATALGANGA</v>
          </cell>
        </row>
        <row r="13">
          <cell r="E13" t="str">
            <v>FG WC10219</v>
          </cell>
          <cell r="F13" t="str">
            <v>SAH PETROLEUMS LIMITED.</v>
          </cell>
        </row>
        <row r="14">
          <cell r="E14" t="str">
            <v>FG WC10304</v>
          </cell>
          <cell r="F14" t="str">
            <v>A.R. SULPHONATES PVT. LTD..</v>
          </cell>
        </row>
        <row r="15">
          <cell r="E15" t="str">
            <v>FG WC10326</v>
          </cell>
          <cell r="F15" t="str">
            <v>AKAY FLAVOURS &amp; AROMATICS PVT LTD</v>
          </cell>
        </row>
        <row r="16">
          <cell r="E16" t="str">
            <v>FG BC10007</v>
          </cell>
          <cell r="F16" t="str">
            <v>AGARWAL PACKAGINGS PVT. LTD.</v>
          </cell>
        </row>
        <row r="17">
          <cell r="E17" t="str">
            <v>FG BC10027</v>
          </cell>
          <cell r="F17" t="str">
            <v>APCOTEX INDUSTRIES LTD.</v>
          </cell>
        </row>
        <row r="18">
          <cell r="E18" t="str">
            <v>FG BC10039</v>
          </cell>
          <cell r="F18" t="str">
            <v>BALMER LAWRIE - VAN LEER LIMITED - SAMPLE</v>
          </cell>
        </row>
        <row r="19">
          <cell r="E19" t="str">
            <v>FG BC10253</v>
          </cell>
          <cell r="F19" t="str">
            <v>SINGH &amp; COMPANIES</v>
          </cell>
        </row>
        <row r="20">
          <cell r="E20" t="str">
            <v>FG BC10266</v>
          </cell>
          <cell r="F20" t="str">
            <v>SURYA CONTAINERS PVT. LTD.</v>
          </cell>
        </row>
        <row r="21">
          <cell r="E21" t="str">
            <v>FG BC10293</v>
          </cell>
          <cell r="F21" t="str">
            <v>VIMAL BARRELS PVT. LTD.</v>
          </cell>
        </row>
        <row r="22">
          <cell r="E22" t="str">
            <v>FG BC10353</v>
          </cell>
          <cell r="F22" t="str">
            <v>AMINES &amp; PLASTICIZERS LIMITED</v>
          </cell>
        </row>
        <row r="23">
          <cell r="E23" t="str">
            <v>FG PC10017</v>
          </cell>
          <cell r="F23" t="str">
            <v>ALKYL AMINES CHEMICALS LIMITED - PATALGANGA</v>
          </cell>
        </row>
        <row r="24">
          <cell r="E24" t="str">
            <v>FG PC10039</v>
          </cell>
          <cell r="F24" t="str">
            <v>BALMER LAWRIE - VAN LEER LIMITED - SAMPLE</v>
          </cell>
        </row>
        <row r="25">
          <cell r="E25" t="str">
            <v>FG PC10398</v>
          </cell>
          <cell r="F25" t="str">
            <v>AROMATIC INGREDIENTS PRIVATE LIMITED</v>
          </cell>
        </row>
        <row r="26">
          <cell r="E26" t="str">
            <v>FG PC10405</v>
          </cell>
          <cell r="F26" t="str">
            <v>ARZO PLASTICS PVT. LTD.</v>
          </cell>
        </row>
        <row r="27">
          <cell r="E27" t="str">
            <v>FG PC10443</v>
          </cell>
          <cell r="F27" t="str">
            <v>BASF INDIA LIMITED (TURBHE)</v>
          </cell>
        </row>
        <row r="28">
          <cell r="E28" t="str">
            <v>FG PC10545</v>
          </cell>
          <cell r="F28" t="str">
            <v>CLEAN COATES PVT. LIMITED</v>
          </cell>
        </row>
        <row r="29">
          <cell r="E29" t="str">
            <v>FG PC10595</v>
          </cell>
          <cell r="F29" t="str">
            <v>DEEPA CHEMICALS</v>
          </cell>
        </row>
        <row r="30">
          <cell r="E30" t="str">
            <v>FG PC10604</v>
          </cell>
          <cell r="F30" t="str">
            <v>DESAI BROTHERS LIMITED (FOOD DIVISION)</v>
          </cell>
        </row>
      </sheetData>
      <sheetData sheetId="6"/>
      <sheetData sheetId="7"/>
      <sheetData sheetId="8"/>
      <sheetData sheetId="9">
        <row r="6">
          <cell r="E6">
            <v>1903918</v>
          </cell>
        </row>
      </sheetData>
      <sheetData sheetId="10">
        <row r="6">
          <cell r="E6">
            <v>940187</v>
          </cell>
        </row>
      </sheetData>
      <sheetData sheetId="11">
        <row r="6">
          <cell r="E6">
            <v>454781</v>
          </cell>
        </row>
      </sheetData>
      <sheetData sheetId="12">
        <row r="6">
          <cell r="E6">
            <v>206093</v>
          </cell>
        </row>
      </sheetData>
      <sheetData sheetId="13"/>
      <sheetData sheetId="14"/>
      <sheetData sheetId="15"/>
      <sheetData sheetId="16"/>
      <sheetData sheetId="17"/>
      <sheetData sheetId="18"/>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 Mo"/>
      <sheetName val="YTD IS"/>
      <sheetName val="Spending"/>
      <sheetName val="HBL Graphs"/>
      <sheetName val="Sum_IS"/>
      <sheetName val="Old IS"/>
      <sheetName val="BS"/>
      <sheetName val="IS_Bus_Unit"/>
      <sheetName val="IS_Rev_Type"/>
      <sheetName val="Drafting"/>
      <sheetName val="AEC"/>
      <sheetName val="NASD"/>
      <sheetName val="Newco"/>
      <sheetName val="PSD"/>
      <sheetName val="AMD"/>
      <sheetName val="Lat_Am"/>
      <sheetName val="D.U."/>
      <sheetName val="G&amp;A"/>
      <sheetName val="IT"/>
      <sheetName val="Mktg"/>
      <sheetName val="Fcst_Summ"/>
      <sheetName val="Forecast"/>
    </sheetNames>
    <sheetDataSet>
      <sheetData sheetId="0"/>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l-EXCL"/>
      <sheetName val="pL-iNCL"/>
      <sheetName val="Sheet3"/>
      <sheetName val="P&amp;L"/>
      <sheetName val="BS"/>
      <sheetName val="VARIANCE ANALYSIS "/>
      <sheetName val="cash flow"/>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GROUPINGS"/>
      <sheetName val="SIF P&amp;L BS"/>
      <sheetName val="SIF P&amp;L"/>
      <sheetName val="SIF Workings"/>
      <sheetName val="SIF Results Back up"/>
      <sheetName val="PROVISIONS"/>
      <sheetName val="P &amp; L Approach(OB)"/>
      <sheetName val="P &amp; L Approach(CB) "/>
      <sheetName val="AS-22"/>
      <sheetName val="Nagar provisions"/>
      <sheetName val="CL PROVISION"/>
      <sheetName val="SIF R20&amp;R30 "/>
      <sheetName val="SIF-Sent to France"/>
      <sheetName val="sch-IV"/>
      <sheetName val="TBM ANALYSIS"/>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CCincSKR"/>
      <sheetName val="Summary"/>
    </sheetNames>
    <sheetDataSet>
      <sheetData sheetId="0" refreshError="1"/>
      <sheetData sheetId="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中ｖｓ基本予算委託研・経費（業務管理BL）"/>
      <sheetName val="Code表"/>
      <sheetName val="☆81連結☆"/>
      <sheetName val="☆82連結☆"/>
      <sheetName val="HM_81ki"/>
      <sheetName val="HM_82ki"/>
      <sheetName val="ASH_82ki"/>
      <sheetName val="TH_82ki"/>
      <sheetName val="ASH_81ki"/>
      <sheetName val="TH_81ki"/>
      <sheetName val="タイ単独元ネタ"/>
      <sheetName val="HVN 04 BrD"/>
      <sheetName val="HVN_2005"/>
      <sheetName val="HVN_2006"/>
      <sheetName val="HVN_2007"/>
      <sheetName val="9MT_ASH_model"/>
      <sheetName val="9MT_ash_PL"/>
      <sheetName val="81Asean配賦"/>
      <sheetName val="81HMまとめ"/>
      <sheetName val="81HM"/>
      <sheetName val="4. TOP 25 QTY &amp; VALUE WISE "/>
      <sheetName val="INDIVIDUAL GRAPH DATA"/>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3" Type="http://schemas.openxmlformats.org/officeDocument/2006/relationships/hyperlink" Target="mailto:Purchase@0%25" TargetMode="External"/><Relationship Id="rId7" Type="http://schemas.openxmlformats.org/officeDocument/2006/relationships/printerSettings" Target="../printerSettings/printerSettings18.bin"/><Relationship Id="rId2" Type="http://schemas.openxmlformats.org/officeDocument/2006/relationships/hyperlink" Target="mailto:Purchase@0%25" TargetMode="External"/><Relationship Id="rId1" Type="http://schemas.openxmlformats.org/officeDocument/2006/relationships/hyperlink" Target="mailto:Local@0%25" TargetMode="External"/><Relationship Id="rId6" Type="http://schemas.openxmlformats.org/officeDocument/2006/relationships/hyperlink" Target="mailto:Purchase@0%25" TargetMode="External"/><Relationship Id="rId5" Type="http://schemas.openxmlformats.org/officeDocument/2006/relationships/hyperlink" Target="mailto:Purchase@0%25" TargetMode="External"/><Relationship Id="rId4" Type="http://schemas.openxmlformats.org/officeDocument/2006/relationships/hyperlink" Target="mailto:Purchase@0%25"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29"/>
  <sheetViews>
    <sheetView topLeftCell="A6" workbookViewId="0">
      <selection activeCell="B25" sqref="B25"/>
    </sheetView>
  </sheetViews>
  <sheetFormatPr baseColWidth="10" defaultColWidth="9.1640625" defaultRowHeight="15"/>
  <cols>
    <col min="1" max="1" width="28.5" style="215" bestFit="1" customWidth="1"/>
    <col min="2" max="2" width="15.5" style="334" bestFit="1" customWidth="1"/>
    <col min="3" max="3" width="12.1640625" style="215" bestFit="1" customWidth="1"/>
    <col min="4" max="5" width="12.33203125" style="215" bestFit="1" customWidth="1"/>
    <col min="6" max="6" width="16" style="215" bestFit="1" customWidth="1"/>
    <col min="7" max="7" width="9.1640625" style="215"/>
    <col min="8" max="8" width="24.33203125" style="215" bestFit="1" customWidth="1"/>
    <col min="9" max="9" width="16" style="215" bestFit="1" customWidth="1"/>
    <col min="10" max="10" width="11.5" style="215" bestFit="1" customWidth="1"/>
    <col min="11" max="11" width="15" style="215" bestFit="1" customWidth="1"/>
    <col min="12" max="12" width="14" style="215" bestFit="1" customWidth="1"/>
    <col min="13" max="13" width="16" style="215" bestFit="1" customWidth="1"/>
    <col min="14" max="16384" width="9.1640625" style="215"/>
  </cols>
  <sheetData>
    <row r="1" spans="1:13">
      <c r="A1" s="500" t="s">
        <v>1608</v>
      </c>
      <c r="B1" s="334" t="s">
        <v>1156</v>
      </c>
      <c r="C1" s="215" t="s">
        <v>1157</v>
      </c>
      <c r="D1" s="215" t="s">
        <v>1158</v>
      </c>
      <c r="E1" s="215" t="s">
        <v>1602</v>
      </c>
      <c r="F1" s="215" t="s">
        <v>51</v>
      </c>
      <c r="H1" s="500" t="s">
        <v>1187</v>
      </c>
      <c r="I1" s="334" t="s">
        <v>1156</v>
      </c>
      <c r="J1" s="215" t="s">
        <v>1157</v>
      </c>
      <c r="K1" s="215" t="s">
        <v>1158</v>
      </c>
      <c r="L1" s="215" t="s">
        <v>1602</v>
      </c>
      <c r="M1" s="215" t="s">
        <v>51</v>
      </c>
    </row>
    <row r="2" spans="1:13">
      <c r="A2" s="338" t="s">
        <v>1607</v>
      </c>
      <c r="B2" s="217">
        <f>'PL Grouping'!C367</f>
        <v>-69908947</v>
      </c>
      <c r="C2" s="217">
        <f>'PL Grouping'!G367</f>
        <v>583903</v>
      </c>
      <c r="D2" s="217">
        <f>'PL Grouping'!E367</f>
        <v>-448376</v>
      </c>
      <c r="E2" s="217">
        <f>'PL Grouping'!I367</f>
        <v>-243654</v>
      </c>
      <c r="F2" s="217">
        <f>SUM(B2:E2)</f>
        <v>-70017074</v>
      </c>
      <c r="G2" s="217"/>
      <c r="H2" s="338" t="s">
        <v>1609</v>
      </c>
      <c r="I2" s="217">
        <f>'BS Grouping'!C11</f>
        <v>199527453.52000001</v>
      </c>
      <c r="J2" s="217">
        <f>'BS Grouping'!E11</f>
        <v>0</v>
      </c>
      <c r="K2" s="217">
        <f>'BS Grouping'!G11</f>
        <v>0</v>
      </c>
      <c r="L2" s="217">
        <f>'BS Grouping'!I11</f>
        <v>0</v>
      </c>
      <c r="M2" s="217">
        <f>SUM(I2:L2)</f>
        <v>199527453.52000001</v>
      </c>
    </row>
    <row r="3" spans="1:13">
      <c r="A3" s="215" t="s">
        <v>57</v>
      </c>
      <c r="B3" s="217">
        <f>-3531335*0</f>
        <v>0</v>
      </c>
      <c r="C3" s="217"/>
      <c r="D3" s="217"/>
      <c r="E3" s="217"/>
      <c r="F3" s="217">
        <f t="shared" ref="F3:F13" si="0">SUM(B3:D3)</f>
        <v>0</v>
      </c>
      <c r="G3" s="217"/>
      <c r="H3" s="338" t="s">
        <v>1610</v>
      </c>
      <c r="I3" s="217">
        <f>'BS Grouping'!C15</f>
        <v>-187508775.17000002</v>
      </c>
      <c r="J3" s="217">
        <f>'BS Grouping'!G15</f>
        <v>247918.43</v>
      </c>
      <c r="K3" s="217">
        <f>'BS Grouping'!E15</f>
        <v>-587616.66</v>
      </c>
      <c r="L3" s="217">
        <f>'BS Grouping'!I15</f>
        <v>-243654</v>
      </c>
      <c r="M3" s="217">
        <f t="shared" ref="M3:M13" si="1">SUM(I3:L3)</f>
        <v>-188092127.40000001</v>
      </c>
    </row>
    <row r="4" spans="1:13" ht="32">
      <c r="A4" s="628" t="s">
        <v>1618</v>
      </c>
      <c r="B4" s="217">
        <f>-'PL Grouping'!D245</f>
        <v>-303131</v>
      </c>
      <c r="C4" s="217"/>
      <c r="D4" s="217"/>
      <c r="E4" s="217"/>
      <c r="F4" s="217">
        <f t="shared" si="0"/>
        <v>-303131</v>
      </c>
      <c r="G4" s="217"/>
      <c r="H4" s="338"/>
      <c r="I4" s="217"/>
      <c r="J4" s="217"/>
      <c r="K4" s="217"/>
      <c r="L4" s="217"/>
      <c r="M4" s="217">
        <f t="shared" si="1"/>
        <v>0</v>
      </c>
    </row>
    <row r="5" spans="1:13">
      <c r="A5" s="215" t="s">
        <v>1620</v>
      </c>
      <c r="B5" s="217">
        <f>'PL Grouping'!D56</f>
        <v>13234</v>
      </c>
      <c r="C5" s="217"/>
      <c r="D5" s="217"/>
      <c r="E5" s="217"/>
      <c r="F5" s="217">
        <f t="shared" si="0"/>
        <v>13234</v>
      </c>
      <c r="G5" s="217"/>
      <c r="I5" s="217"/>
      <c r="J5" s="217"/>
      <c r="K5" s="217"/>
      <c r="L5" s="217"/>
      <c r="M5" s="217">
        <f t="shared" si="1"/>
        <v>0</v>
      </c>
    </row>
    <row r="6" spans="1:13">
      <c r="A6" s="215" t="s">
        <v>581</v>
      </c>
      <c r="B6" s="217">
        <f>-'PL Grouping'!D242</f>
        <v>365680</v>
      </c>
      <c r="C6" s="217"/>
      <c r="D6" s="217"/>
      <c r="E6" s="217"/>
      <c r="F6" s="217">
        <f t="shared" si="0"/>
        <v>365680</v>
      </c>
      <c r="G6" s="217"/>
      <c r="I6" s="217"/>
      <c r="J6" s="217"/>
      <c r="K6" s="217"/>
      <c r="L6" s="217"/>
      <c r="M6" s="217">
        <f t="shared" si="1"/>
        <v>0</v>
      </c>
    </row>
    <row r="7" spans="1:13">
      <c r="A7" s="215" t="s">
        <v>582</v>
      </c>
      <c r="B7" s="217"/>
      <c r="C7" s="217"/>
      <c r="D7" s="217"/>
      <c r="E7" s="217"/>
      <c r="F7" s="217">
        <f t="shared" si="0"/>
        <v>0</v>
      </c>
      <c r="G7" s="217"/>
      <c r="I7" s="217"/>
      <c r="J7" s="217"/>
      <c r="K7" s="217"/>
      <c r="L7" s="217"/>
      <c r="M7" s="217">
        <f t="shared" si="1"/>
        <v>0</v>
      </c>
    </row>
    <row r="8" spans="1:13">
      <c r="A8" s="215" t="s">
        <v>128</v>
      </c>
      <c r="B8" s="217">
        <f>-'AE 22_23'!C3</f>
        <v>-210410</v>
      </c>
      <c r="C8" s="217"/>
      <c r="D8" s="217"/>
      <c r="E8" s="217"/>
      <c r="F8" s="217">
        <f t="shared" si="0"/>
        <v>-210410</v>
      </c>
      <c r="G8" s="217"/>
      <c r="I8" s="217"/>
      <c r="J8" s="217"/>
      <c r="K8" s="217"/>
      <c r="L8" s="217"/>
      <c r="M8" s="217">
        <f t="shared" si="1"/>
        <v>0</v>
      </c>
    </row>
    <row r="9" spans="1:13">
      <c r="A9" s="215" t="s">
        <v>1076</v>
      </c>
      <c r="B9" s="217">
        <f>-'AE 22_23'!C13</f>
        <v>-349231</v>
      </c>
      <c r="C9" s="217"/>
      <c r="D9" s="217"/>
      <c r="E9" s="217"/>
      <c r="F9" s="217">
        <f t="shared" si="0"/>
        <v>-349231</v>
      </c>
      <c r="G9" s="217"/>
      <c r="I9" s="217"/>
      <c r="J9" s="217"/>
      <c r="K9" s="217"/>
      <c r="L9" s="217"/>
      <c r="M9" s="217">
        <f t="shared" si="1"/>
        <v>0</v>
      </c>
    </row>
    <row r="10" spans="1:13">
      <c r="A10" s="215" t="s">
        <v>1619</v>
      </c>
      <c r="B10" s="217">
        <f>-'PL Grouping'!D166-'PL Grouping'!D167</f>
        <v>-105351.33333333333</v>
      </c>
      <c r="C10" s="217"/>
      <c r="D10" s="217"/>
      <c r="E10" s="217"/>
      <c r="F10" s="217">
        <f t="shared" si="0"/>
        <v>-105351.33333333333</v>
      </c>
      <c r="G10" s="217"/>
      <c r="I10" s="217"/>
      <c r="J10" s="217"/>
      <c r="K10" s="217"/>
      <c r="L10" s="217"/>
      <c r="M10" s="217">
        <f t="shared" si="1"/>
        <v>0</v>
      </c>
    </row>
    <row r="11" spans="1:13">
      <c r="A11" s="215" t="s">
        <v>1125</v>
      </c>
      <c r="B11" s="217">
        <f>-PL!D26</f>
        <v>749317</v>
      </c>
      <c r="C11" s="217"/>
      <c r="D11" s="217"/>
      <c r="E11" s="217"/>
      <c r="F11" s="217">
        <f t="shared" si="0"/>
        <v>749317</v>
      </c>
      <c r="G11" s="217"/>
      <c r="I11" s="217">
        <f>-PL!K26</f>
        <v>0</v>
      </c>
      <c r="J11" s="217"/>
      <c r="K11" s="217"/>
      <c r="L11" s="217"/>
      <c r="M11" s="217">
        <f t="shared" si="1"/>
        <v>0</v>
      </c>
    </row>
    <row r="12" spans="1:13">
      <c r="A12" s="215" t="s">
        <v>1670</v>
      </c>
      <c r="B12" s="217">
        <f>PL!D31</f>
        <v>-42449</v>
      </c>
      <c r="C12" s="217"/>
      <c r="D12" s="217"/>
      <c r="E12" s="217"/>
      <c r="F12" s="217">
        <f t="shared" si="0"/>
        <v>-42449</v>
      </c>
      <c r="G12" s="217"/>
      <c r="I12" s="217"/>
      <c r="J12" s="217"/>
      <c r="K12" s="217"/>
      <c r="L12" s="217"/>
      <c r="M12" s="217">
        <f t="shared" si="1"/>
        <v>0</v>
      </c>
    </row>
    <row r="13" spans="1:13">
      <c r="B13" s="217"/>
      <c r="C13" s="217"/>
      <c r="D13" s="217"/>
      <c r="E13" s="217"/>
      <c r="F13" s="217">
        <f t="shared" si="0"/>
        <v>0</v>
      </c>
      <c r="G13" s="217"/>
      <c r="I13" s="217"/>
      <c r="J13" s="217"/>
      <c r="K13" s="217"/>
      <c r="L13" s="217"/>
      <c r="M13" s="217">
        <f t="shared" si="1"/>
        <v>0</v>
      </c>
    </row>
    <row r="14" spans="1:13">
      <c r="A14" s="215" t="s">
        <v>578</v>
      </c>
      <c r="B14" s="217">
        <f>SUM(B2:B12)</f>
        <v>-69791288.333333328</v>
      </c>
      <c r="C14" s="217">
        <f>SUM(C2:C12)</f>
        <v>583903</v>
      </c>
      <c r="D14" s="217">
        <f>SUM(D2:D12)</f>
        <v>-448376</v>
      </c>
      <c r="E14" s="217">
        <f>SUM(E2:E12)</f>
        <v>-243654</v>
      </c>
      <c r="F14" s="217">
        <f>SUM(F2:F13)</f>
        <v>-69899415.333333328</v>
      </c>
      <c r="G14" s="217"/>
      <c r="H14" s="215" t="s">
        <v>1611</v>
      </c>
      <c r="I14" s="217">
        <f>SUM(I2:I12)</f>
        <v>12018678.349999994</v>
      </c>
      <c r="J14" s="217">
        <f>SUM(J2:J12)</f>
        <v>247918.43</v>
      </c>
      <c r="K14" s="217">
        <f>SUM(K2:K12)</f>
        <v>-587616.66</v>
      </c>
      <c r="L14" s="217">
        <f>SUM(L2:L12)</f>
        <v>-243654</v>
      </c>
      <c r="M14" s="217">
        <f>SUM(M2:M13)</f>
        <v>11435326.120000005</v>
      </c>
    </row>
    <row r="15" spans="1:13">
      <c r="A15" s="215" t="s">
        <v>579</v>
      </c>
      <c r="B15" s="217"/>
      <c r="C15" s="217"/>
      <c r="D15" s="217"/>
      <c r="E15" s="217"/>
      <c r="F15" s="217">
        <f>PL!D27</f>
        <v>-70108956</v>
      </c>
      <c r="G15" s="217"/>
      <c r="H15" s="215" t="s">
        <v>1612</v>
      </c>
      <c r="I15" s="217"/>
      <c r="J15" s="217"/>
      <c r="K15" s="217"/>
      <c r="L15" s="217"/>
      <c r="M15" s="217">
        <f>BS!D35</f>
        <v>10926966</v>
      </c>
    </row>
    <row r="16" spans="1:13">
      <c r="B16" s="217"/>
      <c r="C16" s="217"/>
      <c r="D16" s="217"/>
      <c r="E16" s="217"/>
      <c r="F16" s="217"/>
      <c r="G16" s="217"/>
      <c r="I16" s="217"/>
      <c r="J16" s="217"/>
      <c r="K16" s="217"/>
      <c r="L16" s="217"/>
      <c r="M16" s="217"/>
    </row>
    <row r="17" spans="1:13">
      <c r="A17" s="215" t="s">
        <v>580</v>
      </c>
      <c r="B17" s="217"/>
      <c r="C17" s="217"/>
      <c r="D17" s="217"/>
      <c r="E17" s="217"/>
      <c r="F17" s="217">
        <f>+F14-F15</f>
        <v>209540.66666667163</v>
      </c>
      <c r="G17" s="217"/>
      <c r="H17" s="215" t="s">
        <v>580</v>
      </c>
      <c r="I17" s="217"/>
      <c r="J17" s="217"/>
      <c r="K17" s="217"/>
      <c r="L17" s="217"/>
      <c r="M17" s="217">
        <f>+M14-M15</f>
        <v>508360.12000000477</v>
      </c>
    </row>
    <row r="18" spans="1:13">
      <c r="B18" s="217">
        <f>SUM(B4:B11)+-1</f>
        <v>160106.66666666663</v>
      </c>
      <c r="C18" s="217"/>
      <c r="D18" s="217"/>
      <c r="E18" s="217"/>
      <c r="F18" s="217"/>
      <c r="G18" s="217"/>
    </row>
    <row r="19" spans="1:13">
      <c r="B19" s="217">
        <v>3531335</v>
      </c>
      <c r="C19" s="217"/>
      <c r="D19" s="217"/>
      <c r="E19" s="217"/>
      <c r="F19" s="217">
        <f>F15+B18</f>
        <v>-69948849.333333328</v>
      </c>
      <c r="G19" s="217"/>
    </row>
    <row r="20" spans="1:13">
      <c r="F20" s="763">
        <f>E14-D14-C14</f>
        <v>-379181</v>
      </c>
    </row>
    <row r="21" spans="1:13">
      <c r="F21" s="763">
        <f>F19-F20</f>
        <v>-69569668.333333328</v>
      </c>
    </row>
    <row r="22" spans="1:13">
      <c r="F22" s="215">
        <v>-69319718</v>
      </c>
    </row>
    <row r="23" spans="1:13" ht="16">
      <c r="B23" s="854"/>
      <c r="F23" s="763">
        <f>F21-F22</f>
        <v>-249950.33333332837</v>
      </c>
    </row>
    <row r="24" spans="1:13">
      <c r="B24" s="215"/>
    </row>
    <row r="29" spans="1:13" s="338" customFormat="1">
      <c r="B29" s="855"/>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92D050"/>
    <pageSetUpPr fitToPage="1"/>
  </sheetPr>
  <dimension ref="A1:K68"/>
  <sheetViews>
    <sheetView showGridLines="0" view="pageBreakPreview" zoomScaleSheetLayoutView="100" workbookViewId="0">
      <selection activeCell="F1" sqref="F1:G1048576"/>
    </sheetView>
  </sheetViews>
  <sheetFormatPr baseColWidth="10" defaultColWidth="9.1640625" defaultRowHeight="15"/>
  <cols>
    <col min="1" max="1" width="4" style="269" customWidth="1"/>
    <col min="2" max="2" width="47.5" style="269" customWidth="1"/>
    <col min="3" max="3" width="7.6640625" style="224" customWidth="1"/>
    <col min="4" max="4" width="23.1640625" style="224" customWidth="1"/>
    <col min="5" max="5" width="24.5" style="224" customWidth="1"/>
    <col min="6" max="7" width="13.6640625" style="224" hidden="1" customWidth="1"/>
    <col min="8" max="8" width="11.83203125" style="269" bestFit="1" customWidth="1"/>
    <col min="9" max="9" width="14.1640625" style="270" bestFit="1" customWidth="1"/>
    <col min="10" max="10" width="11" style="270" bestFit="1" customWidth="1"/>
    <col min="11" max="11" width="14.1640625" style="270" bestFit="1" customWidth="1"/>
    <col min="12" max="16384" width="9.1640625" style="269"/>
  </cols>
  <sheetData>
    <row r="1" spans="1:11">
      <c r="A1" s="223" t="s">
        <v>925</v>
      </c>
    </row>
    <row r="2" spans="1:11">
      <c r="A2" s="223" t="s">
        <v>1504</v>
      </c>
    </row>
    <row r="3" spans="1:11">
      <c r="A3" s="15" t="s">
        <v>1721</v>
      </c>
    </row>
    <row r="4" spans="1:11" ht="12.75" customHeight="1" thickBot="1">
      <c r="F4" s="271"/>
      <c r="G4" s="271"/>
    </row>
    <row r="5" spans="1:11" s="272" customFormat="1" ht="16">
      <c r="B5" s="55" t="s">
        <v>0</v>
      </c>
      <c r="C5" s="55" t="s">
        <v>1</v>
      </c>
      <c r="D5" s="55" t="s">
        <v>1505</v>
      </c>
      <c r="E5" s="55" t="s">
        <v>1203</v>
      </c>
      <c r="F5" s="273" t="s">
        <v>1640</v>
      </c>
      <c r="G5" s="273" t="s">
        <v>1664</v>
      </c>
      <c r="I5" s="274"/>
      <c r="J5" s="274"/>
      <c r="K5" s="274"/>
    </row>
    <row r="6" spans="1:11">
      <c r="A6" s="275" t="s">
        <v>2</v>
      </c>
      <c r="B6" s="232" t="s">
        <v>3</v>
      </c>
      <c r="C6" s="60"/>
      <c r="D6" s="276"/>
      <c r="E6" s="276"/>
      <c r="F6" s="277"/>
      <c r="G6" s="277"/>
    </row>
    <row r="7" spans="1:11" ht="5.25" customHeight="1">
      <c r="B7" s="219"/>
      <c r="C7" s="56"/>
      <c r="D7" s="56"/>
      <c r="E7" s="56"/>
      <c r="F7" s="278"/>
      <c r="G7" s="278"/>
    </row>
    <row r="8" spans="1:11">
      <c r="A8" s="279" t="s">
        <v>4</v>
      </c>
      <c r="B8" s="232" t="s">
        <v>5</v>
      </c>
      <c r="C8" s="56"/>
      <c r="D8" s="56"/>
      <c r="E8" s="56"/>
      <c r="F8" s="278"/>
      <c r="G8" s="278"/>
      <c r="H8" s="280"/>
    </row>
    <row r="9" spans="1:11">
      <c r="B9" s="219" t="s">
        <v>6</v>
      </c>
      <c r="C9" s="281" t="str">
        <f>LEFT(FA!A5,1)</f>
        <v>3</v>
      </c>
      <c r="D9" s="856">
        <f>+FA!M23</f>
        <v>989268</v>
      </c>
      <c r="E9" s="856">
        <f>ROUND(FA!M42,0)</f>
        <v>961711</v>
      </c>
      <c r="F9" s="278">
        <v>738252</v>
      </c>
      <c r="G9" s="278">
        <v>694465</v>
      </c>
      <c r="I9" s="270">
        <v>19057257.779999997</v>
      </c>
      <c r="J9" s="270">
        <f>D9+D10</f>
        <v>15634555</v>
      </c>
    </row>
    <row r="10" spans="1:11">
      <c r="B10" s="219" t="s">
        <v>7</v>
      </c>
      <c r="C10" s="281" t="str">
        <f>LEFT(FA!A5,1)</f>
        <v>3</v>
      </c>
      <c r="D10" s="856">
        <f>+FA!M58</f>
        <v>14645287</v>
      </c>
      <c r="E10" s="856">
        <f>ROUND(FA!M74,0)</f>
        <v>17173261</v>
      </c>
      <c r="F10" s="278">
        <v>5561878</v>
      </c>
      <c r="G10" s="278">
        <v>104763</v>
      </c>
      <c r="H10" s="280"/>
      <c r="I10" s="270">
        <v>0</v>
      </c>
      <c r="J10" s="270">
        <f>I9-J9</f>
        <v>3422702.7799999975</v>
      </c>
    </row>
    <row r="11" spans="1:11">
      <c r="B11" s="219" t="s">
        <v>1399</v>
      </c>
      <c r="C11" s="281">
        <f>+Notes!A5</f>
        <v>4</v>
      </c>
      <c r="D11" s="856">
        <f>ROUND(Notes!C18,0)</f>
        <v>569719</v>
      </c>
      <c r="E11" s="856">
        <f>+Notes!D18</f>
        <v>872850</v>
      </c>
      <c r="F11" s="278">
        <v>0</v>
      </c>
      <c r="G11" s="278"/>
      <c r="H11" s="280"/>
      <c r="J11" s="270">
        <f>PL!H17</f>
        <v>3551492</v>
      </c>
    </row>
    <row r="12" spans="1:11">
      <c r="B12" s="219" t="s">
        <v>1395</v>
      </c>
      <c r="C12" s="281">
        <f>Notes!A20</f>
        <v>5</v>
      </c>
      <c r="D12" s="856">
        <f>ROUND(Notes!C33,0)</f>
        <v>7416129</v>
      </c>
      <c r="E12" s="856">
        <f>ROUND(Notes!D33,0)</f>
        <v>8165446</v>
      </c>
      <c r="F12" s="278">
        <v>8165446</v>
      </c>
      <c r="G12" s="278">
        <v>8165446</v>
      </c>
      <c r="J12" s="270">
        <f>J10-J11</f>
        <v>-128789.22000000253</v>
      </c>
    </row>
    <row r="13" spans="1:11">
      <c r="B13" s="219" t="s">
        <v>1396</v>
      </c>
      <c r="C13" s="281"/>
      <c r="D13" s="856"/>
      <c r="E13" s="856"/>
      <c r="G13" s="278"/>
    </row>
    <row r="14" spans="1:11">
      <c r="B14" s="219" t="s">
        <v>1581</v>
      </c>
      <c r="C14" s="282">
        <f>Notes!A47</f>
        <v>6</v>
      </c>
      <c r="D14" s="856">
        <f>ROUND(Notes!C55,0)</f>
        <v>40000</v>
      </c>
      <c r="E14" s="856">
        <v>0</v>
      </c>
      <c r="F14" s="278"/>
      <c r="G14" s="278"/>
    </row>
    <row r="15" spans="1:11">
      <c r="B15" s="219" t="s">
        <v>1582</v>
      </c>
      <c r="C15" s="281">
        <f>Notes!A58</f>
        <v>7</v>
      </c>
      <c r="D15" s="856">
        <f>ROUND(Notes!C65,0)</f>
        <v>404970</v>
      </c>
      <c r="E15" s="856">
        <f>ROUND(Notes!D65,0)</f>
        <v>257339</v>
      </c>
      <c r="F15" s="278">
        <v>252378</v>
      </c>
      <c r="G15" s="278">
        <v>474594</v>
      </c>
    </row>
    <row r="16" spans="1:11">
      <c r="B16" s="283" t="s">
        <v>1397</v>
      </c>
      <c r="C16" s="281">
        <f>Notes!A68</f>
        <v>8</v>
      </c>
      <c r="D16" s="856">
        <f>ROUND(Notes!C73,0)</f>
        <v>127252</v>
      </c>
      <c r="E16" s="856">
        <f>ROUND(Notes!D73,0)</f>
        <v>47081</v>
      </c>
      <c r="F16" s="278">
        <v>138253</v>
      </c>
      <c r="G16" s="278">
        <v>458647</v>
      </c>
    </row>
    <row r="17" spans="1:7">
      <c r="B17" s="283" t="s">
        <v>1398</v>
      </c>
      <c r="C17" s="281">
        <f>Notes!A75</f>
        <v>9</v>
      </c>
      <c r="D17" s="856">
        <f>ROUND(Notes!C80,0)</f>
        <v>12351</v>
      </c>
      <c r="E17" s="856">
        <f>ROUND(Notes!D80,0)</f>
        <v>27088</v>
      </c>
      <c r="F17" s="278">
        <v>11004</v>
      </c>
      <c r="G17" s="278">
        <v>15133</v>
      </c>
    </row>
    <row r="18" spans="1:7">
      <c r="B18" s="219"/>
      <c r="C18" s="56"/>
      <c r="D18" s="857">
        <f>SUM(D9:D17)</f>
        <v>24204976</v>
      </c>
      <c r="E18" s="857">
        <f>SUM(E9:E17)</f>
        <v>27504776</v>
      </c>
      <c r="F18" s="57">
        <f>SUM(F9:F17)</f>
        <v>14867211</v>
      </c>
      <c r="G18" s="57">
        <f>SUM(G9:G17)</f>
        <v>9913048</v>
      </c>
    </row>
    <row r="19" spans="1:7">
      <c r="A19" s="279" t="s">
        <v>8</v>
      </c>
      <c r="B19" s="232" t="s">
        <v>9</v>
      </c>
      <c r="C19" s="56"/>
      <c r="D19" s="856"/>
      <c r="E19" s="856"/>
      <c r="F19" s="278"/>
      <c r="G19" s="278"/>
    </row>
    <row r="20" spans="1:7">
      <c r="B20" s="219" t="s">
        <v>10</v>
      </c>
      <c r="C20" s="281">
        <f>Notes!A82</f>
        <v>10</v>
      </c>
      <c r="D20" s="856">
        <f>ROUND(Notes!C87,0)</f>
        <v>28060951</v>
      </c>
      <c r="E20" s="856">
        <f>ROUND(Notes!D87,0)</f>
        <v>26273701</v>
      </c>
      <c r="F20" s="278">
        <v>16809604</v>
      </c>
      <c r="G20" s="278">
        <v>7412151</v>
      </c>
    </row>
    <row r="21" spans="1:7">
      <c r="B21" s="219" t="s">
        <v>11</v>
      </c>
      <c r="C21" s="56"/>
      <c r="D21" s="856"/>
      <c r="E21" s="856"/>
      <c r="F21" s="278"/>
      <c r="G21" s="278"/>
    </row>
    <row r="22" spans="1:7">
      <c r="B22" s="284" t="s">
        <v>575</v>
      </c>
      <c r="C22" s="281">
        <f>Notes!A90</f>
        <v>11</v>
      </c>
      <c r="D22" s="856">
        <f>ROUND(Notes!C98,0)</f>
        <v>2662259</v>
      </c>
      <c r="E22" s="856">
        <f>ROUND(Notes!D98,0)</f>
        <v>4706908</v>
      </c>
      <c r="F22" s="278">
        <v>4961318</v>
      </c>
      <c r="G22" s="278">
        <v>3465198</v>
      </c>
    </row>
    <row r="23" spans="1:7">
      <c r="B23" s="284" t="s">
        <v>576</v>
      </c>
      <c r="C23" s="281">
        <f>Notes!A133</f>
        <v>12</v>
      </c>
      <c r="D23" s="856">
        <f>ROUND(Notes!C144,0)</f>
        <v>43169</v>
      </c>
      <c r="E23" s="856">
        <f>ROUND(Notes!D144,0)</f>
        <v>41102092</v>
      </c>
      <c r="F23" s="278">
        <v>212620</v>
      </c>
      <c r="G23" s="278">
        <v>895556</v>
      </c>
    </row>
    <row r="24" spans="1:7">
      <c r="B24" s="284" t="s">
        <v>796</v>
      </c>
      <c r="C24" s="281">
        <f>Notes!A146</f>
        <v>13</v>
      </c>
      <c r="D24" s="856">
        <f>ROUND(Notes!C153,0)</f>
        <v>3679</v>
      </c>
      <c r="E24" s="856">
        <f>ROUND(Notes!D153,0)</f>
        <v>93710</v>
      </c>
      <c r="F24" s="278">
        <v>16949</v>
      </c>
      <c r="G24" s="278">
        <v>181851</v>
      </c>
    </row>
    <row r="25" spans="1:7">
      <c r="B25" s="219" t="s">
        <v>12</v>
      </c>
      <c r="C25" s="281">
        <f>Notes!A155</f>
        <v>14</v>
      </c>
      <c r="D25" s="856">
        <f>ROUND(Notes!C162,0)</f>
        <v>24974795</v>
      </c>
      <c r="E25" s="856">
        <f>ROUND(Notes!D162,0)</f>
        <v>18656516</v>
      </c>
      <c r="F25" s="278">
        <v>8986308</v>
      </c>
      <c r="G25" s="278">
        <v>3865479</v>
      </c>
    </row>
    <row r="26" spans="1:7">
      <c r="B26" s="219"/>
      <c r="C26" s="56"/>
      <c r="D26" s="857">
        <f>SUM(D20:D25)+2</f>
        <v>55744855</v>
      </c>
      <c r="E26" s="857">
        <f>SUM(E20:E25)</f>
        <v>90832927</v>
      </c>
      <c r="F26" s="57">
        <f>SUM(F20:F25)</f>
        <v>30986799</v>
      </c>
      <c r="G26" s="57">
        <f>SUM(G20:G25)</f>
        <v>15820235</v>
      </c>
    </row>
    <row r="27" spans="1:7">
      <c r="B27" s="219"/>
      <c r="C27" s="56"/>
      <c r="D27" s="856"/>
      <c r="E27" s="856"/>
      <c r="F27" s="278"/>
      <c r="G27" s="278"/>
    </row>
    <row r="28" spans="1:7" ht="16" thickBot="1">
      <c r="B28" s="285" t="s">
        <v>13</v>
      </c>
      <c r="C28" s="56"/>
      <c r="D28" s="858">
        <f>D18+D26+6</f>
        <v>79949837</v>
      </c>
      <c r="E28" s="858">
        <f>E18+E26+2</f>
        <v>118337705</v>
      </c>
      <c r="F28" s="58">
        <f>F18+F26</f>
        <v>45854010</v>
      </c>
      <c r="G28" s="58">
        <f>G18+G26</f>
        <v>25733283</v>
      </c>
    </row>
    <row r="29" spans="1:7" ht="10.5" customHeight="1" thickTop="1" thickBot="1">
      <c r="B29" s="286"/>
      <c r="C29" s="59"/>
      <c r="D29" s="859"/>
      <c r="E29" s="859"/>
      <c r="F29" s="278"/>
      <c r="G29" s="278"/>
    </row>
    <row r="30" spans="1:7">
      <c r="A30" s="275" t="s">
        <v>14</v>
      </c>
      <c r="B30" s="232" t="s">
        <v>15</v>
      </c>
      <c r="C30" s="56"/>
      <c r="D30" s="856"/>
      <c r="E30" s="856"/>
      <c r="F30" s="287"/>
      <c r="G30" s="287"/>
    </row>
    <row r="31" spans="1:7" ht="3.75" customHeight="1">
      <c r="B31" s="219"/>
      <c r="C31" s="56"/>
      <c r="D31" s="856"/>
      <c r="E31" s="856"/>
      <c r="F31" s="278"/>
      <c r="G31" s="278"/>
    </row>
    <row r="32" spans="1:7">
      <c r="B32" s="232" t="s">
        <v>16</v>
      </c>
      <c r="C32" s="56"/>
      <c r="D32" s="856"/>
      <c r="E32" s="856"/>
      <c r="F32" s="278"/>
      <c r="G32" s="278"/>
    </row>
    <row r="33" spans="1:8">
      <c r="B33" s="219" t="s">
        <v>17</v>
      </c>
      <c r="C33" s="281">
        <f>Notes!A164</f>
        <v>15</v>
      </c>
      <c r="D33" s="856">
        <f>ROUND(SOCE!C14,0)</f>
        <v>59945140</v>
      </c>
      <c r="E33" s="856">
        <f>SOCE!E14</f>
        <v>59442630</v>
      </c>
      <c r="F33" s="278">
        <v>31993290</v>
      </c>
      <c r="G33" s="278">
        <v>18041150</v>
      </c>
      <c r="H33" s="280"/>
    </row>
    <row r="34" spans="1:8">
      <c r="B34" s="60" t="s">
        <v>18</v>
      </c>
      <c r="C34" s="281">
        <f>Notes!A291</f>
        <v>16</v>
      </c>
      <c r="D34" s="856">
        <f>SOCE!E29</f>
        <v>-49018174</v>
      </c>
      <c r="E34" s="856">
        <f>ROUND(Notes!D306,0)</f>
        <v>16635768</v>
      </c>
      <c r="F34" s="278">
        <v>-62793926</v>
      </c>
      <c r="G34" s="278">
        <v>-57152023</v>
      </c>
    </row>
    <row r="35" spans="1:8">
      <c r="B35" s="219"/>
      <c r="C35" s="56"/>
      <c r="D35" s="857">
        <f>SUM(D33:D34)</f>
        <v>10926966</v>
      </c>
      <c r="E35" s="857">
        <f>SUM(E33:E34)</f>
        <v>76078398</v>
      </c>
      <c r="F35" s="57">
        <f>SUM(F33:F34)</f>
        <v>-30800636</v>
      </c>
      <c r="G35" s="57">
        <f>SUM(G33:G34)</f>
        <v>-39110873</v>
      </c>
      <c r="H35" s="280"/>
    </row>
    <row r="36" spans="1:8">
      <c r="B36" s="232" t="s">
        <v>19</v>
      </c>
      <c r="C36" s="56"/>
      <c r="D36" s="856"/>
      <c r="E36" s="856"/>
      <c r="F36" s="278"/>
      <c r="G36" s="278"/>
    </row>
    <row r="37" spans="1:8">
      <c r="A37" s="279" t="s">
        <v>4</v>
      </c>
      <c r="B37" s="232" t="s">
        <v>20</v>
      </c>
      <c r="C37" s="56"/>
      <c r="D37" s="856"/>
      <c r="E37" s="856"/>
      <c r="F37" s="278"/>
      <c r="G37" s="278"/>
      <c r="H37" s="280"/>
    </row>
    <row r="38" spans="1:8">
      <c r="B38" s="219" t="s">
        <v>21</v>
      </c>
      <c r="C38" s="56"/>
      <c r="D38" s="856"/>
      <c r="E38" s="856"/>
      <c r="F38" s="278"/>
      <c r="G38" s="278"/>
    </row>
    <row r="39" spans="1:8">
      <c r="B39" s="284" t="s">
        <v>1401</v>
      </c>
      <c r="C39" s="281">
        <f>Notes!A308</f>
        <v>17</v>
      </c>
      <c r="D39" s="856">
        <f>ROUND(Notes!C311,)</f>
        <v>275494</v>
      </c>
      <c r="E39" s="856">
        <f>ROUND(Notes!D311,)</f>
        <v>601532</v>
      </c>
      <c r="F39" s="278">
        <v>0</v>
      </c>
      <c r="G39" s="278"/>
    </row>
    <row r="40" spans="1:8">
      <c r="B40" s="284" t="s">
        <v>1400</v>
      </c>
      <c r="C40" s="281"/>
      <c r="D40" s="856"/>
      <c r="E40" s="856"/>
      <c r="F40" s="278">
        <v>30821780</v>
      </c>
      <c r="G40" s="278">
        <v>22397242</v>
      </c>
    </row>
    <row r="41" spans="1:8">
      <c r="B41" s="219" t="s">
        <v>340</v>
      </c>
      <c r="C41" s="281">
        <f>Notes!A316</f>
        <v>18</v>
      </c>
      <c r="D41" s="856">
        <f>ROUND(Notes!C322,0)</f>
        <v>2213525</v>
      </c>
      <c r="E41" s="856">
        <f>ROUND(Notes!D322,0)</f>
        <v>1657085</v>
      </c>
      <c r="F41" s="278">
        <v>1233428</v>
      </c>
      <c r="G41" s="278">
        <v>1023460</v>
      </c>
    </row>
    <row r="42" spans="1:8">
      <c r="B42" s="219"/>
      <c r="C42" s="56"/>
      <c r="D42" s="857">
        <f>SUM(D39:D41)</f>
        <v>2489019</v>
      </c>
      <c r="E42" s="857">
        <f>SUM(E39:E41)</f>
        <v>2258617</v>
      </c>
      <c r="F42" s="57">
        <f>SUM(F39:F41)</f>
        <v>32055208</v>
      </c>
      <c r="G42" s="57">
        <f>SUM(G39:G41)</f>
        <v>23420702</v>
      </c>
    </row>
    <row r="43" spans="1:8">
      <c r="A43" s="279" t="s">
        <v>8</v>
      </c>
      <c r="B43" s="232" t="s">
        <v>23</v>
      </c>
      <c r="C43" s="56"/>
      <c r="D43" s="856"/>
      <c r="E43" s="856"/>
      <c r="F43" s="278"/>
      <c r="G43" s="278"/>
    </row>
    <row r="44" spans="1:8">
      <c r="B44" s="219" t="s">
        <v>21</v>
      </c>
      <c r="C44" s="56"/>
      <c r="D44" s="856"/>
      <c r="E44" s="856"/>
      <c r="F44" s="278"/>
      <c r="G44" s="278"/>
    </row>
    <row r="45" spans="1:8">
      <c r="B45" s="284" t="s">
        <v>1401</v>
      </c>
      <c r="C45" s="281">
        <f>+C39</f>
        <v>17</v>
      </c>
      <c r="D45" s="856">
        <f>ROUND(Notes!C312,)</f>
        <v>326038</v>
      </c>
      <c r="E45" s="856">
        <f>ROUND(Notes!D312,)</f>
        <v>274741</v>
      </c>
      <c r="F45" s="278">
        <v>0</v>
      </c>
      <c r="G45" s="278"/>
    </row>
    <row r="46" spans="1:8">
      <c r="B46" s="284" t="s">
        <v>1423</v>
      </c>
      <c r="C46" s="281">
        <f>+Notes!A324</f>
        <v>19</v>
      </c>
      <c r="D46" s="856">
        <f>ROUND(Notes!C337,0)</f>
        <v>15311609</v>
      </c>
      <c r="E46" s="856">
        <f>ROUND(Notes!D337,0)</f>
        <v>2843006</v>
      </c>
      <c r="F46" s="278">
        <v>25796419</v>
      </c>
      <c r="G46" s="278">
        <v>27380316</v>
      </c>
    </row>
    <row r="47" spans="1:8">
      <c r="B47" s="284" t="s">
        <v>1424</v>
      </c>
      <c r="C47" s="281">
        <f>+Notes!A341</f>
        <v>20</v>
      </c>
      <c r="D47" s="856"/>
      <c r="E47" s="856"/>
      <c r="F47" s="278"/>
      <c r="G47" s="278"/>
    </row>
    <row r="48" spans="1:8" ht="16">
      <c r="B48" s="288" t="s">
        <v>1426</v>
      </c>
      <c r="C48" s="281"/>
      <c r="D48" s="856">
        <f>ROUND(Notes!C344,0)</f>
        <v>21277182</v>
      </c>
      <c r="E48" s="856">
        <f>ROUND(Notes!D344,0)</f>
        <v>5514596</v>
      </c>
      <c r="F48" s="278">
        <v>989511</v>
      </c>
      <c r="G48" s="278">
        <v>10733022</v>
      </c>
    </row>
    <row r="49" spans="2:11" ht="32">
      <c r="B49" s="288" t="s">
        <v>1427</v>
      </c>
      <c r="C49" s="281"/>
      <c r="D49" s="856">
        <f>ROUND(Notes!C345,0)</f>
        <v>27088910</v>
      </c>
      <c r="E49" s="856">
        <f>ROUND(Notes!D345,0)</f>
        <v>29121860</v>
      </c>
      <c r="F49" s="278">
        <v>15005574</v>
      </c>
      <c r="G49" s="278"/>
    </row>
    <row r="50" spans="2:11">
      <c r="B50" s="284" t="s">
        <v>1425</v>
      </c>
      <c r="C50" s="281">
        <f>Notes!A367</f>
        <v>21</v>
      </c>
      <c r="D50" s="856">
        <f>ROUND(Notes!C376,0)</f>
        <v>1893151</v>
      </c>
      <c r="E50" s="856">
        <f>ROUND(Notes!D376,0)</f>
        <v>1762027</v>
      </c>
      <c r="F50" s="278">
        <v>2451712</v>
      </c>
      <c r="G50" s="278">
        <v>3048239</v>
      </c>
    </row>
    <row r="51" spans="2:11">
      <c r="B51" s="219" t="s">
        <v>26</v>
      </c>
      <c r="C51" s="281">
        <f>Notes!A378</f>
        <v>22</v>
      </c>
      <c r="D51" s="856">
        <f>ROUND(Notes!C385,0)</f>
        <v>636960</v>
      </c>
      <c r="E51" s="856">
        <f>ROUND(Notes!D385,0)</f>
        <v>484448</v>
      </c>
      <c r="F51" s="278">
        <v>356221</v>
      </c>
      <c r="G51" s="278">
        <v>261877</v>
      </c>
    </row>
    <row r="52" spans="2:11">
      <c r="B52" s="219"/>
      <c r="C52" s="56"/>
      <c r="D52" s="857">
        <f>SUM(D44:D51)+1</f>
        <v>66533851</v>
      </c>
      <c r="E52" s="857">
        <f>SUM(E44:E51)+9</f>
        <v>40000687</v>
      </c>
      <c r="F52" s="57">
        <f>SUM(F44:F51)</f>
        <v>44599437</v>
      </c>
      <c r="G52" s="57">
        <f>SUM(G44:G51)</f>
        <v>41423454</v>
      </c>
    </row>
    <row r="53" spans="2:11">
      <c r="B53" s="219"/>
      <c r="C53" s="56"/>
      <c r="D53" s="856"/>
      <c r="E53" s="856"/>
      <c r="F53" s="278"/>
      <c r="G53" s="278"/>
    </row>
    <row r="54" spans="2:11" ht="16" thickBot="1">
      <c r="B54" s="285" t="s">
        <v>27</v>
      </c>
      <c r="C54" s="56"/>
      <c r="D54" s="858">
        <f>D42+D52+D35+6</f>
        <v>79949842</v>
      </c>
      <c r="E54" s="858">
        <f>E42+E52+E35+5</f>
        <v>118337707</v>
      </c>
      <c r="F54" s="58">
        <f>F42+F52+F35</f>
        <v>45854009</v>
      </c>
      <c r="G54" s="58">
        <f>G42+G52+G35</f>
        <v>25733283</v>
      </c>
      <c r="H54" s="280"/>
    </row>
    <row r="55" spans="2:11" ht="16" thickTop="1">
      <c r="B55" s="219"/>
      <c r="C55" s="60"/>
      <c r="D55" s="60"/>
      <c r="E55" s="60"/>
      <c r="F55" s="289"/>
      <c r="G55" s="289"/>
    </row>
    <row r="56" spans="2:11" ht="48">
      <c r="B56" s="61" t="s">
        <v>1010</v>
      </c>
      <c r="C56" s="290" t="str">
        <f>"1 to " &amp;'Notes 42 to 43'!A14</f>
        <v>1 to 43</v>
      </c>
      <c r="D56" s="62"/>
      <c r="E56" s="62"/>
      <c r="F56" s="291"/>
      <c r="G56" s="291"/>
    </row>
    <row r="57" spans="2:11" ht="17.25" customHeight="1"/>
    <row r="58" spans="2:11" s="1" customFormat="1">
      <c r="B58" s="6" t="s">
        <v>351</v>
      </c>
      <c r="C58" s="6" t="s">
        <v>329</v>
      </c>
      <c r="F58" s="292">
        <f>D54-D28</f>
        <v>5</v>
      </c>
      <c r="G58" s="292">
        <f t="shared" ref="G58:I58" si="0">E54-E28</f>
        <v>2</v>
      </c>
      <c r="H58" s="292">
        <f t="shared" si="0"/>
        <v>-1</v>
      </c>
      <c r="I58" s="292">
        <f t="shared" si="0"/>
        <v>0</v>
      </c>
      <c r="J58" s="50"/>
      <c r="K58" s="50"/>
    </row>
    <row r="59" spans="2:11" s="1" customFormat="1">
      <c r="B59" s="1" t="s">
        <v>330</v>
      </c>
      <c r="I59" s="50"/>
      <c r="J59" s="50"/>
      <c r="K59" s="50"/>
    </row>
    <row r="60" spans="2:11" s="1" customFormat="1">
      <c r="B60" s="7" t="s">
        <v>352</v>
      </c>
      <c r="I60" s="50"/>
      <c r="J60" s="50"/>
      <c r="K60" s="50"/>
    </row>
    <row r="61" spans="2:11" s="1" customFormat="1">
      <c r="I61" s="50"/>
      <c r="J61" s="50"/>
      <c r="K61" s="50"/>
    </row>
    <row r="62" spans="2:11" s="1" customFormat="1">
      <c r="I62" s="50"/>
      <c r="J62" s="50"/>
      <c r="K62" s="50"/>
    </row>
    <row r="63" spans="2:11" s="1" customFormat="1">
      <c r="B63" s="6" t="s">
        <v>353</v>
      </c>
      <c r="C63" s="293" t="s">
        <v>355</v>
      </c>
      <c r="E63" s="26" t="s">
        <v>354</v>
      </c>
      <c r="F63" s="6"/>
      <c r="G63" s="6"/>
      <c r="I63" s="50"/>
      <c r="J63" s="50"/>
      <c r="K63" s="50"/>
    </row>
    <row r="64" spans="2:11" s="1" customFormat="1">
      <c r="B64" s="1" t="s">
        <v>356</v>
      </c>
      <c r="C64" s="1" t="s">
        <v>357</v>
      </c>
      <c r="E64" s="294" t="s">
        <v>831</v>
      </c>
      <c r="I64" s="50"/>
      <c r="J64" s="50"/>
      <c r="K64" s="50"/>
    </row>
    <row r="65" spans="2:11" s="1" customFormat="1">
      <c r="B65" s="295" t="s">
        <v>358</v>
      </c>
      <c r="C65" s="294" t="s">
        <v>360</v>
      </c>
      <c r="E65" s="45" t="s">
        <v>359</v>
      </c>
      <c r="I65" s="50"/>
      <c r="J65" s="50"/>
      <c r="K65" s="50"/>
    </row>
    <row r="66" spans="2:11" s="1" customFormat="1">
      <c r="B66" s="1" t="s">
        <v>1204</v>
      </c>
      <c r="C66" s="1" t="str">
        <f>B67</f>
        <v>Place : Mumbai</v>
      </c>
      <c r="I66" s="50"/>
      <c r="J66" s="50"/>
      <c r="K66" s="50"/>
    </row>
    <row r="67" spans="2:11" s="1" customFormat="1">
      <c r="B67" s="1" t="s">
        <v>361</v>
      </c>
      <c r="C67" s="1" t="s">
        <v>1684</v>
      </c>
      <c r="I67" s="50"/>
      <c r="J67" s="50"/>
      <c r="K67" s="50"/>
    </row>
    <row r="68" spans="2:11" s="1" customFormat="1">
      <c r="B68" s="1" t="s">
        <v>1684</v>
      </c>
      <c r="I68" s="50"/>
      <c r="J68" s="50"/>
      <c r="K68" s="50"/>
    </row>
  </sheetData>
  <conditionalFormatting sqref="C64">
    <cfRule type="cellIs" dxfId="6" priority="1" stopIfTrue="1" operator="equal">
      <formula>"Please Insert Designation of the Director 1"</formula>
    </cfRule>
  </conditionalFormatting>
  <pageMargins left="0.70866141732283472" right="0.70866141732283472" top="0.43307086614173229" bottom="0.19685039370078741" header="0.31496062992125984" footer="0.31496062992125984"/>
  <pageSetup scale="76" orientation="portrait" blackAndWhite="1" r:id="rId1"/>
  <colBreaks count="1" manualBreakCount="1">
    <brk id="5"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J58"/>
  <sheetViews>
    <sheetView showGridLines="0" view="pageBreakPreview" topLeftCell="A30" zoomScale="112" zoomScaleSheetLayoutView="112" workbookViewId="0">
      <selection activeCell="D49" sqref="A1:XFD1048576"/>
    </sheetView>
  </sheetViews>
  <sheetFormatPr baseColWidth="10" defaultColWidth="9.1640625" defaultRowHeight="15"/>
  <cols>
    <col min="1" max="1" width="4" style="215" customWidth="1"/>
    <col min="2" max="2" width="55" style="215" customWidth="1"/>
    <col min="3" max="3" width="6.1640625" style="853" customWidth="1"/>
    <col min="4" max="4" width="20.6640625" style="215" customWidth="1"/>
    <col min="5" max="5" width="24.6640625" style="215" customWidth="1"/>
    <col min="6" max="6" width="16.83203125" style="215" bestFit="1" customWidth="1"/>
    <col min="7" max="7" width="15" style="215" bestFit="1" customWidth="1"/>
    <col min="8" max="8" width="12.83203125" style="215" bestFit="1" customWidth="1"/>
    <col min="9" max="9" width="9.1640625" style="215"/>
    <col min="10" max="10" width="12.33203125" style="215" bestFit="1" customWidth="1"/>
    <col min="11" max="16384" width="9.1640625" style="215"/>
  </cols>
  <sheetData>
    <row r="1" spans="1:7">
      <c r="A1" s="6" t="str">
        <f>BS!A1</f>
        <v>1908 E-Ventures Private Limited</v>
      </c>
      <c r="C1" s="9"/>
      <c r="D1" s="1"/>
      <c r="E1" s="1"/>
    </row>
    <row r="2" spans="1:7">
      <c r="A2" s="6" t="s">
        <v>53</v>
      </c>
      <c r="C2" s="9"/>
      <c r="D2" s="1"/>
      <c r="E2" s="1"/>
    </row>
    <row r="3" spans="1:7">
      <c r="A3" s="6" t="s">
        <v>1506</v>
      </c>
      <c r="C3" s="9"/>
      <c r="D3" s="1"/>
      <c r="E3" s="1"/>
    </row>
    <row r="4" spans="1:7">
      <c r="A4" s="15" t="str">
        <f>BS!A3</f>
        <v>[Currency: Indian Rupees(Rs.'000)]</v>
      </c>
      <c r="C4" s="9"/>
      <c r="D4" s="1"/>
      <c r="E4" s="1"/>
    </row>
    <row r="5" spans="1:7" ht="10.5" customHeight="1">
      <c r="B5" s="1"/>
      <c r="C5" s="9"/>
      <c r="D5" s="1"/>
      <c r="E5" s="1"/>
    </row>
    <row r="6" spans="1:7" ht="16">
      <c r="B6" s="55" t="s">
        <v>0</v>
      </c>
      <c r="C6" s="55" t="s">
        <v>1</v>
      </c>
      <c r="D6" s="55" t="s">
        <v>566</v>
      </c>
      <c r="E6" s="55" t="s">
        <v>1205</v>
      </c>
    </row>
    <row r="7" spans="1:7">
      <c r="B7" s="4"/>
      <c r="C7" s="8"/>
      <c r="D7" s="847"/>
      <c r="E7" s="847"/>
    </row>
    <row r="8" spans="1:7">
      <c r="B8" s="2" t="s">
        <v>28</v>
      </c>
      <c r="C8" s="10">
        <f>Notes!A401</f>
        <v>24</v>
      </c>
      <c r="D8" s="860">
        <f>ROUND(Notes!C406,0)</f>
        <v>64296378</v>
      </c>
      <c r="E8" s="860">
        <f>ROUND(Notes!D406,0)</f>
        <v>64459893</v>
      </c>
      <c r="G8" s="216"/>
    </row>
    <row r="9" spans="1:7">
      <c r="B9" s="2" t="s">
        <v>29</v>
      </c>
      <c r="C9" s="10">
        <f>Notes!A408</f>
        <v>25</v>
      </c>
      <c r="D9" s="860">
        <f>ROUND(Notes!C419,0)</f>
        <v>2795332</v>
      </c>
      <c r="E9" s="860">
        <f>ROUND(Notes!D419,0)</f>
        <v>1777548</v>
      </c>
    </row>
    <row r="10" spans="1:7">
      <c r="B10" s="4" t="s">
        <v>30</v>
      </c>
      <c r="C10" s="10"/>
      <c r="D10" s="861">
        <f>SUM(D8:D9)</f>
        <v>67091710</v>
      </c>
      <c r="E10" s="861">
        <f>SUM(E8:E9)</f>
        <v>66237441</v>
      </c>
    </row>
    <row r="11" spans="1:7">
      <c r="B11" s="2"/>
      <c r="C11" s="10"/>
      <c r="D11" s="862"/>
      <c r="E11" s="860"/>
    </row>
    <row r="12" spans="1:7">
      <c r="B12" s="4" t="s">
        <v>31</v>
      </c>
      <c r="C12" s="10"/>
      <c r="D12" s="862"/>
      <c r="E12" s="860"/>
    </row>
    <row r="13" spans="1:7">
      <c r="B13" s="2" t="s">
        <v>252</v>
      </c>
      <c r="C13" s="10">
        <f>Notes!A421</f>
        <v>26</v>
      </c>
      <c r="D13" s="860">
        <f>ROUND(Notes!C425,0)</f>
        <v>49863845</v>
      </c>
      <c r="E13" s="860">
        <f>ROUND(Notes!D425,0)</f>
        <v>56229180</v>
      </c>
      <c r="G13" s="216"/>
    </row>
    <row r="14" spans="1:7">
      <c r="B14" s="2" t="s">
        <v>32</v>
      </c>
      <c r="C14" s="10">
        <f>Notes!A427</f>
        <v>27</v>
      </c>
      <c r="D14" s="860">
        <f>ROUND(Notes!C436,0)</f>
        <v>-1787249</v>
      </c>
      <c r="E14" s="860">
        <f>ROUND(Notes!D436,0)</f>
        <v>-9464613</v>
      </c>
    </row>
    <row r="15" spans="1:7">
      <c r="B15" s="2" t="s">
        <v>33</v>
      </c>
      <c r="C15" s="10">
        <f>+Notes!A438</f>
        <v>28</v>
      </c>
      <c r="D15" s="860">
        <f>ROUND(Notes!C447,0)</f>
        <v>21592535</v>
      </c>
      <c r="E15" s="860">
        <f>ROUND(Notes!D447,0)</f>
        <v>17938915</v>
      </c>
    </row>
    <row r="16" spans="1:7">
      <c r="B16" s="2" t="s">
        <v>34</v>
      </c>
      <c r="C16" s="10">
        <f>+Notes!A449</f>
        <v>29</v>
      </c>
      <c r="D16" s="860">
        <f>ROUND(Notes!C456,0)</f>
        <v>395272</v>
      </c>
      <c r="E16" s="860">
        <f>ROUND(Notes!D456,0)</f>
        <v>4585229</v>
      </c>
      <c r="G16" s="216"/>
    </row>
    <row r="17" spans="2:10">
      <c r="B17" s="2" t="s">
        <v>35</v>
      </c>
      <c r="C17" s="10">
        <v>3</v>
      </c>
      <c r="D17" s="863">
        <f>ROUND(Notes!C464,0)</f>
        <v>3854623</v>
      </c>
      <c r="E17" s="863">
        <f>ROUND(Notes!D464,0)</f>
        <v>1350262</v>
      </c>
      <c r="G17" s="216">
        <v>303131</v>
      </c>
      <c r="H17" s="216">
        <f>D17-G17</f>
        <v>3551492</v>
      </c>
    </row>
    <row r="18" spans="2:10">
      <c r="B18" s="2" t="s">
        <v>36</v>
      </c>
      <c r="C18" s="10">
        <f>Notes!A466</f>
        <v>31</v>
      </c>
      <c r="D18" s="863">
        <f>ROUND(Notes!C498,0)</f>
        <v>62532317</v>
      </c>
      <c r="E18" s="863">
        <f>ROUND(Notes!D498,0)</f>
        <v>55713860</v>
      </c>
      <c r="G18" s="216"/>
    </row>
    <row r="19" spans="2:10">
      <c r="B19" s="4" t="s">
        <v>37</v>
      </c>
      <c r="C19" s="10"/>
      <c r="D19" s="864">
        <f>SUM(D13:D18)+2</f>
        <v>136451345</v>
      </c>
      <c r="E19" s="864">
        <f>SUM(E13:E18)+6</f>
        <v>126352839</v>
      </c>
    </row>
    <row r="20" spans="2:10">
      <c r="B20" s="4"/>
      <c r="C20" s="10"/>
      <c r="D20" s="865"/>
      <c r="E20" s="865"/>
    </row>
    <row r="21" spans="2:10">
      <c r="B21" s="4" t="s">
        <v>38</v>
      </c>
      <c r="C21" s="10"/>
      <c r="D21" s="865">
        <f>D10-D19</f>
        <v>-69359635</v>
      </c>
      <c r="E21" s="865">
        <f>E10-E19-1</f>
        <v>-60115399</v>
      </c>
      <c r="G21" s="216"/>
      <c r="H21" s="216"/>
      <c r="J21" s="216"/>
    </row>
    <row r="22" spans="2:10">
      <c r="B22" s="2" t="s">
        <v>39</v>
      </c>
      <c r="C22" s="10"/>
      <c r="D22" s="863">
        <v>0</v>
      </c>
      <c r="E22" s="863">
        <v>0</v>
      </c>
      <c r="G22" s="216"/>
    </row>
    <row r="23" spans="2:10">
      <c r="B23" s="17" t="s">
        <v>40</v>
      </c>
      <c r="C23" s="8"/>
      <c r="D23" s="865">
        <f>SUM(D21:D22)</f>
        <v>-69359635</v>
      </c>
      <c r="E23" s="865">
        <f>SUM(E21:E22)</f>
        <v>-60115399</v>
      </c>
    </row>
    <row r="24" spans="2:10">
      <c r="B24" s="18" t="s">
        <v>41</v>
      </c>
      <c r="C24" s="10"/>
      <c r="D24" s="866"/>
      <c r="E24" s="867"/>
    </row>
    <row r="25" spans="2:10">
      <c r="B25" s="19" t="s">
        <v>42</v>
      </c>
      <c r="C25" s="10"/>
      <c r="D25" s="863">
        <v>0</v>
      </c>
      <c r="E25" s="863">
        <v>0</v>
      </c>
    </row>
    <row r="26" spans="2:10">
      <c r="B26" s="19" t="s">
        <v>1005</v>
      </c>
      <c r="C26" s="10"/>
      <c r="D26" s="863">
        <f>ROUND('Deferred tax 22-23'!G14,)-4</f>
        <v>-749317</v>
      </c>
      <c r="E26" s="863">
        <v>0</v>
      </c>
      <c r="G26" s="215" t="s">
        <v>1560</v>
      </c>
    </row>
    <row r="27" spans="2:10" ht="16" thickBot="1">
      <c r="B27" s="20" t="s">
        <v>55</v>
      </c>
      <c r="C27" s="10"/>
      <c r="D27" s="868">
        <f>D23+D25+D26-4</f>
        <v>-70108956</v>
      </c>
      <c r="E27" s="868">
        <f>E23-E25+E26</f>
        <v>-60115399</v>
      </c>
      <c r="F27" s="763">
        <f>'Profit reco'!F14</f>
        <v>-69899415.333333328</v>
      </c>
      <c r="G27" s="217">
        <v>-60115259</v>
      </c>
      <c r="H27" s="216"/>
      <c r="J27" s="216"/>
    </row>
    <row r="28" spans="2:10" ht="16" thickTop="1">
      <c r="B28" s="4"/>
      <c r="C28" s="10"/>
      <c r="D28" s="865"/>
      <c r="E28" s="863"/>
      <c r="F28" s="763">
        <f>D27-F27</f>
        <v>-209540.66666667163</v>
      </c>
      <c r="G28" s="763">
        <f>E27-G27</f>
        <v>-140</v>
      </c>
      <c r="H28" s="216"/>
    </row>
    <row r="29" spans="2:10">
      <c r="B29" s="4" t="s">
        <v>43</v>
      </c>
      <c r="C29" s="10"/>
      <c r="D29" s="866"/>
      <c r="E29" s="867"/>
    </row>
    <row r="30" spans="2:10">
      <c r="B30" s="4" t="s">
        <v>44</v>
      </c>
      <c r="C30" s="10"/>
      <c r="D30" s="866"/>
      <c r="E30" s="867"/>
    </row>
    <row r="31" spans="2:10">
      <c r="B31" s="19" t="s">
        <v>45</v>
      </c>
      <c r="C31" s="10"/>
      <c r="D31" s="863">
        <f>-'PL Grouping'!K345</f>
        <v>-42449</v>
      </c>
      <c r="E31" s="863">
        <f>ROUND('PL Grouping'!L343,0)</f>
        <v>-1661</v>
      </c>
    </row>
    <row r="32" spans="2:10">
      <c r="B32" s="19" t="s">
        <v>46</v>
      </c>
      <c r="C32" s="10"/>
      <c r="D32" s="863">
        <v>0</v>
      </c>
      <c r="E32" s="863">
        <v>0</v>
      </c>
      <c r="F32" s="848"/>
    </row>
    <row r="33" spans="2:8">
      <c r="B33" s="4" t="s">
        <v>47</v>
      </c>
      <c r="C33" s="10"/>
      <c r="D33" s="863">
        <v>0</v>
      </c>
      <c r="E33" s="863">
        <v>0</v>
      </c>
      <c r="F33" s="332"/>
    </row>
    <row r="34" spans="2:8">
      <c r="B34" s="19" t="s">
        <v>48</v>
      </c>
      <c r="C34" s="10"/>
      <c r="D34" s="863">
        <v>0</v>
      </c>
      <c r="E34" s="863">
        <v>0</v>
      </c>
    </row>
    <row r="35" spans="2:8">
      <c r="B35" s="17"/>
      <c r="C35" s="10"/>
      <c r="D35" s="865"/>
      <c r="E35" s="863"/>
    </row>
    <row r="36" spans="2:8">
      <c r="B36" s="17" t="s">
        <v>385</v>
      </c>
      <c r="C36" s="10"/>
      <c r="D36" s="865">
        <f>+D27+D31+D32+D34</f>
        <v>-70151405</v>
      </c>
      <c r="E36" s="865">
        <f>+E27+E31+E32+E34</f>
        <v>-60117060</v>
      </c>
      <c r="G36" s="763"/>
      <c r="H36" s="849"/>
    </row>
    <row r="37" spans="2:8">
      <c r="B37" s="2"/>
      <c r="C37" s="10"/>
      <c r="D37" s="867"/>
      <c r="E37" s="867"/>
      <c r="G37" s="763"/>
    </row>
    <row r="38" spans="2:8">
      <c r="B38" s="4" t="s">
        <v>49</v>
      </c>
      <c r="C38" s="10">
        <f>Notes!A500</f>
        <v>32</v>
      </c>
      <c r="D38" s="2"/>
      <c r="E38" s="2"/>
      <c r="G38" s="216"/>
    </row>
    <row r="39" spans="2:8">
      <c r="B39" s="2" t="s">
        <v>50</v>
      </c>
      <c r="C39" s="10"/>
      <c r="D39" s="11">
        <f>Notes!C508</f>
        <v>-11.794389985772836</v>
      </c>
      <c r="E39" s="11">
        <f>Notes!D508</f>
        <v>-10.113179548078543</v>
      </c>
    </row>
    <row r="40" spans="2:8">
      <c r="B40" s="2" t="s">
        <v>52</v>
      </c>
      <c r="C40" s="10"/>
      <c r="D40" s="11">
        <f>+Notes!C509</f>
        <v>-11.794389985772836</v>
      </c>
      <c r="E40" s="11">
        <f>+Notes!D509</f>
        <v>-10.113179548078543</v>
      </c>
    </row>
    <row r="41" spans="2:8">
      <c r="B41" s="2"/>
      <c r="C41" s="10"/>
      <c r="D41" s="5"/>
      <c r="E41" s="5"/>
    </row>
    <row r="42" spans="2:8">
      <c r="B42" s="1007" t="s">
        <v>1000</v>
      </c>
      <c r="C42" s="10"/>
      <c r="D42" s="3"/>
      <c r="E42" s="3"/>
    </row>
    <row r="43" spans="2:8">
      <c r="B43" s="1007"/>
      <c r="C43" s="10" t="str">
        <f>"1 to " &amp;'Notes 42 to 43'!A14</f>
        <v>1 to 43</v>
      </c>
      <c r="D43" s="3"/>
      <c r="E43" s="3"/>
    </row>
    <row r="44" spans="2:8">
      <c r="B44" s="2" t="s">
        <v>1001</v>
      </c>
      <c r="C44" s="10"/>
      <c r="D44" s="3"/>
      <c r="E44" s="3"/>
    </row>
    <row r="45" spans="2:8" ht="9" customHeight="1">
      <c r="B45" s="850"/>
      <c r="C45" s="851"/>
      <c r="D45" s="850"/>
      <c r="E45" s="850"/>
    </row>
    <row r="47" spans="2:8" s="1" customFormat="1">
      <c r="B47" s="6" t="s">
        <v>351</v>
      </c>
      <c r="C47" s="852" t="s">
        <v>329</v>
      </c>
    </row>
    <row r="48" spans="2:8" s="1" customFormat="1">
      <c r="B48" s="1" t="s">
        <v>330</v>
      </c>
      <c r="C48" s="9"/>
    </row>
    <row r="49" spans="2:5" s="1" customFormat="1">
      <c r="B49" s="7" t="s">
        <v>352</v>
      </c>
      <c r="C49" s="9"/>
    </row>
    <row r="50" spans="2:5" s="1" customFormat="1">
      <c r="C50" s="9"/>
    </row>
    <row r="51" spans="2:5" s="1" customFormat="1">
      <c r="C51" s="9"/>
    </row>
    <row r="52" spans="2:5" s="1" customFormat="1">
      <c r="C52" s="9"/>
    </row>
    <row r="53" spans="2:5" s="1" customFormat="1">
      <c r="B53" s="6" t="s">
        <v>353</v>
      </c>
      <c r="C53" s="293" t="str">
        <f>+BS!C63</f>
        <v>Deep A. Lalvani</v>
      </c>
      <c r="E53" s="293" t="str">
        <f>+BS!E63</f>
        <v>Ninotchka Malkani Nagpal</v>
      </c>
    </row>
    <row r="54" spans="2:5" s="1" customFormat="1">
      <c r="B54" s="1" t="s">
        <v>356</v>
      </c>
      <c r="C54" s="294" t="str">
        <f>+BS!C64</f>
        <v>Chairman</v>
      </c>
      <c r="E54" s="294" t="str">
        <f>+BS!E64</f>
        <v>Director</v>
      </c>
    </row>
    <row r="55" spans="2:5" s="1" customFormat="1">
      <c r="B55" s="295" t="s">
        <v>358</v>
      </c>
      <c r="C55" s="294" t="str">
        <f>+BS!C65</f>
        <v>DIN: 01771000</v>
      </c>
      <c r="E55" s="294" t="str">
        <f>+BS!E65</f>
        <v>DIN: 00031985</v>
      </c>
    </row>
    <row r="56" spans="2:5" s="1" customFormat="1">
      <c r="B56" s="1" t="str">
        <f>+BS!B66</f>
        <v xml:space="preserve">UDIN: </v>
      </c>
      <c r="C56" s="781" t="str">
        <f>+BS!C66</f>
        <v>Place : Mumbai</v>
      </c>
    </row>
    <row r="57" spans="2:5" s="1" customFormat="1">
      <c r="B57" s="1" t="str">
        <f>+BS!B67</f>
        <v>Place : Mumbai</v>
      </c>
      <c r="C57" s="781" t="str">
        <f>+BS!C67</f>
        <v>Date : 22 May 2023</v>
      </c>
    </row>
    <row r="58" spans="2:5" s="1" customFormat="1">
      <c r="B58" s="1" t="str">
        <f>+BS!B68</f>
        <v>Date : 22 May 2023</v>
      </c>
    </row>
  </sheetData>
  <mergeCells count="1">
    <mergeCell ref="B42:B43"/>
  </mergeCells>
  <pageMargins left="0.70866141732283472" right="0.70866141732283472" top="0.55118110236220474" bottom="0.39370078740157483" header="0.31496062992125984" footer="0.31496062992125984"/>
  <pageSetup paperSize="9" scale="74"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rgb="FF92D050"/>
  </sheetPr>
  <dimension ref="A1:J64"/>
  <sheetViews>
    <sheetView showGridLines="0" view="pageBreakPreview" topLeftCell="A14" zoomScaleSheetLayoutView="100" workbookViewId="0">
      <selection activeCell="C51" sqref="A1:XFD1048576"/>
    </sheetView>
  </sheetViews>
  <sheetFormatPr baseColWidth="10" defaultColWidth="9.1640625" defaultRowHeight="15"/>
  <cols>
    <col min="1" max="1" width="49.33203125" style="215" customWidth="1"/>
    <col min="2" max="2" width="15.1640625" style="215" customWidth="1"/>
    <col min="3" max="3" width="19.83203125" style="215" customWidth="1"/>
    <col min="4" max="4" width="20.1640625" style="215" customWidth="1"/>
    <col min="5" max="5" width="4.1640625" style="215" customWidth="1"/>
    <col min="6" max="6" width="12.33203125" style="215" bestFit="1" customWidth="1"/>
    <col min="7" max="7" width="15.83203125" style="215" bestFit="1" customWidth="1"/>
    <col min="8" max="8" width="12.5" style="215" bestFit="1" customWidth="1"/>
    <col min="9" max="9" width="13.5" style="215" bestFit="1" customWidth="1"/>
    <col min="10" max="16384" width="9.1640625" style="215"/>
  </cols>
  <sheetData>
    <row r="1" spans="1:9">
      <c r="A1" s="242" t="str">
        <f>BS!A1</f>
        <v>1908 E-Ventures Private Limited</v>
      </c>
      <c r="B1" s="242"/>
      <c r="C1" s="50"/>
      <c r="D1" s="243"/>
    </row>
    <row r="2" spans="1:9">
      <c r="A2" s="244" t="s">
        <v>1502</v>
      </c>
      <c r="B2" s="244"/>
      <c r="C2" s="50"/>
      <c r="D2" s="243"/>
    </row>
    <row r="3" spans="1:9">
      <c r="A3" s="15" t="str">
        <f>PL!A4</f>
        <v>[Currency: Indian Rupees(Rs.'000)]</v>
      </c>
      <c r="B3" s="15"/>
      <c r="C3" s="50"/>
      <c r="D3" s="243"/>
    </row>
    <row r="4" spans="1:9" ht="16">
      <c r="A4" s="1008" t="s">
        <v>0</v>
      </c>
      <c r="B4" s="1009"/>
      <c r="C4" s="245" t="s">
        <v>487</v>
      </c>
      <c r="D4" s="246" t="s">
        <v>487</v>
      </c>
      <c r="G4" s="215" t="s">
        <v>487</v>
      </c>
    </row>
    <row r="5" spans="1:9">
      <c r="A5" s="1010"/>
      <c r="B5" s="1011"/>
      <c r="C5" s="247" t="s">
        <v>1503</v>
      </c>
      <c r="D5" s="248" t="s">
        <v>1408</v>
      </c>
      <c r="G5" s="215" t="s">
        <v>1408</v>
      </c>
    </row>
    <row r="6" spans="1:9">
      <c r="A6" s="249" t="s">
        <v>488</v>
      </c>
      <c r="B6" s="250"/>
      <c r="C6" s="5"/>
      <c r="D6" s="251"/>
    </row>
    <row r="7" spans="1:9" ht="7.5" customHeight="1">
      <c r="A7" s="249"/>
      <c r="B7" s="250"/>
      <c r="C7" s="5"/>
      <c r="D7" s="251"/>
    </row>
    <row r="8" spans="1:9">
      <c r="A8" s="249" t="s">
        <v>489</v>
      </c>
      <c r="B8" s="252"/>
      <c r="C8" s="863">
        <f>ROUND(PL!D23,0)</f>
        <v>-69359635</v>
      </c>
      <c r="D8" s="869">
        <f>ROUND(PL!E23,0)</f>
        <v>-60115399</v>
      </c>
      <c r="G8" s="215">
        <v>-60115259</v>
      </c>
      <c r="I8" s="216">
        <f>D8-G8</f>
        <v>-140</v>
      </c>
    </row>
    <row r="9" spans="1:9">
      <c r="A9" s="249" t="s">
        <v>490</v>
      </c>
      <c r="B9" s="250"/>
      <c r="C9" s="863"/>
      <c r="D9" s="870"/>
      <c r="I9" s="216">
        <f t="shared" ref="I9:I60" si="0">D9-G9</f>
        <v>0</v>
      </c>
    </row>
    <row r="10" spans="1:9">
      <c r="A10" s="253" t="s">
        <v>491</v>
      </c>
      <c r="B10" s="252"/>
      <c r="C10" s="863">
        <f>ROUND(PL!D17,0)</f>
        <v>3854623</v>
      </c>
      <c r="D10" s="869">
        <f>ROUND(PL!E17,0)</f>
        <v>1350262</v>
      </c>
      <c r="G10" s="215">
        <v>1350262</v>
      </c>
      <c r="H10" s="216"/>
      <c r="I10" s="216">
        <f t="shared" si="0"/>
        <v>0</v>
      </c>
    </row>
    <row r="11" spans="1:9">
      <c r="A11" s="253" t="s">
        <v>492</v>
      </c>
      <c r="B11" s="252"/>
      <c r="C11" s="863">
        <f>ROUND(-(Notes!C412+Notes!C413+Notes!C414),0)</f>
        <v>-21217</v>
      </c>
      <c r="D11" s="869">
        <f>ROUND(-(Notes!D412+Notes!D413+Notes!D414),0)</f>
        <v>-37675</v>
      </c>
      <c r="G11" s="215">
        <v>-37675</v>
      </c>
      <c r="H11" s="216"/>
      <c r="I11" s="216">
        <f t="shared" si="0"/>
        <v>0</v>
      </c>
    </row>
    <row r="12" spans="1:9">
      <c r="A12" s="253" t="s">
        <v>515</v>
      </c>
      <c r="B12" s="252"/>
      <c r="C12" s="863">
        <f>Notes!C475</f>
        <v>38077</v>
      </c>
      <c r="D12" s="863">
        <f>Notes!D475</f>
        <v>122301</v>
      </c>
      <c r="G12" s="215">
        <v>122301</v>
      </c>
      <c r="H12" s="216"/>
      <c r="I12" s="216">
        <f t="shared" si="0"/>
        <v>0</v>
      </c>
    </row>
    <row r="13" spans="1:9">
      <c r="A13" s="253" t="s">
        <v>127</v>
      </c>
      <c r="B13" s="252"/>
      <c r="C13" s="869">
        <f>ROUND(Notes!C443,0)</f>
        <v>210410</v>
      </c>
      <c r="D13" s="869">
        <f>ROUND(Notes!D443,0)</f>
        <v>188986</v>
      </c>
      <c r="F13" s="254"/>
      <c r="G13" s="215">
        <v>188986</v>
      </c>
      <c r="H13" s="216"/>
      <c r="I13" s="216">
        <f t="shared" si="0"/>
        <v>0</v>
      </c>
    </row>
    <row r="14" spans="1:9">
      <c r="A14" s="253" t="s">
        <v>520</v>
      </c>
      <c r="B14" s="252"/>
      <c r="C14" s="869">
        <f>ROUND(Notes!C444,0)</f>
        <v>479272</v>
      </c>
      <c r="D14" s="869">
        <f>ROUND(Notes!D444,0)</f>
        <v>493373</v>
      </c>
      <c r="G14" s="215">
        <v>493373</v>
      </c>
      <c r="H14" s="216"/>
      <c r="I14" s="216">
        <f t="shared" si="0"/>
        <v>0</v>
      </c>
    </row>
    <row r="15" spans="1:9">
      <c r="A15" s="253" t="s">
        <v>1081</v>
      </c>
      <c r="B15" s="252"/>
      <c r="C15" s="863">
        <f>ROUND(Notes!C445,0)</f>
        <v>0</v>
      </c>
      <c r="D15" s="863">
        <f>ROUND(Notes!D445,0)</f>
        <v>2073850</v>
      </c>
      <c r="G15" s="215">
        <v>2073850</v>
      </c>
      <c r="H15" s="216"/>
      <c r="I15" s="216">
        <f t="shared" si="0"/>
        <v>0</v>
      </c>
    </row>
    <row r="16" spans="1:9">
      <c r="A16" s="253" t="s">
        <v>1665</v>
      </c>
      <c r="B16" s="252"/>
      <c r="C16" s="863">
        <f>-Notes!C415+Notes!C485</f>
        <v>0</v>
      </c>
      <c r="D16" s="869">
        <f>-Notes!D415+Notes!D485</f>
        <v>-2435</v>
      </c>
      <c r="G16" s="215">
        <v>0</v>
      </c>
      <c r="H16" s="216"/>
      <c r="I16" s="216">
        <f t="shared" si="0"/>
        <v>-2435</v>
      </c>
    </row>
    <row r="17" spans="1:10">
      <c r="A17" s="253" t="s">
        <v>514</v>
      </c>
      <c r="B17" s="252"/>
      <c r="C17" s="863">
        <f>ROUND(-Notes!C416,0)</f>
        <v>-40845</v>
      </c>
      <c r="D17" s="869">
        <f>ROUND(-Notes!D416,0)</f>
        <v>-269244</v>
      </c>
      <c r="G17" s="215">
        <v>-269245</v>
      </c>
      <c r="H17" s="216"/>
      <c r="I17" s="216">
        <f t="shared" si="0"/>
        <v>1</v>
      </c>
    </row>
    <row r="18" spans="1:10">
      <c r="A18" s="249" t="s">
        <v>493</v>
      </c>
      <c r="B18" s="250"/>
      <c r="C18" s="865">
        <f>SUM(C8:C17)-10</f>
        <v>-64839325</v>
      </c>
      <c r="D18" s="871">
        <f>ROUND(SUM(D8:D17),0)</f>
        <v>-56195981</v>
      </c>
      <c r="G18" s="215">
        <v>-56193407</v>
      </c>
      <c r="I18" s="216">
        <f t="shared" si="0"/>
        <v>-2574</v>
      </c>
    </row>
    <row r="19" spans="1:10" ht="9.75" customHeight="1">
      <c r="A19" s="255"/>
      <c r="B19" s="256"/>
      <c r="C19" s="863"/>
      <c r="D19" s="872"/>
      <c r="I19" s="216">
        <f t="shared" si="0"/>
        <v>0</v>
      </c>
    </row>
    <row r="20" spans="1:10">
      <c r="A20" s="257" t="s">
        <v>494</v>
      </c>
      <c r="B20" s="256"/>
      <c r="C20" s="863"/>
      <c r="D20" s="872"/>
      <c r="I20" s="216">
        <f t="shared" si="0"/>
        <v>0</v>
      </c>
    </row>
    <row r="21" spans="1:10">
      <c r="A21" s="253" t="s">
        <v>495</v>
      </c>
      <c r="B21" s="252"/>
      <c r="C21" s="863">
        <f>ROUND(BS!E20-BS!D20,0)</f>
        <v>-1787250</v>
      </c>
      <c r="D21" s="863">
        <f>ROUND(BS!F20-BS!E20,0)</f>
        <v>-9464097</v>
      </c>
      <c r="F21" s="215">
        <v>-1787250</v>
      </c>
      <c r="G21" s="215">
        <v>-9464097</v>
      </c>
      <c r="I21" s="216">
        <f t="shared" si="0"/>
        <v>0</v>
      </c>
      <c r="J21" s="216"/>
    </row>
    <row r="22" spans="1:10">
      <c r="A22" s="253" t="s">
        <v>496</v>
      </c>
      <c r="B22" s="252"/>
      <c r="C22" s="863">
        <f>ROUND(BS!E22-BS!D22,0)</f>
        <v>2044649</v>
      </c>
      <c r="D22" s="863">
        <f>ROUND(BS!F22-BS!E22,0)</f>
        <v>254410</v>
      </c>
      <c r="F22" s="215">
        <v>1998204</v>
      </c>
      <c r="G22" s="215">
        <v>254410</v>
      </c>
      <c r="I22" s="216">
        <f t="shared" si="0"/>
        <v>0</v>
      </c>
      <c r="J22" s="216"/>
    </row>
    <row r="23" spans="1:10">
      <c r="A23" s="253" t="s">
        <v>516</v>
      </c>
      <c r="B23" s="252"/>
      <c r="C23" s="863">
        <f>ROUND(BS!E17-BS!D17+BS!E16-BS!D16+BS!E15-BS!D15,0)</f>
        <v>-213065</v>
      </c>
      <c r="D23" s="863">
        <f>ROUND(BS!F17-BS!E17+BS!F16-BS!E16+BS!F15-BS!E15,0)</f>
        <v>70127</v>
      </c>
      <c r="F23" s="215">
        <v>-213062</v>
      </c>
      <c r="G23" s="215">
        <v>70127</v>
      </c>
      <c r="I23" s="216">
        <f t="shared" si="0"/>
        <v>0</v>
      </c>
      <c r="J23" s="216"/>
    </row>
    <row r="24" spans="1:10">
      <c r="A24" s="253" t="s">
        <v>517</v>
      </c>
      <c r="B24" s="252"/>
      <c r="C24" s="863">
        <f>ROUND(+BS!E25-BS!D25+BS!E24-BS!D24+BS!E11-BS!D11-Notes!C463,0)-8</f>
        <v>-6228256</v>
      </c>
      <c r="D24" s="863">
        <f>ROUND(+BS!F25-BS!E25+BS!F24-BS!E24+BS!F11-BS!E11-Notes!D463,0)</f>
        <v>-10656361</v>
      </c>
      <c r="F24" s="215">
        <v>-6228258</v>
      </c>
      <c r="G24" s="215">
        <v>-10656361</v>
      </c>
      <c r="I24" s="216">
        <f t="shared" si="0"/>
        <v>0</v>
      </c>
      <c r="J24" s="216"/>
    </row>
    <row r="25" spans="1:10">
      <c r="A25" s="253" t="s">
        <v>497</v>
      </c>
      <c r="B25" s="252"/>
      <c r="C25" s="873">
        <f>(ROUND(BS!D41-BS!E41+BS!D48+BS!D49-BS!E48-BS!E49+BS!D47-BS!E47+BS!D50-BS!E50+BS!D51-BS!E51+BS!D45-BS!E45+BS!D39-BS!E39-C12-'Cash flow'!C13-'Cash flow'!C14-C17+PL!D31,0))+PL!D31*0</f>
        <v>13565608</v>
      </c>
      <c r="D25" s="873">
        <f>ROUND(BS!E41-BS!F41+BS!E48+BS!E49-BS!F48-BS!F49+BS!E47-BS!F47+BS!E50-BS!F50+BS!E51-BS!F51+BS!E45-BS!F45+BS!E39-BS!F39-D12-'Cash flow'!D13-'Cash flow'!D14-D17+PL!E31,0)-30</f>
        <v>18842736</v>
      </c>
      <c r="F25" s="215">
        <v>13998740</v>
      </c>
      <c r="G25" s="215">
        <v>18842641</v>
      </c>
      <c r="I25" s="216">
        <f t="shared" si="0"/>
        <v>95</v>
      </c>
      <c r="J25" s="216"/>
    </row>
    <row r="26" spans="1:10">
      <c r="A26" s="249" t="s">
        <v>498</v>
      </c>
      <c r="B26" s="250"/>
      <c r="C26" s="865">
        <f>SUM(C18:C25)-10</f>
        <v>-57457649</v>
      </c>
      <c r="D26" s="874">
        <f>SUM(D18:D25)</f>
        <v>-57149166</v>
      </c>
      <c r="G26" s="215">
        <v>-57146687</v>
      </c>
      <c r="I26" s="216">
        <f t="shared" si="0"/>
        <v>-2479</v>
      </c>
    </row>
    <row r="27" spans="1:10">
      <c r="A27" s="253" t="s">
        <v>499</v>
      </c>
      <c r="B27" s="252"/>
      <c r="C27" s="863">
        <v>0</v>
      </c>
      <c r="D27" s="869">
        <v>0</v>
      </c>
      <c r="G27" s="215">
        <v>0</v>
      </c>
      <c r="I27" s="216">
        <f t="shared" si="0"/>
        <v>0</v>
      </c>
    </row>
    <row r="28" spans="1:10">
      <c r="A28" s="249" t="s">
        <v>500</v>
      </c>
      <c r="B28" s="250"/>
      <c r="C28" s="864">
        <f>SUM(C26:C27)</f>
        <v>-57457649</v>
      </c>
      <c r="D28" s="875">
        <f>ROUND(SUM(D26:D27),0)</f>
        <v>-57149166</v>
      </c>
      <c r="G28" s="215">
        <v>-57146687</v>
      </c>
      <c r="I28" s="216">
        <f t="shared" si="0"/>
        <v>-2479</v>
      </c>
    </row>
    <row r="29" spans="1:10">
      <c r="A29" s="258" t="s">
        <v>501</v>
      </c>
      <c r="B29" s="259"/>
      <c r="C29" s="863"/>
      <c r="D29" s="872"/>
      <c r="I29" s="216">
        <f t="shared" si="0"/>
        <v>0</v>
      </c>
    </row>
    <row r="30" spans="1:10">
      <c r="A30" s="253" t="s">
        <v>502</v>
      </c>
      <c r="B30" s="260"/>
      <c r="C30" s="863">
        <f>ROUND(-FA!D58-FA!D23,0)</f>
        <v>-1093843</v>
      </c>
      <c r="D30" s="863">
        <f>ROUND(-FA!D42-FA!D69,0)</f>
        <v>-13151127</v>
      </c>
      <c r="G30" s="216">
        <v>-13151127</v>
      </c>
      <c r="I30" s="216">
        <f t="shared" si="0"/>
        <v>0</v>
      </c>
    </row>
    <row r="31" spans="1:10">
      <c r="A31" s="253" t="s">
        <v>1667</v>
      </c>
      <c r="B31" s="260"/>
      <c r="C31" s="863">
        <f>-BS!E14-BS!D14</f>
        <v>-40000</v>
      </c>
      <c r="D31" s="869">
        <v>0</v>
      </c>
      <c r="G31" s="216"/>
      <c r="I31" s="216"/>
    </row>
    <row r="32" spans="1:10">
      <c r="A32" s="253" t="s">
        <v>1666</v>
      </c>
      <c r="B32" s="252"/>
      <c r="C32" s="863">
        <f>ROUND(FA!F23-FA!K23-C16,0)</f>
        <v>42768</v>
      </c>
      <c r="D32" s="872">
        <f>FA!F42+FA!F74-FA!K42-FA!K74-D16</f>
        <v>5000</v>
      </c>
      <c r="G32" s="216">
        <v>2565</v>
      </c>
      <c r="I32" s="216">
        <f t="shared" si="0"/>
        <v>2435</v>
      </c>
    </row>
    <row r="33" spans="1:9">
      <c r="A33" s="253" t="s">
        <v>503</v>
      </c>
      <c r="B33" s="252"/>
      <c r="C33" s="863">
        <f>ROUND(-C11,0)</f>
        <v>21217</v>
      </c>
      <c r="D33" s="863">
        <f>ROUND(-D11,0)</f>
        <v>37675</v>
      </c>
      <c r="G33" s="215">
        <v>37675</v>
      </c>
      <c r="I33" s="216">
        <f t="shared" si="0"/>
        <v>0</v>
      </c>
    </row>
    <row r="34" spans="1:9">
      <c r="A34" s="258" t="s">
        <v>504</v>
      </c>
      <c r="B34" s="259"/>
      <c r="C34" s="864">
        <f>SUM(C30:C33)+4</f>
        <v>-1069854</v>
      </c>
      <c r="D34" s="875">
        <f>ROUND(SUM(D30:D33),0)</f>
        <v>-13108452</v>
      </c>
      <c r="G34" s="216">
        <v>-13110887</v>
      </c>
      <c r="I34" s="216">
        <f t="shared" si="0"/>
        <v>2435</v>
      </c>
    </row>
    <row r="35" spans="1:9">
      <c r="A35" s="258" t="s">
        <v>505</v>
      </c>
      <c r="B35" s="259"/>
      <c r="C35" s="863"/>
      <c r="D35" s="872"/>
      <c r="I35" s="216">
        <f t="shared" si="0"/>
        <v>0</v>
      </c>
    </row>
    <row r="36" spans="1:9">
      <c r="A36" s="253" t="s">
        <v>521</v>
      </c>
      <c r="B36" s="252"/>
      <c r="C36" s="863">
        <f>ROUND(BS!D40-BS!E40,0)*0</f>
        <v>0</v>
      </c>
      <c r="D36" s="869">
        <v>0</v>
      </c>
      <c r="G36" s="215">
        <v>0</v>
      </c>
      <c r="I36" s="216">
        <f t="shared" si="0"/>
        <v>0</v>
      </c>
    </row>
    <row r="37" spans="1:9">
      <c r="A37" s="253" t="s">
        <v>1188</v>
      </c>
      <c r="B37" s="252"/>
      <c r="C37" s="863">
        <v>0</v>
      </c>
      <c r="D37" s="863">
        <v>2678186</v>
      </c>
      <c r="G37" s="215">
        <v>2678186</v>
      </c>
      <c r="I37" s="216">
        <f t="shared" si="0"/>
        <v>0</v>
      </c>
    </row>
    <row r="38" spans="1:9">
      <c r="A38" s="253" t="s">
        <v>1082</v>
      </c>
      <c r="B38" s="252"/>
      <c r="C38" s="863">
        <f>ROUND(SOCE!C11+SOCE!C10+SOCE!C23,0)</f>
        <v>4999975</v>
      </c>
      <c r="D38" s="869">
        <v>131422306</v>
      </c>
      <c r="G38" s="215">
        <v>131422306</v>
      </c>
      <c r="I38" s="216">
        <f t="shared" si="0"/>
        <v>0</v>
      </c>
    </row>
    <row r="39" spans="1:9">
      <c r="A39" s="253" t="s">
        <v>789</v>
      </c>
      <c r="B39" s="252"/>
      <c r="C39" s="863">
        <f>ROUND(BS!D46-BS!E46,0)</f>
        <v>12468603</v>
      </c>
      <c r="D39" s="863">
        <f>ROUND(BS!E46-BS!F46,0)</f>
        <v>-22953413</v>
      </c>
      <c r="G39" s="215">
        <v>-22953413</v>
      </c>
      <c r="I39" s="216">
        <f t="shared" si="0"/>
        <v>0</v>
      </c>
    </row>
    <row r="40" spans="1:9">
      <c r="A40" s="258" t="s">
        <v>506</v>
      </c>
      <c r="B40" s="259"/>
      <c r="C40" s="864">
        <f>SUM(C36:C39)</f>
        <v>17468578</v>
      </c>
      <c r="D40" s="1165">
        <f>SUM(D36:D39)+6</f>
        <v>111147085</v>
      </c>
      <c r="G40" s="215">
        <v>111147079</v>
      </c>
      <c r="I40" s="216">
        <f t="shared" si="0"/>
        <v>6</v>
      </c>
    </row>
    <row r="41" spans="1:9">
      <c r="A41" s="258"/>
      <c r="B41" s="259"/>
      <c r="C41" s="865"/>
      <c r="D41" s="874"/>
      <c r="I41" s="216">
        <f t="shared" si="0"/>
        <v>0</v>
      </c>
    </row>
    <row r="42" spans="1:9">
      <c r="A42" s="249" t="s">
        <v>507</v>
      </c>
      <c r="B42" s="250"/>
      <c r="C42" s="865">
        <f>ROUND(C40+C34+C28,0)+4</f>
        <v>-41058921</v>
      </c>
      <c r="D42" s="874">
        <f>D40+D34+D28</f>
        <v>40889467</v>
      </c>
      <c r="G42" s="215">
        <v>40889505</v>
      </c>
      <c r="H42" s="215">
        <f>+(7550000-5999994)</f>
        <v>1550006</v>
      </c>
      <c r="I42" s="216">
        <f t="shared" si="0"/>
        <v>-38</v>
      </c>
    </row>
    <row r="43" spans="1:9">
      <c r="A43" s="261" t="s">
        <v>508</v>
      </c>
      <c r="B43" s="260"/>
      <c r="C43" s="873">
        <f>ROUND(D44,0)</f>
        <v>41102086</v>
      </c>
      <c r="D43" s="876">
        <v>212619</v>
      </c>
      <c r="G43" s="215">
        <v>212619</v>
      </c>
      <c r="I43" s="216">
        <f t="shared" si="0"/>
        <v>0</v>
      </c>
    </row>
    <row r="44" spans="1:9" ht="16" thickBot="1">
      <c r="A44" s="258" t="s">
        <v>509</v>
      </c>
      <c r="B44" s="259"/>
      <c r="C44" s="877">
        <f>+C42+C43</f>
        <v>43165</v>
      </c>
      <c r="D44" s="878">
        <f>+D42+D43</f>
        <v>41102086</v>
      </c>
      <c r="G44" s="215">
        <v>41102124</v>
      </c>
      <c r="H44" s="216">
        <f>H42+H43+C40</f>
        <v>19018584</v>
      </c>
      <c r="I44" s="216">
        <f t="shared" si="0"/>
        <v>-38</v>
      </c>
    </row>
    <row r="45" spans="1:9" ht="16" thickTop="1">
      <c r="A45" s="261"/>
      <c r="B45" s="260"/>
      <c r="C45" s="863"/>
      <c r="D45" s="871"/>
      <c r="H45" s="215">
        <f>BS!G33+BS!G34</f>
        <v>-39110873</v>
      </c>
      <c r="I45" s="216">
        <f t="shared" si="0"/>
        <v>0</v>
      </c>
    </row>
    <row r="46" spans="1:9">
      <c r="A46" s="258" t="s">
        <v>512</v>
      </c>
      <c r="B46" s="259"/>
      <c r="C46" s="865"/>
      <c r="D46" s="871"/>
      <c r="H46" s="216">
        <f>H44-H45</f>
        <v>58129457</v>
      </c>
      <c r="I46" s="216">
        <f t="shared" si="0"/>
        <v>0</v>
      </c>
    </row>
    <row r="47" spans="1:9">
      <c r="A47" s="261" t="s">
        <v>64</v>
      </c>
      <c r="B47" s="260"/>
      <c r="C47" s="1005">
        <f>ROUND(Notes!C138,0)</f>
        <v>11768</v>
      </c>
      <c r="D47" s="1006">
        <f>ROUND(Notes!D138,0)</f>
        <v>10191</v>
      </c>
      <c r="G47" s="215">
        <v>10191</v>
      </c>
      <c r="H47" s="216">
        <f>H46+G34</f>
        <v>45018570</v>
      </c>
      <c r="I47" s="216">
        <f t="shared" si="0"/>
        <v>0</v>
      </c>
    </row>
    <row r="48" spans="1:9">
      <c r="A48" s="261" t="s">
        <v>510</v>
      </c>
      <c r="B48" s="260"/>
      <c r="C48" s="1005">
        <f>ROUND(Notes!C137,0)</f>
        <v>31401</v>
      </c>
      <c r="D48" s="1006">
        <f>ROUND(Notes!D137,0)</f>
        <v>41091901</v>
      </c>
      <c r="G48" s="215">
        <v>41091901</v>
      </c>
      <c r="I48" s="216">
        <f t="shared" si="0"/>
        <v>0</v>
      </c>
    </row>
    <row r="49" spans="1:9" ht="16" thickBot="1">
      <c r="A49" s="262" t="s">
        <v>51</v>
      </c>
      <c r="B49" s="263"/>
      <c r="C49" s="868">
        <f>SUM(C47:C48)</f>
        <v>43169</v>
      </c>
      <c r="D49" s="879">
        <f>SUM(D47:D48)</f>
        <v>41102092</v>
      </c>
      <c r="F49" s="216">
        <f>C49-C44</f>
        <v>4</v>
      </c>
      <c r="G49" s="216">
        <f>D49-D44</f>
        <v>6</v>
      </c>
      <c r="I49" s="216">
        <f t="shared" si="0"/>
        <v>41102086</v>
      </c>
    </row>
    <row r="50" spans="1:9" ht="16" thickTop="1">
      <c r="A50" s="264"/>
      <c r="B50" s="264"/>
      <c r="D50" s="881"/>
      <c r="F50" s="880">
        <f>C44-C49</f>
        <v>-4</v>
      </c>
      <c r="I50" s="216">
        <f t="shared" si="0"/>
        <v>0</v>
      </c>
    </row>
    <row r="51" spans="1:9">
      <c r="A51" s="264" t="s">
        <v>511</v>
      </c>
      <c r="B51" s="264"/>
      <c r="C51" s="880"/>
      <c r="D51" s="881"/>
      <c r="F51" s="763"/>
      <c r="I51" s="216">
        <f t="shared" si="0"/>
        <v>0</v>
      </c>
    </row>
    <row r="52" spans="1:9">
      <c r="A52" s="7"/>
      <c r="B52" s="7"/>
      <c r="C52" s="882"/>
      <c r="D52" s="883"/>
      <c r="F52" s="763">
        <f>F49-F51</f>
        <v>4</v>
      </c>
      <c r="I52" s="216">
        <f t="shared" si="0"/>
        <v>0</v>
      </c>
    </row>
    <row r="53" spans="1:9">
      <c r="A53" s="267" t="str">
        <f>PL!B47</f>
        <v>For Sunil Modi &amp; Co</v>
      </c>
      <c r="B53" s="267" t="str">
        <f>PL!C47</f>
        <v>For and on behalf of the Board of Directors</v>
      </c>
      <c r="C53" s="265"/>
      <c r="D53" s="266"/>
      <c r="I53" s="216">
        <f t="shared" si="0"/>
        <v>0</v>
      </c>
    </row>
    <row r="54" spans="1:9">
      <c r="A54" s="7" t="str">
        <f>PL!B48</f>
        <v>Chartered Accountants</v>
      </c>
      <c r="B54" s="7"/>
      <c r="C54" s="50"/>
      <c r="D54" s="266"/>
      <c r="I54" s="216">
        <f t="shared" si="0"/>
        <v>0</v>
      </c>
    </row>
    <row r="55" spans="1:9">
      <c r="A55" s="7" t="str">
        <f>PL!B49</f>
        <v>Firm Registration No. 142806W</v>
      </c>
      <c r="B55" s="7"/>
      <c r="C55" s="50"/>
      <c r="D55" s="266"/>
      <c r="F55" s="216"/>
      <c r="I55" s="216">
        <f t="shared" si="0"/>
        <v>0</v>
      </c>
    </row>
    <row r="56" spans="1:9">
      <c r="A56" s="7"/>
      <c r="B56" s="7"/>
      <c r="C56" s="50"/>
      <c r="D56" s="266"/>
      <c r="I56" s="216">
        <f t="shared" si="0"/>
        <v>0</v>
      </c>
    </row>
    <row r="57" spans="1:9">
      <c r="A57" s="7"/>
      <c r="B57" s="7"/>
      <c r="C57" s="50"/>
      <c r="D57" s="266"/>
      <c r="I57" s="216">
        <f t="shared" si="0"/>
        <v>0</v>
      </c>
    </row>
    <row r="58" spans="1:9">
      <c r="A58" s="267" t="str">
        <f>PL!B53</f>
        <v>Sunil Modi</v>
      </c>
      <c r="B58" s="267" t="str">
        <f>+BS!C63</f>
        <v>Deep A. Lalvani</v>
      </c>
      <c r="C58" s="50"/>
      <c r="D58" s="267" t="str">
        <f>+BS!E63</f>
        <v>Ninotchka Malkani Nagpal</v>
      </c>
      <c r="I58" s="216" t="e">
        <f t="shared" si="0"/>
        <v>#VALUE!</v>
      </c>
    </row>
    <row r="59" spans="1:9">
      <c r="A59" s="7" t="str">
        <f>PL!B54</f>
        <v>Partner</v>
      </c>
      <c r="B59" s="7" t="str">
        <f>+BS!C64</f>
        <v>Chairman</v>
      </c>
      <c r="C59" s="50"/>
      <c r="D59" s="7" t="str">
        <f>+BS!E64</f>
        <v>Director</v>
      </c>
      <c r="I59" s="216" t="e">
        <f t="shared" si="0"/>
        <v>#VALUE!</v>
      </c>
    </row>
    <row r="60" spans="1:9">
      <c r="A60" s="7" t="str">
        <f>PL!B55</f>
        <v>Membership No. 042562</v>
      </c>
      <c r="B60" s="7" t="str">
        <f>+BS!C65</f>
        <v>DIN: 01771000</v>
      </c>
      <c r="C60" s="50"/>
      <c r="D60" s="7" t="str">
        <f>+BS!E65</f>
        <v>DIN: 00031985</v>
      </c>
      <c r="I60" s="216" t="e">
        <f t="shared" si="0"/>
        <v>#VALUE!</v>
      </c>
    </row>
    <row r="61" spans="1:9">
      <c r="A61" s="7" t="str">
        <f>+BS!B66</f>
        <v xml:space="preserve">UDIN: </v>
      </c>
      <c r="B61" s="295" t="str">
        <f>+BS!C66</f>
        <v>Place : Mumbai</v>
      </c>
      <c r="C61" s="50"/>
      <c r="D61" s="243"/>
    </row>
    <row r="62" spans="1:9">
      <c r="A62" s="295" t="str">
        <f>+BS!B67</f>
        <v>Place : Mumbai</v>
      </c>
      <c r="B62" s="295" t="str">
        <f>+BS!C67</f>
        <v>Date : 22 May 2023</v>
      </c>
      <c r="C62" s="50"/>
      <c r="D62" s="266"/>
    </row>
    <row r="63" spans="1:9">
      <c r="A63" s="295" t="str">
        <f>+BS!B68</f>
        <v>Date : 22 May 2023</v>
      </c>
      <c r="C63" s="50"/>
      <c r="D63" s="268"/>
    </row>
    <row r="64" spans="1:9">
      <c r="C64" s="50"/>
      <c r="D64" s="268"/>
    </row>
  </sheetData>
  <mergeCells count="1">
    <mergeCell ref="A4:B5"/>
  </mergeCells>
  <conditionalFormatting sqref="D50:D51">
    <cfRule type="cellIs" dxfId="5" priority="1" stopIfTrue="1" operator="equal">
      <formula>0</formula>
    </cfRule>
  </conditionalFormatting>
  <pageMargins left="0.70866141732283472" right="0.70866141732283472" top="0.54" bottom="0.23" header="0.31496062992125984" footer="0.19"/>
  <pageSetup scale="8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8">
    <tabColor rgb="FFFFFF00"/>
  </sheetPr>
  <dimension ref="A1:S534"/>
  <sheetViews>
    <sheetView showGridLines="0" view="pageBreakPreview" zoomScaleNormal="100" zoomScaleSheetLayoutView="100" workbookViewId="0">
      <selection activeCell="E1" sqref="E1:N1048576"/>
    </sheetView>
  </sheetViews>
  <sheetFormatPr baseColWidth="10" defaultColWidth="9.1640625" defaultRowHeight="15"/>
  <cols>
    <col min="1" max="1" width="6.5" style="223" customWidth="1"/>
    <col min="2" max="2" width="70.6640625" style="269" customWidth="1"/>
    <col min="3" max="4" width="14.33203125" style="224" customWidth="1"/>
    <col min="5" max="5" width="15.6640625" style="224" hidden="1" customWidth="1"/>
    <col min="6" max="6" width="9.1640625" style="269" hidden="1" customWidth="1"/>
    <col min="7" max="7" width="15.83203125" style="269" hidden="1" customWidth="1"/>
    <col min="8" max="8" width="12.33203125" style="269" hidden="1" customWidth="1"/>
    <col min="9" max="9" width="10.5" style="269" hidden="1" customWidth="1"/>
    <col min="10" max="10" width="10" style="269" hidden="1" customWidth="1"/>
    <col min="11" max="12" width="9.1640625" style="269" hidden="1" customWidth="1"/>
    <col min="13" max="13" width="12" style="269" hidden="1" customWidth="1"/>
    <col min="14" max="14" width="12.1640625" style="269" hidden="1" customWidth="1"/>
    <col min="15" max="15" width="64.33203125" style="269" bestFit="1" customWidth="1"/>
    <col min="16" max="16" width="11.5" style="269" bestFit="1" customWidth="1"/>
    <col min="17" max="16384" width="9.1640625" style="269"/>
  </cols>
  <sheetData>
    <row r="1" spans="1:13">
      <c r="A1" s="223" t="str">
        <f>+BS!A1</f>
        <v>1908 E-Ventures Private Limited</v>
      </c>
    </row>
    <row r="2" spans="1:13">
      <c r="A2" s="223" t="s">
        <v>926</v>
      </c>
    </row>
    <row r="3" spans="1:13">
      <c r="A3" s="15" t="str">
        <f>BS!A3</f>
        <v>[Currency: Indian Rupees(Rs.'000)]</v>
      </c>
    </row>
    <row r="5" spans="1:13" ht="16" thickBot="1">
      <c r="A5" s="223">
        <v>4</v>
      </c>
      <c r="B5" s="782" t="s">
        <v>1389</v>
      </c>
      <c r="E5" s="783"/>
    </row>
    <row r="6" spans="1:13" ht="32">
      <c r="B6" s="784" t="s">
        <v>0</v>
      </c>
      <c r="C6" s="785" t="s">
        <v>1505</v>
      </c>
      <c r="D6" s="785" t="s">
        <v>1203</v>
      </c>
      <c r="E6" s="273"/>
      <c r="F6" s="786"/>
      <c r="H6" s="280"/>
      <c r="I6" s="280"/>
      <c r="J6" s="280"/>
    </row>
    <row r="7" spans="1:13">
      <c r="B7" s="787" t="s">
        <v>1390</v>
      </c>
      <c r="C7" s="56"/>
      <c r="D7" s="220"/>
      <c r="E7" s="56"/>
    </row>
    <row r="8" spans="1:13">
      <c r="B8" s="219" t="s">
        <v>848</v>
      </c>
      <c r="C8" s="884">
        <f>D11</f>
        <v>909392</v>
      </c>
      <c r="D8" s="885">
        <v>0</v>
      </c>
      <c r="E8" s="56"/>
      <c r="F8" s="269" t="s">
        <v>465</v>
      </c>
      <c r="M8" s="269">
        <f>1/1000</f>
        <v>1E-3</v>
      </c>
    </row>
    <row r="9" spans="1:13">
      <c r="B9" s="219" t="s">
        <v>56</v>
      </c>
      <c r="C9" s="856">
        <v>0</v>
      </c>
      <c r="D9" s="884">
        <f>ROUND(909392.036063111,)</f>
        <v>909392</v>
      </c>
      <c r="E9" s="56"/>
      <c r="F9" s="269" t="s">
        <v>466</v>
      </c>
    </row>
    <row r="10" spans="1:13">
      <c r="B10" s="219" t="s">
        <v>1391</v>
      </c>
      <c r="C10" s="856">
        <v>0</v>
      </c>
      <c r="D10" s="884">
        <v>0</v>
      </c>
      <c r="E10" s="56"/>
      <c r="F10" s="269" t="s">
        <v>466</v>
      </c>
    </row>
    <row r="11" spans="1:13">
      <c r="B11" s="219" t="s">
        <v>1392</v>
      </c>
      <c r="C11" s="886">
        <f>SUM(C8+C9-C10)</f>
        <v>909392</v>
      </c>
      <c r="D11" s="886">
        <f>SUM(D8+D9-D10)</f>
        <v>909392</v>
      </c>
      <c r="E11" s="56"/>
      <c r="F11" s="269" t="s">
        <v>466</v>
      </c>
    </row>
    <row r="12" spans="1:13">
      <c r="B12" s="219"/>
      <c r="C12" s="856"/>
      <c r="D12" s="885"/>
      <c r="E12" s="56"/>
    </row>
    <row r="13" spans="1:13">
      <c r="B13" s="232" t="s">
        <v>1393</v>
      </c>
      <c r="C13" s="856"/>
      <c r="D13" s="884"/>
      <c r="E13" s="59"/>
      <c r="F13" s="269" t="s">
        <v>483</v>
      </c>
      <c r="G13" s="280"/>
      <c r="H13" s="280">
        <f>+D14-D13</f>
        <v>0</v>
      </c>
      <c r="I13" s="280">
        <f>+E14-E13</f>
        <v>0</v>
      </c>
    </row>
    <row r="14" spans="1:13">
      <c r="B14" s="219" t="s">
        <v>848</v>
      </c>
      <c r="C14" s="856">
        <f>D17</f>
        <v>36542</v>
      </c>
      <c r="D14" s="884">
        <v>0</v>
      </c>
      <c r="E14" s="56"/>
      <c r="G14" s="280"/>
      <c r="H14" s="789"/>
      <c r="I14" s="790"/>
    </row>
    <row r="15" spans="1:13">
      <c r="B15" s="219" t="s">
        <v>1394</v>
      </c>
      <c r="C15" s="856">
        <f>ROUND('PL Grouping'!K247,)</f>
        <v>303131</v>
      </c>
      <c r="D15" s="884">
        <v>36542</v>
      </c>
      <c r="E15" s="56"/>
    </row>
    <row r="16" spans="1:13">
      <c r="B16" s="219" t="s">
        <v>1391</v>
      </c>
      <c r="C16" s="856">
        <v>0</v>
      </c>
      <c r="D16" s="884">
        <v>0</v>
      </c>
      <c r="E16" s="56"/>
      <c r="F16" s="269" t="s">
        <v>466</v>
      </c>
      <c r="H16" s="280">
        <f>+H13-D16</f>
        <v>0</v>
      </c>
      <c r="I16" s="280">
        <f>+I13-E16</f>
        <v>0</v>
      </c>
      <c r="J16" s="280">
        <f>+H16-I16</f>
        <v>0</v>
      </c>
    </row>
    <row r="17" spans="1:13">
      <c r="B17" s="219" t="s">
        <v>861</v>
      </c>
      <c r="C17" s="886">
        <f>SUM(C14+C15-C16)</f>
        <v>339673</v>
      </c>
      <c r="D17" s="886">
        <f>SUM(D14+D15-D16)</f>
        <v>36542</v>
      </c>
      <c r="E17" s="56"/>
      <c r="H17" s="280"/>
      <c r="I17" s="280"/>
      <c r="J17" s="280"/>
    </row>
    <row r="18" spans="1:13" ht="16" thickBot="1">
      <c r="B18" s="791" t="s">
        <v>1392</v>
      </c>
      <c r="C18" s="887">
        <f>+C11-C17</f>
        <v>569719</v>
      </c>
      <c r="D18" s="887">
        <f>+D11-D17</f>
        <v>872850</v>
      </c>
      <c r="E18" s="792"/>
    </row>
    <row r="19" spans="1:13" ht="16" thickTop="1">
      <c r="B19" s="223"/>
      <c r="C19" s="793"/>
      <c r="D19" s="793"/>
      <c r="E19" s="793"/>
    </row>
    <row r="20" spans="1:13" ht="16" thickBot="1">
      <c r="A20" s="223">
        <f>+A5+1</f>
        <v>5</v>
      </c>
      <c r="B20" s="223" t="s">
        <v>153</v>
      </c>
      <c r="E20" s="783"/>
    </row>
    <row r="21" spans="1:13" ht="32">
      <c r="B21" s="784" t="s">
        <v>0</v>
      </c>
      <c r="C21" s="785" t="str">
        <f>C6</f>
        <v xml:space="preserve"> As at  31st March, 2023</v>
      </c>
      <c r="D21" s="785" t="str">
        <f>D6</f>
        <v xml:space="preserve"> As at  31st March, 2022</v>
      </c>
      <c r="E21" s="273"/>
      <c r="F21" s="786"/>
      <c r="H21" s="280"/>
      <c r="I21" s="280"/>
      <c r="J21" s="280"/>
    </row>
    <row r="22" spans="1:13">
      <c r="B22" s="787" t="s">
        <v>91</v>
      </c>
      <c r="C22" s="56"/>
      <c r="D22" s="220"/>
      <c r="E22" s="56"/>
    </row>
    <row r="23" spans="1:13">
      <c r="B23" s="219" t="s">
        <v>518</v>
      </c>
      <c r="C23" s="884">
        <f>+D33</f>
        <v>8165446</v>
      </c>
      <c r="D23" s="885">
        <v>8165446</v>
      </c>
      <c r="E23" s="56"/>
      <c r="F23" s="269" t="s">
        <v>465</v>
      </c>
      <c r="M23" s="269">
        <f>1/1000</f>
        <v>1E-3</v>
      </c>
    </row>
    <row r="24" spans="1:13">
      <c r="B24" s="219" t="s">
        <v>92</v>
      </c>
      <c r="C24" s="856">
        <f>ROUND(PL!D26,)</f>
        <v>-749317</v>
      </c>
      <c r="D24" s="884">
        <v>0</v>
      </c>
      <c r="E24" s="56"/>
      <c r="F24" s="269" t="s">
        <v>466</v>
      </c>
    </row>
    <row r="25" spans="1:13">
      <c r="B25" s="219" t="s">
        <v>93</v>
      </c>
      <c r="C25" s="856">
        <v>0</v>
      </c>
      <c r="D25" s="884">
        <v>0</v>
      </c>
      <c r="E25" s="56"/>
      <c r="F25" s="269" t="s">
        <v>466</v>
      </c>
    </row>
    <row r="26" spans="1:13">
      <c r="B26" s="219" t="s">
        <v>988</v>
      </c>
      <c r="C26" s="856">
        <v>0</v>
      </c>
      <c r="D26" s="884">
        <v>0</v>
      </c>
      <c r="E26" s="56"/>
      <c r="F26" s="269" t="s">
        <v>466</v>
      </c>
    </row>
    <row r="27" spans="1:13">
      <c r="B27" s="219" t="s">
        <v>999</v>
      </c>
      <c r="C27" s="856">
        <f>+'Deferred tax 19-20'!G22*0</f>
        <v>0</v>
      </c>
      <c r="D27" s="885">
        <v>0</v>
      </c>
      <c r="E27" s="56"/>
    </row>
    <row r="28" spans="1:13">
      <c r="B28" s="219" t="s">
        <v>338</v>
      </c>
      <c r="C28" s="859">
        <f>+PL!D32</f>
        <v>0</v>
      </c>
      <c r="D28" s="859">
        <v>0</v>
      </c>
      <c r="E28" s="59"/>
      <c r="F28" s="269" t="s">
        <v>483</v>
      </c>
      <c r="G28" s="280"/>
      <c r="H28" s="280">
        <f>+D29-D28</f>
        <v>8165446</v>
      </c>
      <c r="I28" s="280">
        <f>+E29-E28</f>
        <v>0</v>
      </c>
    </row>
    <row r="29" spans="1:13">
      <c r="B29" s="219"/>
      <c r="C29" s="856">
        <f>SUM(C23:C28)</f>
        <v>7416129</v>
      </c>
      <c r="D29" s="856">
        <f>SUM(D23:D28)</f>
        <v>8165446</v>
      </c>
      <c r="E29" s="56"/>
      <c r="G29" s="280"/>
      <c r="H29" s="789"/>
      <c r="I29" s="790"/>
    </row>
    <row r="30" spans="1:13">
      <c r="B30" s="232" t="s">
        <v>94</v>
      </c>
      <c r="C30" s="856"/>
      <c r="D30" s="884"/>
      <c r="E30" s="56"/>
    </row>
    <row r="31" spans="1:13">
      <c r="B31" s="219" t="s">
        <v>338</v>
      </c>
      <c r="C31" s="856">
        <v>0</v>
      </c>
      <c r="D31" s="884">
        <v>0</v>
      </c>
      <c r="E31" s="56"/>
      <c r="F31" s="269" t="s">
        <v>466</v>
      </c>
      <c r="H31" s="280">
        <f>+H28-D31</f>
        <v>8165446</v>
      </c>
      <c r="I31" s="280">
        <f>+I28-E31</f>
        <v>0</v>
      </c>
      <c r="J31" s="280">
        <f>+H31-I31</f>
        <v>8165446</v>
      </c>
    </row>
    <row r="32" spans="1:13">
      <c r="B32" s="219"/>
      <c r="C32" s="856"/>
      <c r="D32" s="884"/>
      <c r="E32" s="56"/>
    </row>
    <row r="33" spans="1:14" ht="16" thickBot="1">
      <c r="B33" s="791" t="s">
        <v>51</v>
      </c>
      <c r="C33" s="887">
        <f>C29-SUM(C31:C31)</f>
        <v>7416129</v>
      </c>
      <c r="D33" s="887">
        <f>D29-SUM(D31:D31)</f>
        <v>8165446</v>
      </c>
      <c r="E33" s="792"/>
    </row>
    <row r="34" spans="1:14" ht="16" thickTop="1"/>
    <row r="35" spans="1:14" ht="96.75" customHeight="1" thickBot="1">
      <c r="B35" s="1013" t="s">
        <v>1121</v>
      </c>
      <c r="C35" s="1013"/>
      <c r="D35" s="1013"/>
      <c r="E35" s="794"/>
    </row>
    <row r="36" spans="1:14" ht="32">
      <c r="B36" s="784" t="s">
        <v>0</v>
      </c>
      <c r="C36" s="785" t="str">
        <f>+C21</f>
        <v xml:space="preserve"> As at  31st March, 2023</v>
      </c>
      <c r="D36" s="785" t="str">
        <f>+D21</f>
        <v xml:space="preserve"> As at  31st March, 2022</v>
      </c>
      <c r="E36" s="273"/>
      <c r="F36" s="786"/>
      <c r="H36" s="280"/>
      <c r="I36" s="280"/>
      <c r="J36" s="280"/>
      <c r="M36" s="269" t="s">
        <v>1184</v>
      </c>
    </row>
    <row r="37" spans="1:14">
      <c r="B37" s="787" t="s">
        <v>91</v>
      </c>
      <c r="C37" s="56"/>
      <c r="D37" s="220"/>
      <c r="E37" s="56"/>
    </row>
    <row r="38" spans="1:14">
      <c r="B38" s="219" t="s">
        <v>1115</v>
      </c>
      <c r="C38" s="884">
        <f>ROUND(D38-'Deferred tax 21-22'!F14,)</f>
        <v>61414</v>
      </c>
      <c r="D38" s="884">
        <f>'Deferred tax 21-22'!E14</f>
        <v>282270</v>
      </c>
      <c r="E38" s="56"/>
      <c r="F38" s="269" t="s">
        <v>465</v>
      </c>
      <c r="M38" s="269">
        <v>-1038850</v>
      </c>
    </row>
    <row r="39" spans="1:14">
      <c r="B39" s="219" t="s">
        <v>1114</v>
      </c>
      <c r="C39" s="856">
        <f>ROUND('Deferred tax 22-23'!E52,)</f>
        <v>56378222</v>
      </c>
      <c r="D39" s="884">
        <f>'Deferred tax 21-22'!E50</f>
        <v>39313744</v>
      </c>
      <c r="E39" s="56"/>
      <c r="F39" s="269" t="s">
        <v>466</v>
      </c>
      <c r="M39" s="269">
        <v>17539614</v>
      </c>
      <c r="N39" s="219"/>
    </row>
    <row r="40" spans="1:14">
      <c r="B40" s="219" t="s">
        <v>1116</v>
      </c>
      <c r="C40" s="856">
        <f>ROUND('Deferred tax 22-23'!E27,0)</f>
        <v>547857</v>
      </c>
      <c r="D40" s="884">
        <f>'Deferred tax 21-22'!E27</f>
        <v>409978</v>
      </c>
      <c r="E40" s="56"/>
      <c r="F40" s="269" t="s">
        <v>466</v>
      </c>
      <c r="M40" s="269">
        <v>250872</v>
      </c>
    </row>
    <row r="41" spans="1:14">
      <c r="B41" s="2" t="s">
        <v>1120</v>
      </c>
      <c r="C41" s="856">
        <f>-ROUND(PL!D31*'Deferred tax 19-20'!$J$15%,0)*0</f>
        <v>0</v>
      </c>
      <c r="D41" s="856">
        <f>-ROUND(PL!E31*'Deferred tax 19-20'!$J$15%,0)*0</f>
        <v>0</v>
      </c>
      <c r="E41" s="56"/>
      <c r="M41" s="269">
        <v>-8388</v>
      </c>
      <c r="N41" s="795"/>
    </row>
    <row r="42" spans="1:14">
      <c r="B42" s="219"/>
      <c r="C42" s="856"/>
      <c r="D42" s="884"/>
      <c r="E42" s="56"/>
    </row>
    <row r="43" spans="1:14" ht="16" thickBot="1">
      <c r="B43" s="791" t="s">
        <v>51</v>
      </c>
      <c r="C43" s="887">
        <f>SUM(C38:C42)</f>
        <v>56987493</v>
      </c>
      <c r="D43" s="887">
        <f>SUM(D38:D42)</f>
        <v>40005992</v>
      </c>
      <c r="E43" s="792"/>
    </row>
    <row r="44" spans="1:14" ht="16" thickTop="1">
      <c r="B44" s="224" t="s">
        <v>1117</v>
      </c>
      <c r="C44" s="793"/>
      <c r="D44" s="793"/>
      <c r="E44" s="793"/>
    </row>
    <row r="45" spans="1:14">
      <c r="B45" s="224" t="s">
        <v>1492</v>
      </c>
      <c r="C45" s="793"/>
      <c r="D45" s="793"/>
      <c r="E45" s="793"/>
    </row>
    <row r="47" spans="1:14" ht="16" thickBot="1">
      <c r="A47" s="223">
        <f>A20+1</f>
        <v>6</v>
      </c>
      <c r="B47" s="223" t="s">
        <v>1527</v>
      </c>
      <c r="E47" s="783"/>
    </row>
    <row r="48" spans="1:14" ht="32">
      <c r="B48" s="784" t="s">
        <v>0</v>
      </c>
      <c r="C48" s="785" t="str">
        <f>C36</f>
        <v xml:space="preserve"> As at  31st March, 2023</v>
      </c>
      <c r="D48" s="785" t="str">
        <f>D36</f>
        <v xml:space="preserve"> As at  31st March, 2022</v>
      </c>
      <c r="E48" s="273"/>
    </row>
    <row r="49" spans="1:8">
      <c r="B49" s="787" t="s">
        <v>1673</v>
      </c>
      <c r="C49" s="56"/>
      <c r="D49" s="220"/>
      <c r="E49" s="56"/>
    </row>
    <row r="50" spans="1:8">
      <c r="B50" s="60" t="s">
        <v>1685</v>
      </c>
      <c r="C50" s="220"/>
      <c r="D50" s="220"/>
      <c r="E50" s="56"/>
    </row>
    <row r="51" spans="1:8">
      <c r="B51" s="60" t="s">
        <v>1674</v>
      </c>
      <c r="C51" s="220"/>
      <c r="D51" s="220"/>
      <c r="E51" s="56"/>
    </row>
    <row r="52" spans="1:8">
      <c r="B52" s="219" t="s">
        <v>1660</v>
      </c>
      <c r="C52" s="884">
        <f>ROUND('BS Grouping'!K124,)</f>
        <v>40000</v>
      </c>
      <c r="D52" s="884">
        <v>0</v>
      </c>
      <c r="E52" s="56"/>
      <c r="F52" s="269" t="s">
        <v>349</v>
      </c>
      <c r="H52" s="269" t="str">
        <f>PROPER(B52)</f>
        <v>Boofootel Private Limited</v>
      </c>
    </row>
    <row r="53" spans="1:8">
      <c r="B53" s="219" t="s">
        <v>1675</v>
      </c>
      <c r="C53" s="884"/>
      <c r="D53" s="884"/>
      <c r="E53" s="56"/>
    </row>
    <row r="54" spans="1:8">
      <c r="B54" s="219"/>
      <c r="C54" s="884"/>
      <c r="D54" s="884"/>
      <c r="E54" s="56"/>
    </row>
    <row r="55" spans="1:8" ht="16" thickBot="1">
      <c r="B55" s="791" t="s">
        <v>51</v>
      </c>
      <c r="C55" s="887">
        <f>SUM(C50:C54)</f>
        <v>40000</v>
      </c>
      <c r="D55" s="887">
        <f>SUM(D50:D54)</f>
        <v>0</v>
      </c>
      <c r="E55" s="796"/>
    </row>
    <row r="56" spans="1:8" ht="16" hidden="1" thickTop="1">
      <c r="B56" s="797"/>
      <c r="C56" s="218"/>
      <c r="D56" s="218"/>
      <c r="E56" s="218"/>
    </row>
    <row r="57" spans="1:8" ht="16" thickTop="1">
      <c r="B57" s="223"/>
      <c r="C57" s="793"/>
      <c r="D57" s="793"/>
      <c r="E57" s="793"/>
    </row>
    <row r="58" spans="1:8" ht="16" thickBot="1">
      <c r="A58" s="223">
        <f>A47+1</f>
        <v>7</v>
      </c>
      <c r="B58" s="223" t="s">
        <v>554</v>
      </c>
      <c r="E58" s="783"/>
    </row>
    <row r="59" spans="1:8" ht="32">
      <c r="B59" s="784" t="s">
        <v>0</v>
      </c>
      <c r="C59" s="785" t="str">
        <f>+C21</f>
        <v xml:space="preserve"> As at  31st March, 2023</v>
      </c>
      <c r="D59" s="785" t="str">
        <f>+D21</f>
        <v xml:space="preserve"> As at  31st March, 2022</v>
      </c>
      <c r="E59" s="273"/>
    </row>
    <row r="60" spans="1:8">
      <c r="B60" s="787"/>
      <c r="C60" s="56"/>
      <c r="D60" s="220"/>
      <c r="E60" s="56"/>
    </row>
    <row r="61" spans="1:8">
      <c r="B61" s="60" t="s">
        <v>376</v>
      </c>
      <c r="C61" s="884">
        <f>ROUND('BS Grouping'!K128,0)</f>
        <v>100000</v>
      </c>
      <c r="D61" s="884">
        <f>ROUND('BS Grouping'!T128,0)</f>
        <v>100000</v>
      </c>
      <c r="E61" s="56"/>
    </row>
    <row r="62" spans="1:8">
      <c r="B62" s="60" t="s">
        <v>555</v>
      </c>
      <c r="C62" s="884">
        <f>ROUND('BS Grouping'!K133,0)</f>
        <v>29044</v>
      </c>
      <c r="D62" s="884">
        <f>ROUND('BS Grouping'!T133,0)</f>
        <v>25000</v>
      </c>
      <c r="E62" s="56"/>
    </row>
    <row r="63" spans="1:8">
      <c r="B63" s="219" t="s">
        <v>484</v>
      </c>
      <c r="C63" s="884">
        <f>ROUND('BS Grouping'!K137,0)+3</f>
        <v>275926</v>
      </c>
      <c r="D63" s="884">
        <f>ROUND('BS Grouping'!T137,0)</f>
        <v>132339</v>
      </c>
      <c r="E63" s="56"/>
      <c r="F63" s="269" t="s">
        <v>349</v>
      </c>
    </row>
    <row r="64" spans="1:8">
      <c r="B64" s="219"/>
      <c r="C64" s="884"/>
      <c r="D64" s="884"/>
      <c r="E64" s="56"/>
    </row>
    <row r="65" spans="1:14" ht="16" thickBot="1">
      <c r="B65" s="232" t="s">
        <v>51</v>
      </c>
      <c r="C65" s="887">
        <f>SUM(C61:C64)</f>
        <v>404970</v>
      </c>
      <c r="D65" s="887">
        <f>SUM(D61:D64)</f>
        <v>257339</v>
      </c>
      <c r="E65" s="796"/>
    </row>
    <row r="66" spans="1:14" ht="33" thickTop="1">
      <c r="B66" s="797" t="s">
        <v>485</v>
      </c>
      <c r="C66" s="888">
        <f>'SDS JBA'!E6</f>
        <v>174000</v>
      </c>
      <c r="D66" s="888">
        <f>C66</f>
        <v>174000</v>
      </c>
      <c r="E66" s="218"/>
    </row>
    <row r="67" spans="1:14">
      <c r="B67" s="223"/>
      <c r="C67" s="793"/>
      <c r="D67" s="793"/>
      <c r="E67" s="793"/>
    </row>
    <row r="68" spans="1:14" ht="16" thickBot="1">
      <c r="A68" s="223">
        <f>+A58+1</f>
        <v>8</v>
      </c>
      <c r="B68" s="223" t="s">
        <v>362</v>
      </c>
      <c r="E68" s="783"/>
    </row>
    <row r="69" spans="1:14" ht="32">
      <c r="B69" s="784" t="s">
        <v>0</v>
      </c>
      <c r="C69" s="785" t="str">
        <f>+C59</f>
        <v xml:space="preserve"> As at  31st March, 2023</v>
      </c>
      <c r="D69" s="785" t="str">
        <f>+D59</f>
        <v xml:space="preserve"> As at  31st March, 2022</v>
      </c>
      <c r="E69" s="273"/>
    </row>
    <row r="70" spans="1:14">
      <c r="B70" s="787"/>
      <c r="C70" s="56"/>
      <c r="D70" s="220"/>
      <c r="E70" s="56"/>
    </row>
    <row r="71" spans="1:14">
      <c r="B71" s="219" t="s">
        <v>232</v>
      </c>
      <c r="C71" s="884">
        <f>ROUND('BS Grouping'!K141,0)</f>
        <v>127252</v>
      </c>
      <c r="D71" s="884">
        <f>ROUND('BS Grouping'!T141,0)</f>
        <v>47081</v>
      </c>
      <c r="E71" s="56"/>
      <c r="F71" s="269" t="s">
        <v>460</v>
      </c>
    </row>
    <row r="72" spans="1:14">
      <c r="B72" s="219"/>
      <c r="C72" s="856"/>
      <c r="D72" s="884"/>
      <c r="E72" s="56"/>
    </row>
    <row r="73" spans="1:14" ht="16" thickBot="1">
      <c r="B73" s="791" t="s">
        <v>51</v>
      </c>
      <c r="C73" s="887">
        <f>SUM(C71:C72)</f>
        <v>127252</v>
      </c>
      <c r="D73" s="887">
        <f>SUM(D71:D72)</f>
        <v>47081</v>
      </c>
      <c r="E73" s="792"/>
    </row>
    <row r="74" spans="1:14" ht="16" thickTop="1">
      <c r="B74" s="223"/>
      <c r="C74" s="793"/>
      <c r="D74" s="793"/>
      <c r="E74" s="793"/>
    </row>
    <row r="75" spans="1:14" ht="16" thickBot="1">
      <c r="A75" s="223">
        <f>+A68+1</f>
        <v>9</v>
      </c>
      <c r="B75" s="223" t="s">
        <v>363</v>
      </c>
      <c r="E75" s="783"/>
    </row>
    <row r="76" spans="1:14" ht="32">
      <c r="B76" s="784" t="s">
        <v>0</v>
      </c>
      <c r="C76" s="785" t="str">
        <f>+C69</f>
        <v xml:space="preserve"> As at  31st March, 2023</v>
      </c>
      <c r="D76" s="785" t="str">
        <f>+D69</f>
        <v xml:space="preserve"> As at  31st March, 2022</v>
      </c>
      <c r="E76" s="273"/>
    </row>
    <row r="77" spans="1:14">
      <c r="B77" s="787" t="s">
        <v>486</v>
      </c>
      <c r="C77" s="56"/>
      <c r="D77" s="220"/>
      <c r="E77" s="56"/>
    </row>
    <row r="78" spans="1:14">
      <c r="B78" s="219" t="s">
        <v>345</v>
      </c>
      <c r="C78" s="884">
        <f>ROUND('BS Grouping'!K145,0)</f>
        <v>12351</v>
      </c>
      <c r="D78" s="884">
        <f>ROUND('BS Grouping'!T145,0)</f>
        <v>27088</v>
      </c>
      <c r="E78" s="56"/>
      <c r="F78" s="269" t="s">
        <v>467</v>
      </c>
      <c r="G78" s="280"/>
      <c r="H78" s="280"/>
      <c r="N78" s="280"/>
    </row>
    <row r="79" spans="1:14">
      <c r="B79" s="219"/>
      <c r="C79" s="884"/>
      <c r="D79" s="884"/>
      <c r="E79" s="56"/>
      <c r="G79" s="280"/>
    </row>
    <row r="80" spans="1:14" ht="16" thickBot="1">
      <c r="B80" s="791" t="s">
        <v>51</v>
      </c>
      <c r="C80" s="887">
        <f>SUM(C78:C79)</f>
        <v>12351</v>
      </c>
      <c r="D80" s="887">
        <f>SUM(D78:D79)</f>
        <v>27088</v>
      </c>
      <c r="E80" s="792"/>
    </row>
    <row r="81" spans="1:15" ht="16" thickTop="1">
      <c r="B81" s="223"/>
      <c r="C81" s="793"/>
      <c r="D81" s="793"/>
      <c r="E81" s="793"/>
    </row>
    <row r="82" spans="1:15" ht="16" thickBot="1">
      <c r="A82" s="223">
        <f>+A75+1</f>
        <v>10</v>
      </c>
      <c r="B82" s="223" t="s">
        <v>135</v>
      </c>
      <c r="E82" s="783"/>
    </row>
    <row r="83" spans="1:15" ht="32">
      <c r="B83" s="784" t="s">
        <v>0</v>
      </c>
      <c r="C83" s="273" t="str">
        <f>+C76</f>
        <v xml:space="preserve"> As at  31st March, 2023</v>
      </c>
      <c r="D83" s="273" t="str">
        <f>+D76</f>
        <v xml:space="preserve"> As at  31st March, 2022</v>
      </c>
      <c r="E83" s="273"/>
    </row>
    <row r="84" spans="1:15">
      <c r="B84" s="787"/>
      <c r="C84" s="56"/>
      <c r="D84" s="220"/>
      <c r="E84" s="56"/>
    </row>
    <row r="85" spans="1:15">
      <c r="B85" s="219" t="s">
        <v>136</v>
      </c>
      <c r="C85" s="884">
        <f>+C432</f>
        <v>28060951</v>
      </c>
      <c r="D85" s="884">
        <f>ROUND('BS Grouping'!T149,0)</f>
        <v>26273701</v>
      </c>
      <c r="E85" s="56"/>
      <c r="F85" s="269" t="s">
        <v>468</v>
      </c>
      <c r="O85" s="280"/>
    </row>
    <row r="86" spans="1:15">
      <c r="B86" s="219"/>
      <c r="C86" s="856"/>
      <c r="D86" s="884"/>
      <c r="E86" s="56"/>
    </row>
    <row r="87" spans="1:15" ht="16" thickBot="1">
      <c r="B87" s="791" t="s">
        <v>51</v>
      </c>
      <c r="C87" s="887">
        <f>SUM(C85:C86)</f>
        <v>28060951</v>
      </c>
      <c r="D87" s="887">
        <f>SUM(D85:D86)</f>
        <v>26273701</v>
      </c>
      <c r="E87" s="792"/>
    </row>
    <row r="88" spans="1:15" ht="16" thickTop="1"/>
    <row r="90" spans="1:15" ht="16" thickBot="1">
      <c r="A90" s="223">
        <f>+A82+1</f>
        <v>11</v>
      </c>
      <c r="B90" s="223" t="s">
        <v>406</v>
      </c>
      <c r="E90" s="783"/>
    </row>
    <row r="91" spans="1:15" ht="32">
      <c r="B91" s="784" t="s">
        <v>0</v>
      </c>
      <c r="C91" s="785" t="str">
        <f>+C83</f>
        <v xml:space="preserve"> As at  31st March, 2023</v>
      </c>
      <c r="D91" s="785" t="str">
        <f>+D83</f>
        <v xml:space="preserve"> As at  31st March, 2022</v>
      </c>
      <c r="E91" s="273"/>
    </row>
    <row r="92" spans="1:15">
      <c r="B92" s="798"/>
      <c r="C92" s="56"/>
      <c r="D92" s="220"/>
      <c r="E92" s="56"/>
    </row>
    <row r="93" spans="1:15">
      <c r="B93" s="60" t="s">
        <v>58</v>
      </c>
      <c r="C93" s="884">
        <f>C109</f>
        <v>2662259</v>
      </c>
      <c r="D93" s="884">
        <f>ROUND('BS Grouping'!T158,0)</f>
        <v>4706908</v>
      </c>
      <c r="E93" s="56"/>
      <c r="F93" s="269" t="s">
        <v>460</v>
      </c>
      <c r="G93" s="269">
        <f>ROUND('BS Grouping'!K158,0)</f>
        <v>2708704</v>
      </c>
    </row>
    <row r="94" spans="1:15">
      <c r="B94" s="219" t="s">
        <v>59</v>
      </c>
      <c r="C94" s="859">
        <f>C116</f>
        <v>46444</v>
      </c>
      <c r="D94" s="889">
        <v>0</v>
      </c>
      <c r="E94" s="59"/>
    </row>
    <row r="95" spans="1:15">
      <c r="B95" s="219"/>
      <c r="C95" s="884">
        <f>SUM(C93:C94)</f>
        <v>2708703</v>
      </c>
      <c r="D95" s="884">
        <f>SUM(D93:D94)</f>
        <v>4706908</v>
      </c>
      <c r="E95" s="220"/>
    </row>
    <row r="96" spans="1:15">
      <c r="B96" s="219" t="s">
        <v>60</v>
      </c>
      <c r="C96" s="884">
        <f>-C94</f>
        <v>-46444</v>
      </c>
      <c r="D96" s="884">
        <v>0</v>
      </c>
      <c r="E96" s="56"/>
    </row>
    <row r="97" spans="2:17">
      <c r="B97" s="219"/>
      <c r="C97" s="856"/>
      <c r="D97" s="884"/>
      <c r="E97" s="56"/>
    </row>
    <row r="98" spans="2:17" ht="16" thickBot="1">
      <c r="B98" s="791" t="s">
        <v>51</v>
      </c>
      <c r="C98" s="858">
        <f>+C95+C96</f>
        <v>2662259</v>
      </c>
      <c r="D98" s="858">
        <f>+D95+D96</f>
        <v>4706908</v>
      </c>
      <c r="E98" s="792"/>
      <c r="Q98" s="280"/>
    </row>
    <row r="99" spans="2:17" ht="16" thickTop="1">
      <c r="B99" s="223"/>
      <c r="C99" s="793"/>
      <c r="D99" s="793"/>
      <c r="E99" s="793"/>
      <c r="Q99" s="280"/>
    </row>
    <row r="100" spans="2:17">
      <c r="B100" s="269" t="s">
        <v>1440</v>
      </c>
      <c r="E100" s="793"/>
      <c r="Q100" s="280"/>
    </row>
    <row r="101" spans="2:17" ht="32">
      <c r="B101" s="784" t="s">
        <v>0</v>
      </c>
      <c r="C101" s="785" t="str">
        <f>+C91</f>
        <v xml:space="preserve"> As at  31st March, 2023</v>
      </c>
      <c r="D101" s="785" t="str">
        <f>+D91</f>
        <v xml:space="preserve"> As at  31st March, 2022</v>
      </c>
      <c r="E101" s="793"/>
      <c r="G101" s="269" t="s">
        <v>1676</v>
      </c>
      <c r="Q101" s="280"/>
    </row>
    <row r="102" spans="2:17">
      <c r="B102" s="800" t="s">
        <v>1441</v>
      </c>
      <c r="C102" s="56"/>
      <c r="D102" s="220"/>
      <c r="E102" s="793"/>
      <c r="G102" s="269" t="s">
        <v>1442</v>
      </c>
      <c r="Q102" s="280"/>
    </row>
    <row r="103" spans="2:17">
      <c r="B103" s="60" t="s">
        <v>1442</v>
      </c>
      <c r="C103" s="220"/>
      <c r="D103" s="220"/>
      <c r="E103" s="793"/>
      <c r="G103" s="269" t="s">
        <v>1443</v>
      </c>
      <c r="H103" s="269">
        <v>1551628.48</v>
      </c>
      <c r="Q103" s="280"/>
    </row>
    <row r="104" spans="2:17">
      <c r="B104" s="801" t="s">
        <v>1443</v>
      </c>
      <c r="C104" s="884">
        <f>ROUND(H103,)</f>
        <v>1551628</v>
      </c>
      <c r="D104" s="884">
        <v>3842313.1399999992</v>
      </c>
      <c r="E104" s="793"/>
      <c r="G104" s="269" t="s">
        <v>1444</v>
      </c>
      <c r="H104" s="269">
        <v>87258.04</v>
      </c>
      <c r="Q104" s="280"/>
    </row>
    <row r="105" spans="2:17">
      <c r="B105" s="801" t="s">
        <v>1444</v>
      </c>
      <c r="C105" s="884">
        <f>ROUND(H104,)</f>
        <v>87258</v>
      </c>
      <c r="D105" s="884">
        <v>727737.53</v>
      </c>
      <c r="E105" s="793"/>
      <c r="G105" s="269" t="s">
        <v>1433</v>
      </c>
      <c r="H105" s="269">
        <v>628832.69999999995</v>
      </c>
      <c r="Q105" s="280"/>
    </row>
    <row r="106" spans="2:17">
      <c r="B106" s="801" t="s">
        <v>1433</v>
      </c>
      <c r="C106" s="884">
        <f>ROUND(H105,)</f>
        <v>628833</v>
      </c>
      <c r="D106" s="884">
        <v>116734.49000000002</v>
      </c>
      <c r="E106" s="793"/>
      <c r="G106" s="269" t="s">
        <v>1445</v>
      </c>
      <c r="H106" s="269">
        <v>394539.54</v>
      </c>
      <c r="Q106" s="280"/>
    </row>
    <row r="107" spans="2:17">
      <c r="B107" s="802" t="s">
        <v>1445</v>
      </c>
      <c r="C107" s="884">
        <f>ROUND(H106,)</f>
        <v>394540</v>
      </c>
      <c r="D107" s="884">
        <v>20123</v>
      </c>
      <c r="E107" s="793"/>
      <c r="G107" s="269" t="s">
        <v>1434</v>
      </c>
      <c r="H107" s="269">
        <v>0</v>
      </c>
      <c r="Q107" s="280"/>
    </row>
    <row r="108" spans="2:17">
      <c r="B108" s="802" t="s">
        <v>1434</v>
      </c>
      <c r="C108" s="884">
        <f>H107</f>
        <v>0</v>
      </c>
      <c r="D108" s="884"/>
      <c r="E108" s="793"/>
      <c r="G108" s="269" t="s">
        <v>51</v>
      </c>
      <c r="H108" s="269">
        <v>2662258.7599999998</v>
      </c>
      <c r="Q108" s="280"/>
    </row>
    <row r="109" spans="2:17">
      <c r="B109" s="803" t="s">
        <v>51</v>
      </c>
      <c r="C109" s="890">
        <f>SUM(C104:C108)</f>
        <v>2662259</v>
      </c>
      <c r="D109" s="890">
        <f>SUM(D104:D108)</f>
        <v>4706908.1599999992</v>
      </c>
      <c r="E109" s="793"/>
      <c r="G109" s="269" t="s">
        <v>1446</v>
      </c>
      <c r="Q109" s="280"/>
    </row>
    <row r="110" spans="2:17">
      <c r="B110" s="60" t="s">
        <v>1446</v>
      </c>
      <c r="C110" s="884"/>
      <c r="D110" s="884"/>
      <c r="E110" s="793"/>
      <c r="G110" s="269" t="s">
        <v>1443</v>
      </c>
      <c r="Q110" s="280"/>
    </row>
    <row r="111" spans="2:17">
      <c r="B111" s="801" t="s">
        <v>1443</v>
      </c>
      <c r="C111" s="884">
        <v>0</v>
      </c>
      <c r="D111" s="884">
        <v>0</v>
      </c>
      <c r="E111" s="793"/>
      <c r="G111" s="269" t="s">
        <v>1444</v>
      </c>
      <c r="Q111" s="280"/>
    </row>
    <row r="112" spans="2:17">
      <c r="B112" s="801" t="s">
        <v>1444</v>
      </c>
      <c r="C112" s="884">
        <v>0</v>
      </c>
      <c r="D112" s="884">
        <v>0</v>
      </c>
      <c r="E112" s="793"/>
      <c r="G112" s="269" t="s">
        <v>1433</v>
      </c>
      <c r="Q112" s="280"/>
    </row>
    <row r="113" spans="2:17">
      <c r="B113" s="801" t="s">
        <v>1433</v>
      </c>
      <c r="C113" s="884">
        <v>0</v>
      </c>
      <c r="D113" s="884">
        <v>0</v>
      </c>
      <c r="E113" s="793"/>
      <c r="G113" s="269" t="s">
        <v>1445</v>
      </c>
      <c r="H113" s="269">
        <v>46444</v>
      </c>
      <c r="Q113" s="280"/>
    </row>
    <row r="114" spans="2:17">
      <c r="B114" s="802" t="s">
        <v>1445</v>
      </c>
      <c r="C114" s="884">
        <f>ROUND(H113,)</f>
        <v>46444</v>
      </c>
      <c r="D114" s="884">
        <v>0</v>
      </c>
      <c r="E114" s="793"/>
      <c r="G114" s="269" t="s">
        <v>1434</v>
      </c>
      <c r="Q114" s="280"/>
    </row>
    <row r="115" spans="2:17">
      <c r="B115" s="802" t="s">
        <v>1434</v>
      </c>
      <c r="C115" s="884">
        <v>0</v>
      </c>
      <c r="D115" s="884">
        <v>0</v>
      </c>
      <c r="E115" s="793"/>
      <c r="G115" s="269" t="s">
        <v>51</v>
      </c>
      <c r="H115" s="269">
        <v>46444</v>
      </c>
      <c r="Q115" s="280"/>
    </row>
    <row r="116" spans="2:17">
      <c r="B116" s="803" t="s">
        <v>51</v>
      </c>
      <c r="C116" s="890">
        <f>SUM(C111:C115)</f>
        <v>46444</v>
      </c>
      <c r="D116" s="890">
        <f>SUM(D111:D115)</f>
        <v>0</v>
      </c>
      <c r="E116" s="793"/>
      <c r="Q116" s="280"/>
    </row>
    <row r="117" spans="2:17">
      <c r="B117" s="60" t="s">
        <v>1447</v>
      </c>
      <c r="C117" s="884"/>
      <c r="D117" s="884"/>
      <c r="E117" s="793"/>
      <c r="H117" s="269">
        <v>2708702.76</v>
      </c>
      <c r="Q117" s="280"/>
    </row>
    <row r="118" spans="2:17">
      <c r="B118" s="801" t="s">
        <v>1443</v>
      </c>
      <c r="C118" s="884">
        <v>0</v>
      </c>
      <c r="D118" s="884">
        <v>0</v>
      </c>
      <c r="E118" s="793"/>
      <c r="Q118" s="280"/>
    </row>
    <row r="119" spans="2:17">
      <c r="B119" s="801" t="s">
        <v>1444</v>
      </c>
      <c r="C119" s="884">
        <v>0</v>
      </c>
      <c r="D119" s="884">
        <v>0</v>
      </c>
      <c r="E119" s="793"/>
      <c r="H119" s="269">
        <f>'BS Grouping'!K158</f>
        <v>2708703.6500000004</v>
      </c>
      <c r="Q119" s="280"/>
    </row>
    <row r="120" spans="2:17">
      <c r="B120" s="801" t="s">
        <v>1433</v>
      </c>
      <c r="C120" s="884">
        <v>0</v>
      </c>
      <c r="D120" s="884">
        <v>0</v>
      </c>
      <c r="E120" s="793"/>
      <c r="H120" s="269">
        <f>H117-H119</f>
        <v>-0.89000000059604645</v>
      </c>
      <c r="Q120" s="280"/>
    </row>
    <row r="121" spans="2:17">
      <c r="B121" s="802" t="s">
        <v>1445</v>
      </c>
      <c r="C121" s="884">
        <v>0</v>
      </c>
      <c r="D121" s="884">
        <v>0</v>
      </c>
      <c r="E121" s="793"/>
      <c r="Q121" s="280"/>
    </row>
    <row r="122" spans="2:17">
      <c r="B122" s="802" t="s">
        <v>1434</v>
      </c>
      <c r="C122" s="884">
        <v>0</v>
      </c>
      <c r="D122" s="884">
        <v>0</v>
      </c>
      <c r="E122" s="793"/>
      <c r="Q122" s="280"/>
    </row>
    <row r="123" spans="2:17">
      <c r="B123" s="803" t="s">
        <v>51</v>
      </c>
      <c r="C123" s="890">
        <f>SUM(C118:C122)</f>
        <v>0</v>
      </c>
      <c r="D123" s="890">
        <f>SUM(D118:D122)</f>
        <v>0</v>
      </c>
      <c r="E123" s="793"/>
      <c r="Q123" s="280"/>
    </row>
    <row r="124" spans="2:17">
      <c r="B124" s="60" t="s">
        <v>1448</v>
      </c>
      <c r="C124" s="884"/>
      <c r="D124" s="884"/>
      <c r="E124" s="793"/>
      <c r="Q124" s="280"/>
    </row>
    <row r="125" spans="2:17">
      <c r="B125" s="801" t="s">
        <v>1443</v>
      </c>
      <c r="C125" s="884">
        <v>0</v>
      </c>
      <c r="D125" s="884">
        <v>0</v>
      </c>
      <c r="E125" s="793"/>
      <c r="Q125" s="280"/>
    </row>
    <row r="126" spans="2:17">
      <c r="B126" s="801" t="s">
        <v>1444</v>
      </c>
      <c r="C126" s="884">
        <v>0</v>
      </c>
      <c r="D126" s="884">
        <v>0</v>
      </c>
      <c r="E126" s="793"/>
      <c r="Q126" s="280"/>
    </row>
    <row r="127" spans="2:17">
      <c r="B127" s="801" t="s">
        <v>1433</v>
      </c>
      <c r="C127" s="884">
        <v>0</v>
      </c>
      <c r="D127" s="884">
        <v>0</v>
      </c>
      <c r="E127" s="793"/>
      <c r="Q127" s="280"/>
    </row>
    <row r="128" spans="2:17">
      <c r="B128" s="802" t="s">
        <v>1445</v>
      </c>
      <c r="C128" s="884">
        <v>0</v>
      </c>
      <c r="D128" s="884">
        <v>0</v>
      </c>
      <c r="E128" s="793"/>
      <c r="Q128" s="280"/>
    </row>
    <row r="129" spans="1:17">
      <c r="B129" s="802" t="s">
        <v>1434</v>
      </c>
      <c r="C129" s="884">
        <v>0</v>
      </c>
      <c r="D129" s="884">
        <v>0</v>
      </c>
      <c r="E129" s="793"/>
      <c r="Q129" s="280"/>
    </row>
    <row r="130" spans="1:17">
      <c r="B130" s="805" t="s">
        <v>51</v>
      </c>
      <c r="C130" s="890">
        <f>SUM(C125:C129)</f>
        <v>0</v>
      </c>
      <c r="D130" s="890">
        <f>SUM(D125:D129)</f>
        <v>0</v>
      </c>
      <c r="E130" s="793"/>
      <c r="Q130" s="280"/>
    </row>
    <row r="131" spans="1:17">
      <c r="B131" s="806" t="s">
        <v>51</v>
      </c>
      <c r="C131" s="890">
        <f>C130+C123+C116+C109</f>
        <v>2708703</v>
      </c>
      <c r="D131" s="890">
        <f>D130+D123+D116+D109</f>
        <v>4706908.1599999992</v>
      </c>
      <c r="E131" s="793"/>
      <c r="Q131" s="280"/>
    </row>
    <row r="132" spans="1:17">
      <c r="B132" s="223"/>
      <c r="C132" s="793"/>
      <c r="D132" s="793"/>
      <c r="E132" s="793"/>
      <c r="Q132" s="280"/>
    </row>
    <row r="133" spans="1:17" ht="16" thickBot="1">
      <c r="A133" s="223">
        <f>+A90+1</f>
        <v>12</v>
      </c>
      <c r="B133" s="223" t="s">
        <v>149</v>
      </c>
      <c r="E133" s="783"/>
    </row>
    <row r="134" spans="1:17" ht="32">
      <c r="B134" s="784" t="s">
        <v>0</v>
      </c>
      <c r="C134" s="785" t="str">
        <f>+C91</f>
        <v xml:space="preserve"> As at  31st March, 2023</v>
      </c>
      <c r="D134" s="785" t="str">
        <f>+D91</f>
        <v xml:space="preserve"> As at  31st March, 2022</v>
      </c>
      <c r="E134" s="273"/>
    </row>
    <row r="135" spans="1:17">
      <c r="B135" s="232" t="s">
        <v>61</v>
      </c>
      <c r="C135" s="220"/>
      <c r="D135" s="220"/>
      <c r="E135" s="56"/>
    </row>
    <row r="136" spans="1:17">
      <c r="B136" s="60" t="s">
        <v>62</v>
      </c>
      <c r="C136" s="220"/>
      <c r="D136" s="220"/>
      <c r="E136" s="56"/>
    </row>
    <row r="137" spans="1:17">
      <c r="B137" s="60" t="s">
        <v>63</v>
      </c>
      <c r="C137" s="884">
        <f>ROUND('BS Grouping'!K165,0)</f>
        <v>31401</v>
      </c>
      <c r="D137" s="884">
        <f>ROUND('BS Grouping'!T165,0)</f>
        <v>41091901</v>
      </c>
      <c r="E137" s="56"/>
      <c r="F137" s="269" t="s">
        <v>460</v>
      </c>
    </row>
    <row r="138" spans="1:17">
      <c r="B138" s="60" t="s">
        <v>64</v>
      </c>
      <c r="C138" s="884">
        <f>ROUND('BS Grouping'!K169,0)</f>
        <v>11768</v>
      </c>
      <c r="D138" s="884">
        <f>ROUND('BS Grouping'!T169,0)</f>
        <v>10191</v>
      </c>
      <c r="E138" s="56"/>
    </row>
    <row r="139" spans="1:17">
      <c r="B139" s="60"/>
      <c r="C139" s="886">
        <f>SUM(C137:C138)</f>
        <v>43169</v>
      </c>
      <c r="D139" s="886">
        <f>SUM(D137:D138)</f>
        <v>41102092</v>
      </c>
      <c r="E139" s="788"/>
    </row>
    <row r="140" spans="1:17">
      <c r="B140" s="232" t="s">
        <v>65</v>
      </c>
      <c r="C140" s="884"/>
      <c r="D140" s="884"/>
      <c r="E140" s="56"/>
    </row>
    <row r="141" spans="1:17" ht="30.75" customHeight="1">
      <c r="B141" s="807" t="s">
        <v>226</v>
      </c>
      <c r="C141" s="884">
        <f>ROUND('BS Grouping'!K173,0)</f>
        <v>0</v>
      </c>
      <c r="D141" s="884">
        <f>ROUND('BS Grouping'!T173,0)</f>
        <v>0</v>
      </c>
      <c r="E141" s="56"/>
    </row>
    <row r="142" spans="1:17">
      <c r="B142" s="60"/>
      <c r="C142" s="886">
        <f>SUM(C141)</f>
        <v>0</v>
      </c>
      <c r="D142" s="886">
        <f>SUM(D141)</f>
        <v>0</v>
      </c>
      <c r="E142" s="788"/>
    </row>
    <row r="143" spans="1:17">
      <c r="B143" s="219"/>
      <c r="C143" s="856"/>
      <c r="D143" s="884"/>
      <c r="E143" s="56"/>
    </row>
    <row r="144" spans="1:17" ht="16" thickBot="1">
      <c r="B144" s="791" t="s">
        <v>51</v>
      </c>
      <c r="C144" s="887">
        <f>+C139+C142</f>
        <v>43169</v>
      </c>
      <c r="D144" s="887">
        <f>+D139+D142</f>
        <v>41102092</v>
      </c>
      <c r="E144" s="792"/>
    </row>
    <row r="145" spans="1:7" ht="16" thickTop="1"/>
    <row r="146" spans="1:7" ht="16" thickBot="1">
      <c r="A146" s="223">
        <f>+A133+1</f>
        <v>13</v>
      </c>
      <c r="B146" s="223" t="s">
        <v>364</v>
      </c>
      <c r="E146" s="783"/>
    </row>
    <row r="147" spans="1:7" ht="32">
      <c r="B147" s="784" t="s">
        <v>0</v>
      </c>
      <c r="C147" s="785" t="str">
        <f>+C134</f>
        <v xml:space="preserve"> As at  31st March, 2023</v>
      </c>
      <c r="D147" s="785" t="str">
        <f>+D134</f>
        <v xml:space="preserve"> As at  31st March, 2022</v>
      </c>
      <c r="E147" s="273"/>
    </row>
    <row r="148" spans="1:7">
      <c r="B148" s="798"/>
      <c r="C148" s="56"/>
      <c r="D148" s="220"/>
      <c r="E148" s="56"/>
    </row>
    <row r="149" spans="1:7">
      <c r="B149" s="60" t="s">
        <v>124</v>
      </c>
      <c r="C149" s="884">
        <f>ROUND('BS Grouping'!K177,0)</f>
        <v>3679</v>
      </c>
      <c r="D149" s="884">
        <f>ROUND('BS Grouping'!T177,0)</f>
        <v>3710</v>
      </c>
      <c r="E149" s="56"/>
      <c r="F149" s="269" t="s">
        <v>460</v>
      </c>
    </row>
    <row r="150" spans="1:7">
      <c r="B150" s="60" t="s">
        <v>228</v>
      </c>
      <c r="C150" s="884">
        <f>ROUND('BS Grouping'!K181,0)</f>
        <v>0</v>
      </c>
      <c r="D150" s="884">
        <f>ROUND('BS Grouping'!T181,0)</f>
        <v>90000</v>
      </c>
      <c r="E150" s="56"/>
      <c r="F150" s="269" t="s">
        <v>460</v>
      </c>
      <c r="G150" s="269" t="s">
        <v>229</v>
      </c>
    </row>
    <row r="151" spans="1:7">
      <c r="B151" s="219" t="s">
        <v>338</v>
      </c>
      <c r="C151" s="884">
        <f>82730*0-37114*0</f>
        <v>0</v>
      </c>
      <c r="D151" s="884">
        <v>0</v>
      </c>
      <c r="E151" s="56"/>
      <c r="F151" s="269" t="s">
        <v>460</v>
      </c>
    </row>
    <row r="152" spans="1:7">
      <c r="B152" s="219"/>
      <c r="C152" s="856"/>
      <c r="D152" s="884"/>
      <c r="E152" s="56"/>
    </row>
    <row r="153" spans="1:7" ht="16" thickBot="1">
      <c r="B153" s="791" t="s">
        <v>51</v>
      </c>
      <c r="C153" s="887">
        <f>SUM(C149:C151)</f>
        <v>3679</v>
      </c>
      <c r="D153" s="887">
        <f>SUM(D149:D151)</f>
        <v>93710</v>
      </c>
      <c r="E153" s="792"/>
    </row>
    <row r="154" spans="1:7" ht="16" thickTop="1">
      <c r="C154" s="891"/>
      <c r="D154" s="891"/>
    </row>
    <row r="155" spans="1:7" ht="16" thickBot="1">
      <c r="A155" s="223">
        <f>+A146+1</f>
        <v>14</v>
      </c>
      <c r="B155" s="223" t="s">
        <v>365</v>
      </c>
      <c r="E155" s="783"/>
    </row>
    <row r="156" spans="1:7" ht="32">
      <c r="B156" s="784" t="s">
        <v>0</v>
      </c>
      <c r="C156" s="785" t="str">
        <f>+C147</f>
        <v xml:space="preserve"> As at  31st March, 2023</v>
      </c>
      <c r="D156" s="785" t="str">
        <f>+D147</f>
        <v xml:space="preserve"> As at  31st March, 2022</v>
      </c>
      <c r="E156" s="273"/>
    </row>
    <row r="157" spans="1:7">
      <c r="B157" s="798"/>
      <c r="C157" s="56"/>
      <c r="D157" s="220"/>
      <c r="E157" s="56"/>
    </row>
    <row r="158" spans="1:7">
      <c r="B158" s="60" t="s">
        <v>231</v>
      </c>
      <c r="C158" s="884">
        <f>ROUND('BS Grouping'!K185,0)-10</f>
        <v>904223</v>
      </c>
      <c r="D158" s="884">
        <f>ROUND('BS Grouping'!T185,0)</f>
        <v>896597</v>
      </c>
      <c r="E158" s="56"/>
      <c r="F158" s="269" t="s">
        <v>460</v>
      </c>
    </row>
    <row r="159" spans="1:7">
      <c r="B159" s="60" t="s">
        <v>1687</v>
      </c>
      <c r="C159" s="884">
        <f>ROUND('BS Grouping'!K198-C160,0)</f>
        <v>23233476</v>
      </c>
      <c r="D159" s="884">
        <f>ROUND('BS Grouping'!T198-D160,0)</f>
        <v>17471302</v>
      </c>
      <c r="E159" s="56"/>
      <c r="F159" s="269" t="s">
        <v>460</v>
      </c>
    </row>
    <row r="160" spans="1:7">
      <c r="B160" s="60" t="s">
        <v>227</v>
      </c>
      <c r="C160" s="884">
        <f>ROUND('BS Grouping'!K197,0)</f>
        <v>822539</v>
      </c>
      <c r="D160" s="884">
        <f>ROUND('BS Grouping'!T197,0)</f>
        <v>274205</v>
      </c>
      <c r="E160" s="220"/>
    </row>
    <row r="161" spans="1:19">
      <c r="B161" s="219" t="s">
        <v>348</v>
      </c>
      <c r="C161" s="884">
        <f>ROUND('BS Grouping'!K202,0)</f>
        <v>14557</v>
      </c>
      <c r="D161" s="884">
        <f>ROUND('BS Grouping'!T202,0)</f>
        <v>14412</v>
      </c>
      <c r="E161" s="220"/>
      <c r="F161" s="269" t="s">
        <v>461</v>
      </c>
      <c r="S161" s="269">
        <f>+R159+Q159</f>
        <v>0</v>
      </c>
    </row>
    <row r="162" spans="1:19" ht="16" thickBot="1">
      <c r="B162" s="791" t="s">
        <v>51</v>
      </c>
      <c r="C162" s="887">
        <f>SUM(C158:C161)</f>
        <v>24974795</v>
      </c>
      <c r="D162" s="887">
        <f>SUM(D158:D161)</f>
        <v>18656516</v>
      </c>
      <c r="E162" s="792"/>
    </row>
    <row r="163" spans="1:19" ht="16" thickTop="1"/>
    <row r="164" spans="1:19">
      <c r="A164" s="223">
        <f>+A155+1</f>
        <v>15</v>
      </c>
      <c r="B164" s="6" t="s">
        <v>344</v>
      </c>
      <c r="C164" s="1"/>
      <c r="D164" s="1"/>
      <c r="E164" s="1"/>
    </row>
    <row r="165" spans="1:19">
      <c r="B165" s="6" t="s">
        <v>66</v>
      </c>
      <c r="C165" s="1"/>
      <c r="D165" s="1"/>
      <c r="E165" s="1"/>
    </row>
    <row r="166" spans="1:19" ht="32">
      <c r="B166" s="356" t="s">
        <v>0</v>
      </c>
      <c r="C166" s="808" t="s">
        <v>67</v>
      </c>
      <c r="D166" s="808" t="s">
        <v>1007</v>
      </c>
      <c r="E166" s="808"/>
    </row>
    <row r="167" spans="1:19">
      <c r="B167" s="358" t="s">
        <v>233</v>
      </c>
      <c r="C167" s="360"/>
      <c r="D167" s="360"/>
      <c r="E167" s="360"/>
    </row>
    <row r="168" spans="1:19">
      <c r="B168" s="237" t="s">
        <v>1507</v>
      </c>
      <c r="C168" s="867">
        <f>+C176</f>
        <v>6500000</v>
      </c>
      <c r="D168" s="867">
        <f>+D176</f>
        <v>65000000</v>
      </c>
      <c r="E168" s="226"/>
      <c r="F168" s="269" t="s">
        <v>462</v>
      </c>
    </row>
    <row r="169" spans="1:19">
      <c r="B169" s="237" t="s">
        <v>68</v>
      </c>
      <c r="C169" s="226">
        <v>0</v>
      </c>
      <c r="D169" s="226">
        <f>C169*10</f>
        <v>0</v>
      </c>
      <c r="E169" s="226"/>
    </row>
    <row r="170" spans="1:19" ht="16" thickBot="1">
      <c r="B170" s="364" t="s">
        <v>1508</v>
      </c>
      <c r="C170" s="858">
        <f>SUM(C167:C169)</f>
        <v>6500000</v>
      </c>
      <c r="D170" s="858">
        <f>SUM(D167:D169)</f>
        <v>65000000</v>
      </c>
      <c r="E170" s="58"/>
    </row>
    <row r="171" spans="1:19" ht="16" thickTop="1">
      <c r="B171" s="364"/>
      <c r="C171" s="809"/>
      <c r="D171" s="809"/>
      <c r="E171" s="809"/>
    </row>
    <row r="172" spans="1:19" ht="32">
      <c r="B172" s="356" t="s">
        <v>0</v>
      </c>
      <c r="C172" s="808" t="s">
        <v>67</v>
      </c>
      <c r="D172" s="808" t="s">
        <v>1007</v>
      </c>
      <c r="E172" s="808"/>
    </row>
    <row r="173" spans="1:19">
      <c r="B173" s="358" t="s">
        <v>233</v>
      </c>
      <c r="C173" s="360"/>
      <c r="D173" s="360"/>
      <c r="E173" s="360"/>
    </row>
    <row r="174" spans="1:19">
      <c r="B174" s="237" t="s">
        <v>1207</v>
      </c>
      <c r="C174" s="867">
        <v>5000000</v>
      </c>
      <c r="D174" s="867">
        <v>50000000</v>
      </c>
      <c r="E174" s="226"/>
      <c r="F174" s="269" t="s">
        <v>462</v>
      </c>
    </row>
    <row r="175" spans="1:19">
      <c r="B175" s="237" t="s">
        <v>68</v>
      </c>
      <c r="C175" s="867">
        <v>1500000</v>
      </c>
      <c r="D175" s="867">
        <f>C175*10</f>
        <v>15000000</v>
      </c>
      <c r="E175" s="226"/>
      <c r="F175" s="269" t="s">
        <v>462</v>
      </c>
    </row>
    <row r="176" spans="1:19" ht="16" thickBot="1">
      <c r="B176" s="364" t="s">
        <v>1208</v>
      </c>
      <c r="C176" s="858">
        <f>SUM(C173:C175)</f>
        <v>6500000</v>
      </c>
      <c r="D176" s="858">
        <f>SUM(D173:D175)</f>
        <v>65000000</v>
      </c>
      <c r="E176" s="58"/>
    </row>
    <row r="177" spans="2:6" ht="9.75" customHeight="1" thickTop="1"/>
    <row r="178" spans="2:6">
      <c r="B178" s="810" t="s">
        <v>332</v>
      </c>
      <c r="C178" s="804"/>
      <c r="D178" s="804"/>
      <c r="E178" s="804"/>
    </row>
    <row r="179" spans="2:6" ht="32">
      <c r="B179" s="356" t="s">
        <v>0</v>
      </c>
      <c r="C179" s="808" t="s">
        <v>67</v>
      </c>
      <c r="D179" s="808" t="s">
        <v>1007</v>
      </c>
      <c r="E179" s="808"/>
    </row>
    <row r="180" spans="2:6">
      <c r="B180" s="358" t="s">
        <v>233</v>
      </c>
      <c r="C180" s="360"/>
      <c r="D180" s="360"/>
      <c r="E180" s="360"/>
    </row>
    <row r="181" spans="2:6">
      <c r="B181" s="237" t="s">
        <v>1507</v>
      </c>
      <c r="C181" s="867">
        <f>+C189</f>
        <v>5944263</v>
      </c>
      <c r="D181" s="867">
        <f>+D189</f>
        <v>59442630</v>
      </c>
      <c r="E181" s="226"/>
      <c r="F181" s="269" t="s">
        <v>462</v>
      </c>
    </row>
    <row r="182" spans="2:6">
      <c r="B182" s="237" t="s">
        <v>68</v>
      </c>
      <c r="C182" s="867">
        <f>+SOCE!B10+SOCE!B12+SOCE!B13+SOCE!B11</f>
        <v>50251</v>
      </c>
      <c r="D182" s="867">
        <f>+C182*10</f>
        <v>502510</v>
      </c>
      <c r="E182" s="226"/>
    </row>
    <row r="183" spans="2:6" ht="16" thickBot="1">
      <c r="B183" s="364" t="s">
        <v>1508</v>
      </c>
      <c r="C183" s="858">
        <f>SUM(C180:C182)</f>
        <v>5994514</v>
      </c>
      <c r="D183" s="858">
        <f>SUM(D180:D182)</f>
        <v>59945140</v>
      </c>
      <c r="E183" s="58"/>
    </row>
    <row r="184" spans="2:6" ht="10.5" customHeight="1" thickTop="1"/>
    <row r="185" spans="2:6" ht="32">
      <c r="B185" s="356" t="s">
        <v>0</v>
      </c>
      <c r="C185" s="808" t="s">
        <v>67</v>
      </c>
      <c r="D185" s="808" t="s">
        <v>1007</v>
      </c>
      <c r="E185" s="808"/>
    </row>
    <row r="186" spans="2:6">
      <c r="B186" s="358" t="s">
        <v>233</v>
      </c>
      <c r="C186" s="360"/>
      <c r="D186" s="360"/>
      <c r="E186" s="360"/>
    </row>
    <row r="187" spans="2:6">
      <c r="B187" s="237" t="s">
        <v>1207</v>
      </c>
      <c r="C187" s="867">
        <f>SOCE!D9</f>
        <v>3199329</v>
      </c>
      <c r="D187" s="867">
        <f>C187*10</f>
        <v>31993290</v>
      </c>
      <c r="E187" s="226"/>
      <c r="F187" s="269" t="s">
        <v>462</v>
      </c>
    </row>
    <row r="188" spans="2:6">
      <c r="B188" s="237" t="s">
        <v>68</v>
      </c>
      <c r="C188" s="867">
        <f>SOCE!D10+SOCE!D11+SOCE!D12+SOCE!D13</f>
        <v>2744934</v>
      </c>
      <c r="D188" s="867">
        <f>C188*10</f>
        <v>27449340</v>
      </c>
      <c r="E188" s="226"/>
    </row>
    <row r="189" spans="2:6" ht="16" thickBot="1">
      <c r="B189" s="364" t="s">
        <v>1208</v>
      </c>
      <c r="C189" s="858">
        <f>SUM(C186:C188)</f>
        <v>5944263</v>
      </c>
      <c r="D189" s="858">
        <f>SUM(D186:D188)</f>
        <v>59442630</v>
      </c>
      <c r="E189" s="58"/>
    </row>
    <row r="190" spans="2:6" ht="4.5" customHeight="1" thickTop="1"/>
    <row r="191" spans="2:6">
      <c r="B191" s="223" t="s">
        <v>333</v>
      </c>
    </row>
    <row r="192" spans="2:6" ht="7.5" customHeight="1"/>
    <row r="193" spans="2:6" ht="32">
      <c r="B193" s="356" t="s">
        <v>0</v>
      </c>
      <c r="C193" s="808" t="s">
        <v>67</v>
      </c>
      <c r="D193" s="808" t="s">
        <v>1007</v>
      </c>
      <c r="E193" s="808"/>
    </row>
    <row r="194" spans="2:6">
      <c r="B194" s="358" t="s">
        <v>233</v>
      </c>
      <c r="C194" s="360"/>
      <c r="D194" s="360"/>
      <c r="E194" s="360"/>
    </row>
    <row r="195" spans="2:6">
      <c r="B195" s="237" t="s">
        <v>1507</v>
      </c>
      <c r="C195" s="867">
        <f>+C211</f>
        <v>5944263</v>
      </c>
      <c r="D195" s="867">
        <f>+D211</f>
        <v>59442630</v>
      </c>
      <c r="E195" s="226"/>
      <c r="F195" s="269" t="s">
        <v>462</v>
      </c>
    </row>
    <row r="196" spans="2:6">
      <c r="B196" s="811" t="s">
        <v>68</v>
      </c>
      <c r="C196" s="867"/>
      <c r="D196" s="867"/>
      <c r="E196" s="226"/>
    </row>
    <row r="197" spans="2:6">
      <c r="B197" s="237" t="s">
        <v>1050</v>
      </c>
      <c r="C197" s="867">
        <f>+SOCE!B10</f>
        <v>0</v>
      </c>
      <c r="D197" s="867">
        <f>C197*10</f>
        <v>0</v>
      </c>
      <c r="E197" s="226"/>
    </row>
    <row r="198" spans="2:6">
      <c r="B198" s="237" t="s">
        <v>1342</v>
      </c>
      <c r="C198" s="867">
        <f>+SOCE!B11</f>
        <v>50251</v>
      </c>
      <c r="D198" s="867">
        <f>C198*10</f>
        <v>502510</v>
      </c>
      <c r="E198" s="226"/>
    </row>
    <row r="199" spans="2:6">
      <c r="B199" s="237" t="s">
        <v>1051</v>
      </c>
      <c r="C199" s="867">
        <f>+SOCE!B12</f>
        <v>0</v>
      </c>
      <c r="D199" s="867">
        <f>C199*10</f>
        <v>0</v>
      </c>
      <c r="E199" s="226"/>
    </row>
    <row r="200" spans="2:6">
      <c r="B200" s="237" t="s">
        <v>1341</v>
      </c>
      <c r="C200" s="867">
        <f>+SOCE!B13</f>
        <v>0</v>
      </c>
      <c r="D200" s="867">
        <f>C200*10</f>
        <v>0</v>
      </c>
      <c r="E200" s="226"/>
    </row>
    <row r="201" spans="2:6" ht="16" thickBot="1">
      <c r="B201" s="364" t="s">
        <v>1508</v>
      </c>
      <c r="C201" s="858">
        <f>SUM(C195:C200)</f>
        <v>5994514</v>
      </c>
      <c r="D201" s="858">
        <f>SUM(D195:D200)</f>
        <v>59945140</v>
      </c>
      <c r="E201" s="58"/>
    </row>
    <row r="202" spans="2:6" ht="9" customHeight="1" thickTop="1"/>
    <row r="203" spans="2:6" ht="32">
      <c r="B203" s="356" t="s">
        <v>0</v>
      </c>
      <c r="C203" s="808" t="s">
        <v>67</v>
      </c>
      <c r="D203" s="808" t="s">
        <v>1007</v>
      </c>
      <c r="E203" s="808"/>
    </row>
    <row r="204" spans="2:6">
      <c r="B204" s="358" t="s">
        <v>233</v>
      </c>
      <c r="C204" s="360"/>
      <c r="D204" s="360"/>
      <c r="E204" s="360"/>
    </row>
    <row r="205" spans="2:6">
      <c r="B205" s="237" t="s">
        <v>1207</v>
      </c>
      <c r="C205" s="867">
        <v>3199329</v>
      </c>
      <c r="D205" s="867">
        <f>+C205*10</f>
        <v>31993290</v>
      </c>
      <c r="E205" s="226"/>
      <c r="F205" s="269" t="s">
        <v>462</v>
      </c>
    </row>
    <row r="206" spans="2:6">
      <c r="B206" s="811" t="s">
        <v>68</v>
      </c>
      <c r="C206" s="867"/>
      <c r="D206" s="867"/>
      <c r="E206" s="226"/>
    </row>
    <row r="207" spans="2:6">
      <c r="B207" s="237" t="s">
        <v>1050</v>
      </c>
      <c r="C207" s="867">
        <f>+SOCE!D10</f>
        <v>37000</v>
      </c>
      <c r="D207" s="867">
        <f>C207*10</f>
        <v>370000</v>
      </c>
      <c r="E207" s="226"/>
    </row>
    <row r="208" spans="2:6">
      <c r="B208" s="237" t="s">
        <v>1342</v>
      </c>
      <c r="C208" s="867">
        <f>+SOCE!D11</f>
        <v>1894732</v>
      </c>
      <c r="D208" s="867">
        <f>C208*10</f>
        <v>18947320</v>
      </c>
      <c r="E208" s="226"/>
    </row>
    <row r="209" spans="2:13">
      <c r="B209" s="237" t="s">
        <v>1051</v>
      </c>
      <c r="C209" s="867">
        <f>+SOCE!D12</f>
        <v>457142</v>
      </c>
      <c r="D209" s="867">
        <f>C209*10</f>
        <v>4571420</v>
      </c>
      <c r="E209" s="226"/>
    </row>
    <row r="210" spans="2:13">
      <c r="B210" s="237" t="s">
        <v>1343</v>
      </c>
      <c r="C210" s="867">
        <f>+SOCE!D13</f>
        <v>356060</v>
      </c>
      <c r="D210" s="867">
        <f>C210*10</f>
        <v>3560600</v>
      </c>
      <c r="E210" s="226"/>
    </row>
    <row r="211" spans="2:13" ht="16" thickBot="1">
      <c r="B211" s="364" t="s">
        <v>1208</v>
      </c>
      <c r="C211" s="858">
        <f>SUM(C205:C210)</f>
        <v>5944263</v>
      </c>
      <c r="D211" s="858">
        <f>SUM(D205:D210)</f>
        <v>59442630</v>
      </c>
      <c r="E211" s="58"/>
    </row>
    <row r="212" spans="2:13" ht="6" customHeight="1" thickTop="1"/>
    <row r="213" spans="2:13">
      <c r="B213" s="6" t="s">
        <v>334</v>
      </c>
    </row>
    <row r="214" spans="2:13" ht="48.75" customHeight="1">
      <c r="B214" s="1013" t="s">
        <v>335</v>
      </c>
      <c r="C214" s="1014"/>
      <c r="D214" s="1014"/>
      <c r="E214" s="794"/>
    </row>
    <row r="215" spans="2:13" ht="49.5" customHeight="1">
      <c r="B215" s="1015" t="s">
        <v>336</v>
      </c>
      <c r="C215" s="1016"/>
      <c r="D215" s="1016"/>
      <c r="E215" s="794"/>
    </row>
    <row r="216" spans="2:13" ht="16" thickBot="1">
      <c r="B216" s="223" t="s">
        <v>337</v>
      </c>
    </row>
    <row r="217" spans="2:13" ht="32">
      <c r="B217" s="812" t="s">
        <v>0</v>
      </c>
      <c r="C217" s="813" t="str">
        <f>+C156</f>
        <v xml:space="preserve"> As at  31st March, 2023</v>
      </c>
      <c r="D217" s="813" t="str">
        <f>+D156</f>
        <v xml:space="preserve"> As at  31st March, 2022</v>
      </c>
      <c r="E217" s="273"/>
      <c r="M217" s="269" t="s">
        <v>1185</v>
      </c>
    </row>
    <row r="218" spans="2:13">
      <c r="B218" s="814" t="s">
        <v>380</v>
      </c>
      <c r="C218" s="815"/>
      <c r="D218" s="815"/>
      <c r="E218" s="220"/>
    </row>
    <row r="219" spans="2:13" s="223" customFormat="1">
      <c r="B219" s="232" t="s">
        <v>382</v>
      </c>
      <c r="C219" s="222"/>
      <c r="D219" s="222"/>
      <c r="E219" s="222"/>
    </row>
    <row r="220" spans="2:13">
      <c r="B220" s="801" t="s">
        <v>383</v>
      </c>
      <c r="C220" s="884">
        <v>3175122</v>
      </c>
      <c r="D220" s="884">
        <v>3175122</v>
      </c>
      <c r="E220" s="220"/>
    </row>
    <row r="221" spans="2:13">
      <c r="B221" s="801" t="s">
        <v>384</v>
      </c>
      <c r="C221" s="221">
        <f>+C220/C201</f>
        <v>0.52967129612175401</v>
      </c>
      <c r="D221" s="221">
        <f>+D220/C211</f>
        <v>0.53414897692110863</v>
      </c>
      <c r="E221" s="816"/>
    </row>
    <row r="222" spans="2:13">
      <c r="B222" s="232" t="s">
        <v>381</v>
      </c>
      <c r="C222" s="220"/>
      <c r="D222" s="220"/>
      <c r="E222" s="220"/>
    </row>
    <row r="223" spans="2:13">
      <c r="B223" s="801" t="s">
        <v>383</v>
      </c>
      <c r="C223" s="884">
        <v>600000</v>
      </c>
      <c r="D223" s="884">
        <v>600000</v>
      </c>
      <c r="E223" s="220"/>
    </row>
    <row r="224" spans="2:13">
      <c r="B224" s="817" t="s">
        <v>384</v>
      </c>
      <c r="C224" s="816">
        <f>+C223/C201</f>
        <v>0.1000915170103865</v>
      </c>
      <c r="D224" s="816">
        <f>+D223/C211</f>
        <v>0.10093766039625097</v>
      </c>
      <c r="E224" s="221"/>
    </row>
    <row r="225" spans="2:5" ht="10.5" customHeight="1">
      <c r="B225" s="223"/>
    </row>
    <row r="226" spans="2:5" ht="16" thickBot="1">
      <c r="B226" s="223" t="s">
        <v>1345</v>
      </c>
    </row>
    <row r="227" spans="2:5" ht="32">
      <c r="B227" s="784" t="s">
        <v>1346</v>
      </c>
      <c r="C227" s="273" t="str">
        <f>+C217</f>
        <v xml:space="preserve"> As at  31st March, 2023</v>
      </c>
      <c r="D227" s="273" t="str">
        <f>+D217</f>
        <v xml:space="preserve"> As at  31st March, 2022</v>
      </c>
      <c r="E227" s="273"/>
    </row>
    <row r="228" spans="2:5" ht="18.75" customHeight="1">
      <c r="B228" s="818" t="s">
        <v>1347</v>
      </c>
      <c r="C228" s="56"/>
      <c r="D228" s="220"/>
      <c r="E228" s="56"/>
    </row>
    <row r="229" spans="2:5">
      <c r="B229" s="232" t="s">
        <v>382</v>
      </c>
      <c r="C229" s="220"/>
      <c r="D229" s="220"/>
      <c r="E229" s="56"/>
    </row>
    <row r="230" spans="2:5">
      <c r="B230" s="801" t="s">
        <v>1348</v>
      </c>
      <c r="C230" s="884">
        <f>3175122</f>
        <v>3175122</v>
      </c>
      <c r="D230" s="884">
        <v>3175122</v>
      </c>
      <c r="E230" s="220"/>
    </row>
    <row r="231" spans="2:5">
      <c r="B231" s="801" t="s">
        <v>1349</v>
      </c>
      <c r="C231" s="221">
        <f>C230/C201</f>
        <v>0.52967129612175401</v>
      </c>
      <c r="D231" s="221">
        <f>(D230/C211)</f>
        <v>0.53414897692110863</v>
      </c>
      <c r="E231" s="221"/>
    </row>
    <row r="232" spans="2:5">
      <c r="B232" s="801" t="s">
        <v>1350</v>
      </c>
      <c r="C232" s="220"/>
      <c r="D232" s="220"/>
      <c r="E232" s="221"/>
    </row>
    <row r="233" spans="2:5">
      <c r="B233" s="819" t="s">
        <v>381</v>
      </c>
      <c r="C233" s="220"/>
      <c r="D233" s="220"/>
      <c r="E233" s="221"/>
    </row>
    <row r="234" spans="2:5" s="223" customFormat="1">
      <c r="B234" s="801" t="s">
        <v>1348</v>
      </c>
      <c r="C234" s="884">
        <f>600000</f>
        <v>600000</v>
      </c>
      <c r="D234" s="884">
        <f>600000</f>
        <v>600000</v>
      </c>
      <c r="E234" s="222"/>
    </row>
    <row r="235" spans="2:5">
      <c r="B235" s="801" t="s">
        <v>1349</v>
      </c>
      <c r="C235" s="221">
        <f>C234/C201</f>
        <v>0.1000915170103865</v>
      </c>
      <c r="D235" s="221">
        <f>D234/C211</f>
        <v>0.10093766039625097</v>
      </c>
      <c r="E235" s="220"/>
    </row>
    <row r="236" spans="2:5">
      <c r="B236" s="801" t="s">
        <v>1350</v>
      </c>
      <c r="C236" s="220"/>
      <c r="D236" s="220"/>
      <c r="E236" s="220"/>
    </row>
    <row r="237" spans="2:5">
      <c r="B237" s="801"/>
      <c r="C237" s="220"/>
      <c r="D237" s="220"/>
      <c r="E237" s="220"/>
    </row>
    <row r="238" spans="2:5">
      <c r="B238" s="819" t="s">
        <v>145</v>
      </c>
      <c r="C238" s="220"/>
      <c r="D238" s="220"/>
      <c r="E238" s="220"/>
    </row>
    <row r="239" spans="2:5">
      <c r="B239" s="801" t="s">
        <v>1348</v>
      </c>
      <c r="C239" s="884">
        <v>151110</v>
      </c>
      <c r="D239" s="884">
        <v>110909</v>
      </c>
      <c r="E239" s="220"/>
    </row>
    <row r="240" spans="2:5">
      <c r="B240" s="801" t="s">
        <v>1349</v>
      </c>
      <c r="C240" s="221">
        <f>C239/C201</f>
        <v>2.5208048559065839E-2</v>
      </c>
      <c r="D240" s="221">
        <f>D239/C211</f>
        <v>1.8658158294812998E-2</v>
      </c>
      <c r="E240" s="220"/>
    </row>
    <row r="241" spans="2:5">
      <c r="B241" s="801" t="s">
        <v>1350</v>
      </c>
      <c r="C241" s="220"/>
      <c r="D241" s="220"/>
      <c r="E241" s="220"/>
    </row>
    <row r="242" spans="2:5">
      <c r="B242" s="801"/>
      <c r="C242" s="220"/>
      <c r="D242" s="220"/>
      <c r="E242" s="220"/>
    </row>
    <row r="243" spans="2:5">
      <c r="B243" s="819" t="s">
        <v>1083</v>
      </c>
      <c r="C243" s="220"/>
      <c r="D243" s="220"/>
      <c r="E243" s="220"/>
    </row>
    <row r="244" spans="2:5">
      <c r="B244" s="801" t="s">
        <v>1348</v>
      </c>
      <c r="C244" s="884">
        <f>15152</f>
        <v>15152</v>
      </c>
      <c r="D244" s="884">
        <f>15152</f>
        <v>15152</v>
      </c>
      <c r="E244" s="220"/>
    </row>
    <row r="245" spans="2:5">
      <c r="B245" s="801" t="s">
        <v>1349</v>
      </c>
      <c r="C245" s="221">
        <f>C244/C201</f>
        <v>2.5276444429022937E-3</v>
      </c>
      <c r="D245" s="221">
        <f>D244/C211</f>
        <v>2.5490123838733244E-3</v>
      </c>
      <c r="E245" s="220"/>
    </row>
    <row r="246" spans="2:5">
      <c r="B246" s="801" t="s">
        <v>1350</v>
      </c>
      <c r="C246" s="220"/>
      <c r="D246" s="220"/>
      <c r="E246" s="220"/>
    </row>
    <row r="247" spans="2:5">
      <c r="B247" s="819" t="s">
        <v>51</v>
      </c>
      <c r="C247" s="220"/>
      <c r="D247" s="220"/>
      <c r="E247" s="220"/>
    </row>
    <row r="248" spans="2:5">
      <c r="B248" s="801" t="s">
        <v>1348</v>
      </c>
      <c r="C248" s="884">
        <f>C230+C234+C239+C244</f>
        <v>3941384</v>
      </c>
      <c r="D248" s="884">
        <f>D230+D234+D239+D244</f>
        <v>3901183</v>
      </c>
      <c r="E248" s="220"/>
    </row>
    <row r="249" spans="2:5">
      <c r="B249" s="801" t="s">
        <v>1349</v>
      </c>
      <c r="C249" s="221">
        <f>C248/C201</f>
        <v>0.65749850613410865</v>
      </c>
      <c r="D249" s="221">
        <f>D248/C211</f>
        <v>0.65629380799604597</v>
      </c>
      <c r="E249" s="220"/>
    </row>
    <row r="250" spans="2:5">
      <c r="B250" s="801" t="s">
        <v>1350</v>
      </c>
      <c r="C250" s="220"/>
      <c r="D250" s="220"/>
      <c r="E250" s="220"/>
    </row>
    <row r="251" spans="2:5">
      <c r="B251" s="801"/>
      <c r="C251" s="220"/>
      <c r="D251" s="220"/>
      <c r="E251" s="220"/>
    </row>
    <row r="252" spans="2:5">
      <c r="B252" s="817"/>
      <c r="C252" s="179"/>
      <c r="D252" s="179"/>
      <c r="E252" s="220"/>
    </row>
    <row r="253" spans="2:5">
      <c r="B253" s="820"/>
      <c r="C253" s="74"/>
      <c r="D253" s="74"/>
      <c r="E253" s="793"/>
    </row>
    <row r="254" spans="2:5" ht="16" hidden="1" thickBot="1">
      <c r="B254" s="223" t="s">
        <v>1344</v>
      </c>
    </row>
    <row r="255" spans="2:5" ht="32" hidden="1">
      <c r="B255" s="784" t="s">
        <v>0</v>
      </c>
      <c r="C255" s="273" t="str">
        <f>+C217</f>
        <v xml:space="preserve"> As at  31st March, 2023</v>
      </c>
      <c r="D255" s="273" t="str">
        <f>+D217</f>
        <v xml:space="preserve"> As at  31st March, 2022</v>
      </c>
      <c r="E255" s="273"/>
    </row>
    <row r="256" spans="2:5" ht="7.5" hidden="1" customHeight="1">
      <c r="B256" s="787"/>
      <c r="C256" s="56"/>
      <c r="D256" s="220"/>
      <c r="E256" s="56"/>
    </row>
    <row r="257" spans="1:5" hidden="1">
      <c r="B257" s="232" t="s">
        <v>557</v>
      </c>
      <c r="C257" s="220"/>
      <c r="D257" s="220"/>
      <c r="E257" s="56"/>
    </row>
    <row r="258" spans="1:5" hidden="1">
      <c r="B258" s="801" t="s">
        <v>383</v>
      </c>
      <c r="C258" s="220">
        <f>C275</f>
        <v>0</v>
      </c>
      <c r="D258" s="220">
        <f>D275</f>
        <v>0</v>
      </c>
      <c r="E258" s="220"/>
    </row>
    <row r="259" spans="1:5" hidden="1">
      <c r="B259" s="801" t="s">
        <v>559</v>
      </c>
      <c r="C259" s="220">
        <f>+C258*10</f>
        <v>0</v>
      </c>
      <c r="D259" s="220">
        <f>+D258*10</f>
        <v>0</v>
      </c>
      <c r="E259" s="221"/>
    </row>
    <row r="260" spans="1:5" s="223" customFormat="1" hidden="1">
      <c r="B260" s="232" t="s">
        <v>798</v>
      </c>
      <c r="C260" s="222"/>
      <c r="D260" s="222"/>
      <c r="E260" s="222"/>
    </row>
    <row r="261" spans="1:5" hidden="1">
      <c r="B261" s="801" t="s">
        <v>560</v>
      </c>
      <c r="C261" s="220">
        <v>0</v>
      </c>
      <c r="D261" s="220">
        <f>ROUND(16000000/35,0)</f>
        <v>457143</v>
      </c>
      <c r="E261" s="220"/>
    </row>
    <row r="262" spans="1:5" hidden="1">
      <c r="B262" s="817" t="s">
        <v>558</v>
      </c>
      <c r="C262" s="179">
        <f>+C261*10</f>
        <v>0</v>
      </c>
      <c r="D262" s="179">
        <f>+D261*10</f>
        <v>4571430</v>
      </c>
      <c r="E262" s="816"/>
    </row>
    <row r="263" spans="1:5" ht="7.5" customHeight="1">
      <c r="B263" s="821"/>
      <c r="C263" s="822"/>
      <c r="D263" s="822"/>
      <c r="E263" s="822"/>
    </row>
    <row r="264" spans="1:5">
      <c r="B264" s="223" t="s">
        <v>562</v>
      </c>
      <c r="C264" s="822"/>
      <c r="D264" s="822"/>
      <c r="E264" s="822"/>
    </row>
    <row r="265" spans="1:5">
      <c r="B265" s="224" t="s">
        <v>563</v>
      </c>
      <c r="C265" s="822"/>
      <c r="D265" s="822"/>
      <c r="E265" s="822"/>
    </row>
    <row r="266" spans="1:5" ht="88.5" customHeight="1">
      <c r="B266" s="1012" t="s">
        <v>1728</v>
      </c>
      <c r="C266" s="1014"/>
      <c r="D266" s="1014"/>
      <c r="E266" s="822"/>
    </row>
    <row r="267" spans="1:5" ht="32">
      <c r="B267" s="356" t="s">
        <v>0</v>
      </c>
      <c r="C267" s="785" t="str">
        <f>+C255</f>
        <v xml:space="preserve"> As at  31st March, 2023</v>
      </c>
      <c r="D267" s="55" t="str">
        <f>+D255</f>
        <v xml:space="preserve"> As at  31st March, 2022</v>
      </c>
      <c r="E267" s="822"/>
    </row>
    <row r="268" spans="1:5">
      <c r="B268" s="823" t="s">
        <v>1722</v>
      </c>
      <c r="C268" s="1024" t="s">
        <v>1249</v>
      </c>
      <c r="D268" s="360">
        <v>10</v>
      </c>
      <c r="E268" s="822"/>
    </row>
    <row r="269" spans="1:5">
      <c r="B269" s="237" t="s">
        <v>832</v>
      </c>
      <c r="C269" s="1025"/>
      <c r="D269" s="824">
        <v>43525</v>
      </c>
      <c r="E269" s="822"/>
    </row>
    <row r="270" spans="1:5" ht="32">
      <c r="B270" s="825" t="s">
        <v>541</v>
      </c>
      <c r="C270" s="1025"/>
      <c r="D270" s="826" t="s">
        <v>1437</v>
      </c>
      <c r="E270" s="822"/>
    </row>
    <row r="271" spans="1:5" s="224" customFormat="1" ht="16">
      <c r="A271" s="223"/>
      <c r="B271" s="225" t="s">
        <v>1054</v>
      </c>
      <c r="C271" s="1025"/>
      <c r="D271" s="867">
        <v>50000</v>
      </c>
      <c r="E271" s="822"/>
    </row>
    <row r="272" spans="1:5" s="224" customFormat="1" ht="16">
      <c r="A272" s="223"/>
      <c r="B272" s="225" t="s">
        <v>1055</v>
      </c>
      <c r="C272" s="1025"/>
      <c r="D272" s="226">
        <v>0</v>
      </c>
      <c r="E272" s="822"/>
    </row>
    <row r="273" spans="1:5" s="224" customFormat="1" ht="16">
      <c r="A273" s="223"/>
      <c r="B273" s="225" t="s">
        <v>542</v>
      </c>
      <c r="C273" s="1025"/>
      <c r="D273" s="867">
        <v>37000</v>
      </c>
      <c r="E273" s="822"/>
    </row>
    <row r="274" spans="1:5" s="224" customFormat="1" ht="16">
      <c r="A274" s="223"/>
      <c r="B274" s="225" t="s">
        <v>1056</v>
      </c>
      <c r="C274" s="1025"/>
      <c r="D274" s="867">
        <v>13000</v>
      </c>
      <c r="E274" s="822"/>
    </row>
    <row r="275" spans="1:5" ht="16">
      <c r="B275" s="225" t="s">
        <v>833</v>
      </c>
      <c r="C275" s="1025"/>
      <c r="D275" s="226">
        <v>0</v>
      </c>
      <c r="E275" s="74">
        <v>100000</v>
      </c>
    </row>
    <row r="276" spans="1:5">
      <c r="B276" s="237" t="s">
        <v>543</v>
      </c>
      <c r="C276" s="1025"/>
      <c r="D276" s="226"/>
      <c r="E276" s="822"/>
    </row>
    <row r="277" spans="1:5">
      <c r="B277" s="237" t="s">
        <v>834</v>
      </c>
      <c r="C277" s="1025"/>
      <c r="D277" s="226">
        <v>0</v>
      </c>
      <c r="E277" s="822"/>
    </row>
    <row r="278" spans="1:5">
      <c r="B278" s="237" t="s">
        <v>1019</v>
      </c>
      <c r="C278" s="1025"/>
      <c r="D278" s="226">
        <v>0</v>
      </c>
      <c r="E278" s="822"/>
    </row>
    <row r="279" spans="1:5">
      <c r="B279" s="364"/>
      <c r="C279" s="1026"/>
      <c r="D279" s="364"/>
      <c r="E279" s="822"/>
    </row>
    <row r="280" spans="1:5" ht="86.25" customHeight="1">
      <c r="B280" s="1018" t="s">
        <v>1688</v>
      </c>
      <c r="C280" s="1018"/>
      <c r="D280" s="1018"/>
      <c r="E280" s="822"/>
    </row>
    <row r="281" spans="1:5" ht="36.75" customHeight="1">
      <c r="B281" s="1012" t="s">
        <v>1014</v>
      </c>
      <c r="C281" s="1012"/>
      <c r="D281" s="1012"/>
      <c r="E281" s="822"/>
    </row>
    <row r="282" spans="1:5" ht="32">
      <c r="B282" s="356" t="s">
        <v>0</v>
      </c>
      <c r="C282" s="55" t="str">
        <f>+C267</f>
        <v xml:space="preserve"> As at  31st March, 2023</v>
      </c>
      <c r="D282" s="55" t="str">
        <f>+D267</f>
        <v xml:space="preserve"> As at  31st March, 2022</v>
      </c>
      <c r="E282" s="822"/>
    </row>
    <row r="283" spans="1:5">
      <c r="B283" s="827" t="s">
        <v>1015</v>
      </c>
      <c r="C283" s="1020" t="s">
        <v>1249</v>
      </c>
      <c r="D283" s="828">
        <v>6.8000000000000005E-2</v>
      </c>
      <c r="E283" s="822"/>
    </row>
    <row r="284" spans="1:5">
      <c r="B284" s="2" t="s">
        <v>1023</v>
      </c>
      <c r="C284" s="1021"/>
      <c r="D284" s="12" t="s">
        <v>1186</v>
      </c>
      <c r="E284" s="822"/>
    </row>
    <row r="285" spans="1:5">
      <c r="B285" s="2" t="s">
        <v>1020</v>
      </c>
      <c r="C285" s="1021"/>
      <c r="D285" s="829">
        <v>0.36919999999999997</v>
      </c>
      <c r="E285" s="822"/>
    </row>
    <row r="286" spans="1:5">
      <c r="B286" s="2" t="s">
        <v>1021</v>
      </c>
      <c r="C286" s="1021"/>
      <c r="D286" s="830" t="s">
        <v>1016</v>
      </c>
      <c r="E286" s="822"/>
    </row>
    <row r="287" spans="1:5">
      <c r="B287" s="2" t="s">
        <v>1723</v>
      </c>
      <c r="C287" s="1021"/>
      <c r="D287" s="11">
        <v>66</v>
      </c>
      <c r="E287" s="822"/>
    </row>
    <row r="288" spans="1:5">
      <c r="B288" s="2" t="s">
        <v>1022</v>
      </c>
      <c r="C288" s="1022"/>
      <c r="D288" s="226">
        <v>10</v>
      </c>
      <c r="E288" s="822"/>
    </row>
    <row r="289" spans="1:14" ht="104.5" customHeight="1">
      <c r="B289" s="831" t="s">
        <v>1017</v>
      </c>
      <c r="C289" s="1019" t="s">
        <v>1689</v>
      </c>
      <c r="D289" s="1019"/>
      <c r="E289" s="822"/>
    </row>
    <row r="290" spans="1:14">
      <c r="B290" s="241"/>
      <c r="C290" s="241"/>
      <c r="D290" s="241"/>
      <c r="E290" s="822"/>
    </row>
    <row r="291" spans="1:14">
      <c r="A291" s="223">
        <f>+A164+1</f>
        <v>16</v>
      </c>
      <c r="B291" s="223" t="s">
        <v>372</v>
      </c>
      <c r="E291" s="822"/>
    </row>
    <row r="292" spans="1:14" ht="33" thickBot="1">
      <c r="A292" s="269"/>
      <c r="B292" s="832" t="s">
        <v>0</v>
      </c>
      <c r="C292" s="785" t="str">
        <f>+C217</f>
        <v xml:space="preserve"> As at  31st March, 2023</v>
      </c>
      <c r="D292" s="785" t="str">
        <f>+D217</f>
        <v xml:space="preserve"> As at  31st March, 2022</v>
      </c>
    </row>
    <row r="293" spans="1:14">
      <c r="B293" s="358" t="s">
        <v>373</v>
      </c>
      <c r="C293" s="360"/>
      <c r="D293" s="833"/>
      <c r="E293" s="273"/>
    </row>
    <row r="294" spans="1:14">
      <c r="B294" s="2" t="s">
        <v>1192</v>
      </c>
      <c r="C294" s="867">
        <f>D299</f>
        <v>16790451</v>
      </c>
      <c r="D294" s="867">
        <v>-62640902</v>
      </c>
      <c r="E294" s="360"/>
      <c r="M294" s="834">
        <f>D294/1000</f>
        <v>-62640.902000000002</v>
      </c>
      <c r="N294" s="280"/>
    </row>
    <row r="295" spans="1:14">
      <c r="B295" s="365" t="s">
        <v>68</v>
      </c>
      <c r="C295" s="867"/>
      <c r="D295" s="867"/>
      <c r="E295" s="226"/>
      <c r="F295" s="269" t="s">
        <v>463</v>
      </c>
    </row>
    <row r="296" spans="1:14">
      <c r="B296" s="237" t="s">
        <v>835</v>
      </c>
      <c r="C296" s="867">
        <f>PL!D27</f>
        <v>-70108956</v>
      </c>
      <c r="D296" s="867">
        <f>PL!E27</f>
        <v>-60115399</v>
      </c>
      <c r="E296" s="226"/>
      <c r="F296" s="269" t="s">
        <v>464</v>
      </c>
      <c r="M296" s="834">
        <f t="shared" ref="M296:M303" si="0">D296/1000</f>
        <v>-60115.398999999998</v>
      </c>
      <c r="N296" s="280"/>
    </row>
    <row r="297" spans="1:14">
      <c r="B297" s="237" t="s">
        <v>1045</v>
      </c>
      <c r="C297" s="867">
        <f>+SOCE!C23</f>
        <v>4497465</v>
      </c>
      <c r="D297" s="867">
        <f>SOCE!E33</f>
        <v>137472902</v>
      </c>
      <c r="E297" s="226"/>
      <c r="M297" s="834">
        <f t="shared" si="0"/>
        <v>137472.902</v>
      </c>
    </row>
    <row r="298" spans="1:14">
      <c r="B298" s="2" t="s">
        <v>836</v>
      </c>
      <c r="C298" s="867">
        <f>+SOCE!E25</f>
        <v>0</v>
      </c>
      <c r="D298" s="892">
        <f>SOCE!E35</f>
        <v>2073850</v>
      </c>
      <c r="E298" s="226"/>
      <c r="M298" s="834">
        <f t="shared" si="0"/>
        <v>2073.85</v>
      </c>
    </row>
    <row r="299" spans="1:14">
      <c r="B299" s="365"/>
      <c r="C299" s="893">
        <f>SUM(C294:C298)</f>
        <v>-48821040</v>
      </c>
      <c r="D299" s="893">
        <f>SUM(D294:D298)</f>
        <v>16790451</v>
      </c>
      <c r="E299" s="226"/>
      <c r="M299" s="834">
        <f>SUM(M294:M298)</f>
        <v>16790.450999999994</v>
      </c>
    </row>
    <row r="300" spans="1:14">
      <c r="B300" s="365" t="s">
        <v>374</v>
      </c>
      <c r="C300" s="867"/>
      <c r="D300" s="867"/>
      <c r="E300" s="835"/>
      <c r="M300" s="834">
        <f t="shared" si="0"/>
        <v>0</v>
      </c>
    </row>
    <row r="301" spans="1:14">
      <c r="B301" s="2" t="s">
        <v>1192</v>
      </c>
      <c r="C301" s="867">
        <f>+D304</f>
        <v>-154683</v>
      </c>
      <c r="D301" s="867">
        <f>-ROUND(153024,)</f>
        <v>-153024</v>
      </c>
      <c r="E301" s="226"/>
      <c r="M301" s="834">
        <f t="shared" si="0"/>
        <v>-153.024</v>
      </c>
    </row>
    <row r="302" spans="1:14">
      <c r="B302" s="237" t="s">
        <v>837</v>
      </c>
      <c r="C302" s="867">
        <f>(PL!D31+PL!D32)</f>
        <v>-42449</v>
      </c>
      <c r="D302" s="867">
        <f>+PL!E31+PL!E32</f>
        <v>-1661</v>
      </c>
      <c r="E302" s="226"/>
      <c r="M302" s="834">
        <f t="shared" si="0"/>
        <v>-1.661</v>
      </c>
    </row>
    <row r="303" spans="1:14">
      <c r="B303" s="237"/>
      <c r="C303" s="867"/>
      <c r="D303" s="892"/>
      <c r="E303" s="226"/>
      <c r="M303" s="834">
        <f t="shared" si="0"/>
        <v>0</v>
      </c>
      <c r="N303" s="280"/>
    </row>
    <row r="304" spans="1:14">
      <c r="B304" s="237"/>
      <c r="C304" s="893">
        <f>SUM(C301:C302)</f>
        <v>-197132</v>
      </c>
      <c r="D304" s="893">
        <f>SUM(D301:D302)+2</f>
        <v>-154683</v>
      </c>
      <c r="E304" s="226"/>
      <c r="M304" s="834">
        <f>SUM(M300:M303)</f>
        <v>-154.685</v>
      </c>
    </row>
    <row r="305" spans="1:15">
      <c r="B305" s="237"/>
      <c r="C305" s="867"/>
      <c r="D305" s="867"/>
      <c r="E305" s="835"/>
    </row>
    <row r="306" spans="1:15" ht="16" thickBot="1">
      <c r="B306" s="364" t="s">
        <v>51</v>
      </c>
      <c r="C306" s="858">
        <f>+C299+C304</f>
        <v>-49018172</v>
      </c>
      <c r="D306" s="858">
        <f>+D299+D304</f>
        <v>16635768</v>
      </c>
      <c r="E306" s="226"/>
      <c r="M306" s="280">
        <f>M299+M304</f>
        <v>16635.765999999992</v>
      </c>
      <c r="N306" s="280"/>
      <c r="O306" s="280"/>
    </row>
    <row r="307" spans="1:15" ht="17" thickTop="1" thickBot="1">
      <c r="E307" s="58"/>
    </row>
    <row r="308" spans="1:15" ht="16" thickTop="1">
      <c r="A308" s="223">
        <f>+A291+1</f>
        <v>17</v>
      </c>
      <c r="B308" s="223" t="s">
        <v>1402</v>
      </c>
    </row>
    <row r="309" spans="1:15" ht="33" thickBot="1">
      <c r="B309" s="784" t="s">
        <v>0</v>
      </c>
      <c r="C309" s="785" t="str">
        <f>+C292</f>
        <v xml:space="preserve"> As at  31st March, 2023</v>
      </c>
      <c r="D309" s="785" t="str">
        <f>+D292</f>
        <v xml:space="preserve"> As at  31st March, 2022</v>
      </c>
      <c r="E309" s="783"/>
    </row>
    <row r="310" spans="1:15">
      <c r="B310" s="232"/>
      <c r="C310" s="56"/>
      <c r="D310" s="220"/>
      <c r="E310" s="273"/>
      <c r="N310" s="280"/>
    </row>
    <row r="311" spans="1:15">
      <c r="B311" s="232" t="s">
        <v>1622</v>
      </c>
      <c r="C311" s="884">
        <f>ROUND('BS Grouping'!K21,)</f>
        <v>275494</v>
      </c>
      <c r="D311" s="884">
        <f>ROU!G51</f>
        <v>601531.54565215239</v>
      </c>
      <c r="E311" s="836"/>
    </row>
    <row r="312" spans="1:15">
      <c r="B312" s="232" t="s">
        <v>1623</v>
      </c>
      <c r="C312" s="884">
        <f>ROUND('BS Grouping'!K58,)</f>
        <v>326038</v>
      </c>
      <c r="D312" s="884">
        <f>ROU!F51</f>
        <v>274741</v>
      </c>
      <c r="E312" s="836"/>
    </row>
    <row r="313" spans="1:15">
      <c r="B313" s="219"/>
      <c r="C313" s="856"/>
      <c r="D313" s="884"/>
      <c r="E313" s="56"/>
      <c r="F313" s="269" t="s">
        <v>460</v>
      </c>
    </row>
    <row r="314" spans="1:15" ht="16" thickBot="1">
      <c r="B314" s="791" t="s">
        <v>51</v>
      </c>
      <c r="C314" s="887">
        <f>SUM(C311:C313)</f>
        <v>601532</v>
      </c>
      <c r="D314" s="887">
        <f>SUM(D311:D313)</f>
        <v>876272.54565215239</v>
      </c>
      <c r="E314" s="56"/>
      <c r="F314" s="280"/>
    </row>
    <row r="315" spans="1:15" ht="16" thickTop="1">
      <c r="B315" s="223"/>
      <c r="C315" s="793"/>
      <c r="D315" s="793"/>
      <c r="E315" s="793"/>
      <c r="F315" s="280"/>
    </row>
    <row r="316" spans="1:15">
      <c r="A316" s="223">
        <f>A308+1</f>
        <v>18</v>
      </c>
      <c r="B316" s="223" t="s">
        <v>366</v>
      </c>
    </row>
    <row r="317" spans="1:15" ht="33" thickBot="1">
      <c r="B317" s="784" t="s">
        <v>0</v>
      </c>
      <c r="C317" s="785" t="str">
        <f>C309</f>
        <v xml:space="preserve"> As at  31st March, 2023</v>
      </c>
      <c r="D317" s="785" t="str">
        <f>D309</f>
        <v xml:space="preserve"> As at  31st March, 2022</v>
      </c>
      <c r="E317" s="783"/>
    </row>
    <row r="318" spans="1:15">
      <c r="B318" s="798"/>
      <c r="C318" s="56"/>
      <c r="D318" s="220"/>
      <c r="E318" s="273"/>
    </row>
    <row r="319" spans="1:15">
      <c r="B319" s="219" t="s">
        <v>234</v>
      </c>
      <c r="C319" s="884">
        <f>ROUND('BS Grouping'!K38,0)</f>
        <v>709507</v>
      </c>
      <c r="D319" s="884">
        <f>ROUND('BS Grouping'!T38,0)</f>
        <v>468247</v>
      </c>
      <c r="E319" s="56"/>
    </row>
    <row r="320" spans="1:15">
      <c r="B320" s="219" t="s">
        <v>235</v>
      </c>
      <c r="C320" s="884">
        <f>ROUND('BS Grouping'!K42,0)</f>
        <v>1504017</v>
      </c>
      <c r="D320" s="884">
        <f>ROUND('BS Grouping'!T42,0)</f>
        <v>1188838</v>
      </c>
      <c r="E320" s="56"/>
      <c r="F320" s="269" t="s">
        <v>375</v>
      </c>
    </row>
    <row r="321" spans="1:16">
      <c r="B321" s="219"/>
      <c r="C321" s="856"/>
      <c r="D321" s="884"/>
      <c r="E321" s="56"/>
      <c r="F321" s="269" t="s">
        <v>375</v>
      </c>
    </row>
    <row r="322" spans="1:16" ht="16" thickBot="1">
      <c r="B322" s="791" t="s">
        <v>51</v>
      </c>
      <c r="C322" s="887">
        <f>SUM(C319:C321)+1</f>
        <v>2213525</v>
      </c>
      <c r="D322" s="887">
        <f>SUM(D319:D321)</f>
        <v>1657085</v>
      </c>
      <c r="E322" s="56"/>
      <c r="P322" s="280"/>
    </row>
    <row r="323" spans="1:16" ht="17" thickTop="1" thickBot="1">
      <c r="E323" s="792"/>
      <c r="I323" s="280">
        <f>D322-C322</f>
        <v>-556440</v>
      </c>
    </row>
    <row r="324" spans="1:16" ht="16" thickTop="1">
      <c r="A324" s="223">
        <f>A316+1</f>
        <v>19</v>
      </c>
      <c r="B324" s="6" t="s">
        <v>367</v>
      </c>
      <c r="E324" s="793"/>
    </row>
    <row r="325" spans="1:16" ht="33" thickBot="1">
      <c r="B325" s="784" t="s">
        <v>0</v>
      </c>
      <c r="C325" s="785" t="str">
        <f>+C317</f>
        <v xml:space="preserve"> As at  31st March, 2023</v>
      </c>
      <c r="D325" s="785" t="str">
        <f>+D317</f>
        <v xml:space="preserve"> As at  31st March, 2022</v>
      </c>
      <c r="E325" s="783"/>
    </row>
    <row r="326" spans="1:16">
      <c r="B326" s="787" t="s">
        <v>1037</v>
      </c>
      <c r="C326" s="56"/>
      <c r="D326" s="220"/>
      <c r="E326" s="273"/>
      <c r="G326" s="269" t="s">
        <v>236</v>
      </c>
    </row>
    <row r="327" spans="1:16">
      <c r="B327" s="232" t="s">
        <v>459</v>
      </c>
      <c r="C327" s="220"/>
      <c r="D327" s="220"/>
      <c r="E327" s="836"/>
    </row>
    <row r="328" spans="1:16">
      <c r="B328" s="219" t="s">
        <v>1061</v>
      </c>
      <c r="C328" s="884">
        <f>ROUND('BS Grouping'!K50,0)-1</f>
        <v>9604114</v>
      </c>
      <c r="D328" s="884">
        <f>ROUND('BS Grouping'!L50,0)</f>
        <v>0</v>
      </c>
      <c r="E328" s="56"/>
    </row>
    <row r="329" spans="1:16">
      <c r="B329" s="219"/>
      <c r="C329" s="884"/>
      <c r="D329" s="884"/>
      <c r="E329" s="56"/>
    </row>
    <row r="330" spans="1:16">
      <c r="B330" s="232" t="s">
        <v>1038</v>
      </c>
      <c r="C330" s="856"/>
      <c r="D330" s="884"/>
      <c r="E330" s="56"/>
      <c r="F330" s="269" t="s">
        <v>460</v>
      </c>
    </row>
    <row r="331" spans="1:16">
      <c r="B331" s="232" t="s">
        <v>459</v>
      </c>
      <c r="C331" s="856"/>
      <c r="D331" s="884"/>
      <c r="E331" s="56"/>
    </row>
    <row r="332" spans="1:16">
      <c r="B332" s="232" t="s">
        <v>1039</v>
      </c>
      <c r="C332" s="856"/>
      <c r="D332" s="884"/>
      <c r="E332" s="56"/>
    </row>
    <row r="333" spans="1:16">
      <c r="B333" s="219" t="s">
        <v>1040</v>
      </c>
      <c r="C333" s="856"/>
      <c r="D333" s="884"/>
      <c r="E333" s="56"/>
      <c r="M333" s="269" t="s">
        <v>1240</v>
      </c>
    </row>
    <row r="334" spans="1:16">
      <c r="B334" s="232" t="s">
        <v>1335</v>
      </c>
      <c r="C334" s="856">
        <f>ROUND('BS Grouping'!K55,0)</f>
        <v>5707495</v>
      </c>
      <c r="D334" s="856">
        <f>ROUND('BS Grouping'!T55,0)</f>
        <v>2843006</v>
      </c>
      <c r="E334" s="56"/>
    </row>
    <row r="335" spans="1:16">
      <c r="B335" s="219"/>
      <c r="C335" s="856"/>
      <c r="D335" s="884"/>
      <c r="E335" s="56"/>
    </row>
    <row r="336" spans="1:16">
      <c r="B336" s="219"/>
      <c r="C336" s="856"/>
      <c r="D336" s="884"/>
      <c r="E336" s="56"/>
    </row>
    <row r="337" spans="1:14" ht="16" thickBot="1">
      <c r="B337" s="791" t="s">
        <v>51</v>
      </c>
      <c r="C337" s="887">
        <f>SUM(C328:C335)</f>
        <v>15311609</v>
      </c>
      <c r="D337" s="887">
        <f>SUM(D328:D335)</f>
        <v>2843006</v>
      </c>
      <c r="E337" s="56"/>
    </row>
    <row r="338" spans="1:14" ht="17" thickTop="1" thickBot="1">
      <c r="E338" s="792"/>
    </row>
    <row r="339" spans="1:14" ht="106" customHeight="1" thickTop="1">
      <c r="B339" s="1013" t="s">
        <v>1724</v>
      </c>
      <c r="C339" s="1014"/>
      <c r="D339" s="1014"/>
      <c r="E339" s="224" t="s">
        <v>1677</v>
      </c>
    </row>
    <row r="340" spans="1:14">
      <c r="E340" s="794"/>
      <c r="G340" s="837" t="s">
        <v>368</v>
      </c>
    </row>
    <row r="341" spans="1:14">
      <c r="A341" s="223">
        <f>A324+1</f>
        <v>20</v>
      </c>
      <c r="B341" s="6" t="s">
        <v>116</v>
      </c>
    </row>
    <row r="342" spans="1:14" ht="33" thickBot="1">
      <c r="B342" s="784" t="s">
        <v>0</v>
      </c>
      <c r="C342" s="785" t="str">
        <f>+C325</f>
        <v xml:space="preserve"> As at  31st March, 2023</v>
      </c>
      <c r="D342" s="785" t="str">
        <f>+D325</f>
        <v xml:space="preserve"> As at  31st March, 2022</v>
      </c>
      <c r="E342" s="783"/>
    </row>
    <row r="343" spans="1:14">
      <c r="B343" s="787"/>
      <c r="C343" s="56"/>
      <c r="D343" s="220"/>
      <c r="E343" s="273"/>
      <c r="G343" s="269" t="s">
        <v>238</v>
      </c>
    </row>
    <row r="344" spans="1:14">
      <c r="B344" s="219" t="s">
        <v>237</v>
      </c>
      <c r="C344" s="884">
        <f>C357</f>
        <v>21277182</v>
      </c>
      <c r="D344" s="884">
        <f>ROUND('BS Grouping'!T63,0)</f>
        <v>5514596</v>
      </c>
      <c r="E344" s="56"/>
      <c r="G344" s="269">
        <f>ROUND('BS Grouping'!K63,0)</f>
        <v>19954301</v>
      </c>
    </row>
    <row r="345" spans="1:14">
      <c r="B345" s="219" t="s">
        <v>69</v>
      </c>
      <c r="C345" s="884">
        <f>C363</f>
        <v>27088910</v>
      </c>
      <c r="D345" s="884">
        <f>ROUND('BS Grouping'!T67,0)</f>
        <v>29121860</v>
      </c>
      <c r="E345" s="56"/>
      <c r="G345" s="269">
        <f>ROUND('BS Grouping'!K67,0)</f>
        <v>28411779</v>
      </c>
    </row>
    <row r="346" spans="1:14">
      <c r="B346" s="219"/>
      <c r="C346" s="856"/>
      <c r="D346" s="884"/>
      <c r="E346" s="56"/>
      <c r="F346" s="269" t="s">
        <v>460</v>
      </c>
      <c r="N346" s="280"/>
    </row>
    <row r="347" spans="1:14" ht="16" thickBot="1">
      <c r="B347" s="791" t="s">
        <v>51</v>
      </c>
      <c r="C347" s="887">
        <f>SUM(C344:C346)</f>
        <v>48366092</v>
      </c>
      <c r="D347" s="887">
        <f>SUM(D344:D346)</f>
        <v>34636456</v>
      </c>
      <c r="E347" s="56"/>
      <c r="G347" s="269">
        <f>SUM(G344:G346)</f>
        <v>48366080</v>
      </c>
      <c r="H347" s="280">
        <f>C347-G347</f>
        <v>12</v>
      </c>
    </row>
    <row r="348" spans="1:14" ht="16" thickTop="1">
      <c r="B348" s="223"/>
      <c r="C348" s="793"/>
      <c r="D348" s="793"/>
      <c r="E348" s="56"/>
    </row>
    <row r="349" spans="1:14">
      <c r="B349" s="223" t="s">
        <v>1430</v>
      </c>
      <c r="C349" s="793"/>
      <c r="D349" s="793"/>
      <c r="E349" s="56"/>
    </row>
    <row r="350" spans="1:14" ht="32">
      <c r="B350" s="784" t="s">
        <v>0</v>
      </c>
      <c r="C350" s="785" t="str">
        <f>+C342</f>
        <v xml:space="preserve"> As at  31st March, 2023</v>
      </c>
      <c r="D350" s="785" t="str">
        <f>+D342</f>
        <v xml:space="preserve"> As at  31st March, 2022</v>
      </c>
      <c r="E350" s="56"/>
    </row>
    <row r="351" spans="1:14">
      <c r="B351" s="818"/>
      <c r="C351" s="838"/>
      <c r="D351" s="839"/>
      <c r="E351" s="56"/>
    </row>
    <row r="352" spans="1:14">
      <c r="B352" s="219" t="s">
        <v>1431</v>
      </c>
      <c r="C352" s="220"/>
      <c r="D352" s="220"/>
      <c r="E352" s="56"/>
      <c r="G352" s="269" t="s">
        <v>1431</v>
      </c>
    </row>
    <row r="353" spans="1:10">
      <c r="B353" s="802" t="s">
        <v>1432</v>
      </c>
      <c r="C353" s="884">
        <f>ROUND(21276622,)+6</f>
        <v>21276628</v>
      </c>
      <c r="D353" s="884">
        <v>5514595.9000000004</v>
      </c>
      <c r="E353" s="56"/>
      <c r="G353" s="269" t="s">
        <v>1432</v>
      </c>
      <c r="H353" s="269">
        <v>21276622.300000001</v>
      </c>
      <c r="J353" s="269">
        <v>4485626</v>
      </c>
    </row>
    <row r="354" spans="1:10">
      <c r="B354" s="802" t="s">
        <v>1433</v>
      </c>
      <c r="C354" s="884">
        <v>554</v>
      </c>
      <c r="D354" s="884">
        <v>0</v>
      </c>
      <c r="E354" s="56"/>
      <c r="G354" s="269" t="s">
        <v>1433</v>
      </c>
      <c r="H354" s="269">
        <v>554</v>
      </c>
      <c r="J354" s="269">
        <v>15468675</v>
      </c>
    </row>
    <row r="355" spans="1:10">
      <c r="B355" s="802" t="s">
        <v>1445</v>
      </c>
      <c r="C355" s="884"/>
      <c r="D355" s="884">
        <v>0</v>
      </c>
      <c r="E355" s="56"/>
      <c r="G355" s="269" t="s">
        <v>1445</v>
      </c>
      <c r="J355" s="269">
        <f>SUM(J353:J354)</f>
        <v>19954301</v>
      </c>
    </row>
    <row r="356" spans="1:10">
      <c r="B356" s="802" t="s">
        <v>1434</v>
      </c>
      <c r="C356" s="884"/>
      <c r="D356" s="884">
        <v>0</v>
      </c>
      <c r="E356" s="56"/>
      <c r="G356" s="269" t="s">
        <v>1434</v>
      </c>
    </row>
    <row r="357" spans="1:10" ht="16" thickBot="1">
      <c r="B357" s="803" t="s">
        <v>51</v>
      </c>
      <c r="C357" s="887">
        <f>SUM(C353:C356)</f>
        <v>21277182</v>
      </c>
      <c r="D357" s="887">
        <f>SUM(D353:D356)</f>
        <v>5514595.9000000004</v>
      </c>
      <c r="E357" s="56"/>
      <c r="G357" s="269" t="s">
        <v>51</v>
      </c>
      <c r="H357" s="269">
        <v>21277176.300000001</v>
      </c>
    </row>
    <row r="358" spans="1:10" ht="16" thickTop="1">
      <c r="B358" s="219" t="s">
        <v>1435</v>
      </c>
      <c r="C358" s="884"/>
      <c r="D358" s="884"/>
      <c r="E358" s="56"/>
    </row>
    <row r="359" spans="1:10">
      <c r="B359" s="802" t="s">
        <v>1432</v>
      </c>
      <c r="C359" s="884">
        <f>ROUND(26028210.44+'PL Grouping'!J168,)</f>
        <v>25680511</v>
      </c>
      <c r="D359" s="884">
        <v>27413964.459999993</v>
      </c>
      <c r="E359" s="56"/>
      <c r="G359" s="269" t="s">
        <v>1435</v>
      </c>
    </row>
    <row r="360" spans="1:10">
      <c r="B360" s="802" t="s">
        <v>1433</v>
      </c>
      <c r="C360" s="884">
        <v>1408399</v>
      </c>
      <c r="D360" s="884">
        <v>1707895.2399999998</v>
      </c>
      <c r="E360" s="56"/>
      <c r="G360" s="269" t="s">
        <v>1432</v>
      </c>
      <c r="H360" s="269">
        <v>26028210.439999998</v>
      </c>
    </row>
    <row r="361" spans="1:10">
      <c r="B361" s="802" t="s">
        <v>1445</v>
      </c>
      <c r="C361" s="884"/>
      <c r="D361" s="884">
        <v>0</v>
      </c>
      <c r="E361" s="56"/>
      <c r="G361" s="269" t="s">
        <v>1433</v>
      </c>
      <c r="H361" s="269">
        <v>1408399.17</v>
      </c>
    </row>
    <row r="362" spans="1:10">
      <c r="B362" s="802" t="s">
        <v>1434</v>
      </c>
      <c r="C362" s="884"/>
      <c r="D362" s="884">
        <v>0</v>
      </c>
      <c r="E362" s="56"/>
      <c r="G362" s="269" t="s">
        <v>1445</v>
      </c>
    </row>
    <row r="363" spans="1:10" ht="16" thickBot="1">
      <c r="B363" s="803" t="s">
        <v>51</v>
      </c>
      <c r="C363" s="887">
        <f>SUM(C359:C362)</f>
        <v>27088910</v>
      </c>
      <c r="D363" s="887">
        <f>SUM(D359:D362)</f>
        <v>29121859.699999992</v>
      </c>
      <c r="E363" s="56"/>
      <c r="G363" s="269" t="s">
        <v>1434</v>
      </c>
    </row>
    <row r="364" spans="1:10" ht="16" thickTop="1">
      <c r="B364" s="840" t="s">
        <v>1436</v>
      </c>
      <c r="C364" s="799"/>
      <c r="D364" s="799"/>
      <c r="E364" s="56"/>
      <c r="G364" s="269" t="s">
        <v>51</v>
      </c>
      <c r="H364" s="269">
        <v>27436609.609999999</v>
      </c>
    </row>
    <row r="365" spans="1:10">
      <c r="B365" s="223"/>
      <c r="C365" s="793"/>
      <c r="D365" s="793"/>
      <c r="E365" s="56"/>
    </row>
    <row r="366" spans="1:10" ht="16" thickBot="1">
      <c r="B366" s="223"/>
      <c r="C366" s="793"/>
      <c r="D366" s="793"/>
      <c r="E366" s="792"/>
      <c r="G366" s="269" t="s">
        <v>51</v>
      </c>
      <c r="H366" s="269">
        <v>48713785.909999996</v>
      </c>
    </row>
    <row r="367" spans="1:10" ht="16" thickTop="1">
      <c r="A367" s="223">
        <f>+A341+1</f>
        <v>21</v>
      </c>
      <c r="B367" s="6" t="s">
        <v>123</v>
      </c>
      <c r="E367" s="793"/>
      <c r="H367" s="280">
        <f>C347</f>
        <v>48366092</v>
      </c>
    </row>
    <row r="368" spans="1:10" ht="33" thickBot="1">
      <c r="B368" s="784" t="s">
        <v>0</v>
      </c>
      <c r="C368" s="785" t="str">
        <f>+C342</f>
        <v xml:space="preserve"> As at  31st March, 2023</v>
      </c>
      <c r="D368" s="785" t="str">
        <f>+D342</f>
        <v xml:space="preserve"> As at  31st March, 2022</v>
      </c>
      <c r="E368" s="783"/>
    </row>
    <row r="369" spans="1:14">
      <c r="B369" s="787"/>
      <c r="C369" s="56"/>
      <c r="D369" s="220"/>
      <c r="E369" s="273"/>
    </row>
    <row r="370" spans="1:14">
      <c r="B370" s="219" t="s">
        <v>339</v>
      </c>
      <c r="C370" s="884">
        <f>'BS Grouping'!K177*0</f>
        <v>0</v>
      </c>
      <c r="D370" s="884">
        <f>'BS Grouping'!T177*0</f>
        <v>0</v>
      </c>
      <c r="E370" s="56"/>
      <c r="F370" s="269" t="s">
        <v>460</v>
      </c>
    </row>
    <row r="371" spans="1:14">
      <c r="B371" s="219" t="s">
        <v>112</v>
      </c>
      <c r="C371" s="884">
        <f>ROUND('BS Grouping'!K78,0)</f>
        <v>140741</v>
      </c>
      <c r="D371" s="884">
        <f>ROUND('BS Grouping'!T78,0)</f>
        <v>1280154</v>
      </c>
      <c r="E371" s="56"/>
      <c r="F371" s="269" t="s">
        <v>460</v>
      </c>
    </row>
    <row r="372" spans="1:14" hidden="1">
      <c r="B372" s="219" t="s">
        <v>1091</v>
      </c>
      <c r="C372" s="884">
        <f>ROUND('BS Grouping'!K82,0)</f>
        <v>0</v>
      </c>
      <c r="D372" s="884">
        <f>ROUND('BS Grouping'!T82,0)</f>
        <v>0</v>
      </c>
      <c r="E372" s="56"/>
      <c r="F372" s="269" t="s">
        <v>460</v>
      </c>
    </row>
    <row r="373" spans="1:14">
      <c r="B373" s="219" t="s">
        <v>1577</v>
      </c>
      <c r="C373" s="884">
        <f>ROUND('BS Grouping'!K94,)</f>
        <v>1508756</v>
      </c>
      <c r="D373" s="884">
        <f>'BS Grouping'!T94</f>
        <v>126</v>
      </c>
      <c r="E373" s="56"/>
    </row>
    <row r="374" spans="1:14">
      <c r="B374" s="219" t="s">
        <v>239</v>
      </c>
      <c r="C374" s="884">
        <f>ROUND('BS Grouping'!K88,0)+1</f>
        <v>243654</v>
      </c>
      <c r="D374" s="884">
        <f>ROUND('BS Grouping'!T88,0)</f>
        <v>481747</v>
      </c>
      <c r="E374" s="56"/>
      <c r="F374" s="269" t="s">
        <v>460</v>
      </c>
    </row>
    <row r="375" spans="1:14">
      <c r="B375" s="219"/>
      <c r="C375" s="856"/>
      <c r="D375" s="884"/>
      <c r="E375" s="56"/>
      <c r="F375" s="269" t="s">
        <v>460</v>
      </c>
    </row>
    <row r="376" spans="1:14" ht="16" thickBot="1">
      <c r="B376" s="791" t="s">
        <v>51</v>
      </c>
      <c r="C376" s="887">
        <f>SUM(C370:C374)</f>
        <v>1893151</v>
      </c>
      <c r="D376" s="887">
        <f>SUM(D370:D374)</f>
        <v>1762027</v>
      </c>
      <c r="E376" s="56"/>
    </row>
    <row r="377" spans="1:14" ht="17" thickTop="1" thickBot="1">
      <c r="E377" s="792"/>
    </row>
    <row r="378" spans="1:14" ht="16" thickTop="1">
      <c r="A378" s="223">
        <f>+A367+1</f>
        <v>22</v>
      </c>
      <c r="B378" s="6" t="s">
        <v>119</v>
      </c>
    </row>
    <row r="379" spans="1:14" ht="33" thickBot="1">
      <c r="B379" s="784" t="s">
        <v>0</v>
      </c>
      <c r="C379" s="785" t="str">
        <f>+C368</f>
        <v xml:space="preserve"> As at  31st March, 2023</v>
      </c>
      <c r="D379" s="785" t="str">
        <f>+D368</f>
        <v xml:space="preserve"> As at  31st March, 2022</v>
      </c>
      <c r="E379" s="783"/>
    </row>
    <row r="380" spans="1:14">
      <c r="B380" s="232" t="s">
        <v>772</v>
      </c>
      <c r="C380" s="56"/>
      <c r="D380" s="220"/>
      <c r="E380" s="273"/>
    </row>
    <row r="381" spans="1:14">
      <c r="B381" s="219" t="s">
        <v>120</v>
      </c>
      <c r="C381" s="884">
        <f>ROUND('BS Grouping'!K99,0)+10</f>
        <v>458097</v>
      </c>
      <c r="D381" s="884">
        <f>ROUND('BS Grouping'!T99,0)</f>
        <v>351236</v>
      </c>
      <c r="E381" s="56"/>
    </row>
    <row r="382" spans="1:14">
      <c r="B382" s="219" t="s">
        <v>128</v>
      </c>
      <c r="C382" s="884">
        <f>ROUND('BS Grouping'!K102,0)</f>
        <v>20802</v>
      </c>
      <c r="D382" s="884">
        <f>ROUND('BS Grouping'!T102,0)</f>
        <v>9203</v>
      </c>
      <c r="E382" s="56"/>
      <c r="F382" s="269" t="s">
        <v>460</v>
      </c>
    </row>
    <row r="383" spans="1:14">
      <c r="B383" s="219" t="s">
        <v>130</v>
      </c>
      <c r="C383" s="884">
        <f>ROUND('BS Grouping'!K106,0)</f>
        <v>158061</v>
      </c>
      <c r="D383" s="884">
        <f>ROUND('BS Grouping'!T106,0)</f>
        <v>124009</v>
      </c>
      <c r="E383" s="56"/>
      <c r="F383" s="269" t="s">
        <v>375</v>
      </c>
      <c r="I383" s="280">
        <f>C382+C319</f>
        <v>730309</v>
      </c>
      <c r="J383" s="789">
        <f>'AE 22_23'!D10</f>
        <v>730309</v>
      </c>
      <c r="K383" s="280">
        <f>I383-J383</f>
        <v>0</v>
      </c>
      <c r="N383" s="280"/>
    </row>
    <row r="384" spans="1:14" ht="19.5" customHeight="1">
      <c r="B384" s="219"/>
      <c r="C384" s="856"/>
      <c r="D384" s="884"/>
      <c r="E384" s="56"/>
      <c r="F384" s="269" t="s">
        <v>375</v>
      </c>
      <c r="I384" s="280">
        <f>C383+C320</f>
        <v>1662078</v>
      </c>
      <c r="J384" s="789">
        <f>'AE 22_23'!D20</f>
        <v>1662078</v>
      </c>
      <c r="K384" s="280">
        <f>I384-J384</f>
        <v>0</v>
      </c>
    </row>
    <row r="385" spans="1:5" ht="16" thickBot="1">
      <c r="B385" s="791" t="s">
        <v>51</v>
      </c>
      <c r="C385" s="887">
        <f>SUM(C381:C384)</f>
        <v>636960</v>
      </c>
      <c r="D385" s="887">
        <f>SUM(D381:D384)</f>
        <v>484448</v>
      </c>
      <c r="E385" s="56"/>
    </row>
    <row r="386" spans="1:5" ht="11.25" customHeight="1" thickTop="1" thickBot="1">
      <c r="B386" s="223"/>
      <c r="C386" s="793"/>
      <c r="D386" s="793"/>
      <c r="E386" s="792"/>
    </row>
    <row r="387" spans="1:5" ht="16" thickTop="1">
      <c r="A387" s="223">
        <f>A378+1</f>
        <v>23</v>
      </c>
      <c r="B387" s="223" t="s">
        <v>924</v>
      </c>
      <c r="D387" s="793"/>
      <c r="E387" s="793"/>
    </row>
    <row r="388" spans="1:5">
      <c r="A388" s="269"/>
      <c r="B388" s="841"/>
      <c r="C388" s="841"/>
      <c r="D388" s="841"/>
      <c r="E388" s="793"/>
    </row>
    <row r="389" spans="1:5" ht="16">
      <c r="A389" s="269"/>
      <c r="B389" s="356" t="s">
        <v>0</v>
      </c>
      <c r="C389" s="808" t="str">
        <f>C402</f>
        <v>2022-23</v>
      </c>
      <c r="D389" s="808" t="str">
        <f>D402</f>
        <v>2021-22</v>
      </c>
      <c r="E389" s="793"/>
    </row>
    <row r="390" spans="1:5" ht="16">
      <c r="A390" s="269"/>
      <c r="B390" s="227" t="s">
        <v>1690</v>
      </c>
      <c r="C390" s="228"/>
      <c r="D390" s="228"/>
      <c r="E390" s="793"/>
    </row>
    <row r="391" spans="1:5" ht="16">
      <c r="A391" s="269"/>
      <c r="B391" s="229" t="s">
        <v>1691</v>
      </c>
      <c r="C391" s="230"/>
      <c r="D391" s="230"/>
      <c r="E391" s="793"/>
    </row>
    <row r="392" spans="1:5">
      <c r="A392" s="269"/>
      <c r="B392" s="231" t="s">
        <v>1692</v>
      </c>
      <c r="C392" s="232"/>
      <c r="D392" s="232"/>
      <c r="E392" s="793"/>
    </row>
    <row r="393" spans="1:5">
      <c r="A393" s="269"/>
      <c r="B393" s="233" t="s">
        <v>1693</v>
      </c>
      <c r="C393" s="863">
        <f>PL!D25</f>
        <v>0</v>
      </c>
      <c r="D393" s="863">
        <f>PL!E25</f>
        <v>0</v>
      </c>
      <c r="E393" s="793"/>
    </row>
    <row r="394" spans="1:5">
      <c r="A394" s="269"/>
      <c r="B394" s="233" t="s">
        <v>1694</v>
      </c>
      <c r="C394" s="863">
        <f>PL!D26</f>
        <v>-749317</v>
      </c>
      <c r="D394" s="863">
        <f>PL!E26</f>
        <v>0</v>
      </c>
      <c r="E394" s="793"/>
    </row>
    <row r="395" spans="1:5" ht="16">
      <c r="A395" s="269"/>
      <c r="B395" s="234" t="s">
        <v>1695</v>
      </c>
      <c r="C395" s="894">
        <f>+SUM(C393:C394)</f>
        <v>-749317</v>
      </c>
      <c r="D395" s="894">
        <f>+SUM(D393:D394)</f>
        <v>0</v>
      </c>
      <c r="E395" s="793"/>
    </row>
    <row r="396" spans="1:5">
      <c r="A396" s="269"/>
      <c r="B396" s="231"/>
      <c r="C396" s="232"/>
      <c r="D396" s="232"/>
      <c r="E396" s="793"/>
    </row>
    <row r="397" spans="1:5">
      <c r="A397" s="269"/>
      <c r="B397" s="231" t="s">
        <v>1696</v>
      </c>
      <c r="C397" s="232"/>
      <c r="D397" s="232"/>
      <c r="E397" s="793"/>
    </row>
    <row r="398" spans="1:5">
      <c r="A398" s="269"/>
      <c r="B398" s="233" t="s">
        <v>1697</v>
      </c>
      <c r="C398" s="12">
        <v>0</v>
      </c>
      <c r="D398" s="12">
        <v>0</v>
      </c>
      <c r="E398" s="793"/>
    </row>
    <row r="399" spans="1:5">
      <c r="A399" s="269"/>
      <c r="B399" s="235" t="s">
        <v>1698</v>
      </c>
      <c r="C399" s="236">
        <f>+C398</f>
        <v>0</v>
      </c>
      <c r="D399" s="236">
        <f>+D398</f>
        <v>0</v>
      </c>
      <c r="E399" s="793"/>
    </row>
    <row r="400" spans="1:5">
      <c r="A400" s="269"/>
      <c r="B400" s="841"/>
      <c r="C400" s="841"/>
      <c r="D400" s="841"/>
      <c r="E400" s="793"/>
    </row>
    <row r="401" spans="1:14">
      <c r="A401" s="223">
        <f>+A387+1</f>
        <v>24</v>
      </c>
      <c r="B401" s="6" t="s">
        <v>28</v>
      </c>
      <c r="E401" s="842"/>
      <c r="F401" s="842"/>
    </row>
    <row r="402" spans="1:14" ht="16">
      <c r="B402" s="356" t="s">
        <v>0</v>
      </c>
      <c r="C402" s="808" t="s">
        <v>566</v>
      </c>
      <c r="D402" s="808" t="s">
        <v>565</v>
      </c>
    </row>
    <row r="403" spans="1:14">
      <c r="B403" s="358"/>
      <c r="C403" s="843"/>
      <c r="D403" s="360"/>
      <c r="E403" s="808"/>
    </row>
    <row r="404" spans="1:14">
      <c r="B404" s="237" t="s">
        <v>240</v>
      </c>
      <c r="C404" s="867">
        <f>ROUND('PL Grouping'!K10,0)</f>
        <v>64296378</v>
      </c>
      <c r="D404" s="867">
        <f>ROUND('PL Grouping'!T10,0)</f>
        <v>64459893</v>
      </c>
      <c r="E404" s="360"/>
    </row>
    <row r="405" spans="1:14">
      <c r="B405" s="237" t="s">
        <v>241</v>
      </c>
      <c r="C405" s="859">
        <v>0</v>
      </c>
      <c r="D405" s="867">
        <v>0</v>
      </c>
      <c r="E405" s="226"/>
      <c r="F405" s="269" t="s">
        <v>460</v>
      </c>
    </row>
    <row r="406" spans="1:14" ht="16" thickBot="1">
      <c r="B406" s="364" t="s">
        <v>51</v>
      </c>
      <c r="C406" s="858">
        <f>SUM(C404:C405)</f>
        <v>64296378</v>
      </c>
      <c r="D406" s="858">
        <f>SUM(D404:D405)</f>
        <v>64459893</v>
      </c>
      <c r="E406" s="226"/>
      <c r="F406" s="269" t="s">
        <v>460</v>
      </c>
    </row>
    <row r="407" spans="1:14" ht="9.75" customHeight="1" thickTop="1" thickBot="1">
      <c r="E407" s="58"/>
    </row>
    <row r="408" spans="1:14" ht="16" thickTop="1">
      <c r="A408" s="223">
        <f>+A401+1</f>
        <v>25</v>
      </c>
      <c r="B408" s="6" t="s">
        <v>29</v>
      </c>
    </row>
    <row r="409" spans="1:14" ht="16">
      <c r="B409" s="356" t="s">
        <v>0</v>
      </c>
      <c r="C409" s="808" t="str">
        <f>+C402</f>
        <v>2022-23</v>
      </c>
      <c r="D409" s="808" t="str">
        <f>+D402</f>
        <v>2021-22</v>
      </c>
    </row>
    <row r="410" spans="1:14" ht="8.25" customHeight="1">
      <c r="B410" s="358"/>
      <c r="C410" s="843"/>
      <c r="D410" s="360"/>
      <c r="E410" s="808"/>
    </row>
    <row r="411" spans="1:14">
      <c r="B411" s="237" t="s">
        <v>242</v>
      </c>
      <c r="C411" s="226"/>
      <c r="D411" s="226"/>
      <c r="E411" s="360"/>
    </row>
    <row r="412" spans="1:14">
      <c r="B412" s="237" t="s">
        <v>243</v>
      </c>
      <c r="C412" s="867">
        <f>ROUND('PL Grouping'!K20,0)</f>
        <v>5186</v>
      </c>
      <c r="D412" s="867">
        <f>ROUND('PL Grouping'!T20,0)</f>
        <v>4729</v>
      </c>
      <c r="E412" s="226"/>
    </row>
    <row r="413" spans="1:14">
      <c r="B413" s="237" t="s">
        <v>458</v>
      </c>
      <c r="C413" s="867">
        <f>ROUND('PL Grouping'!K25,0)</f>
        <v>2797</v>
      </c>
      <c r="D413" s="867">
        <f>ROUND('PL Grouping'!T25,0)</f>
        <v>8748</v>
      </c>
      <c r="E413" s="226"/>
      <c r="F413" s="269" t="s">
        <v>460</v>
      </c>
    </row>
    <row r="414" spans="1:14">
      <c r="B414" s="237" t="s">
        <v>1221</v>
      </c>
      <c r="C414" s="867">
        <f>ROUND('PL Grouping'!K59,0)</f>
        <v>13234</v>
      </c>
      <c r="D414" s="867">
        <f>ROUND('PL Grouping'!T59,0)</f>
        <v>24198</v>
      </c>
      <c r="E414" s="226"/>
      <c r="F414" s="269" t="s">
        <v>460</v>
      </c>
    </row>
    <row r="415" spans="1:14">
      <c r="B415" s="237" t="s">
        <v>1625</v>
      </c>
      <c r="C415" s="867">
        <f>ROUND('PL Grouping'!K35,0)*0</f>
        <v>0</v>
      </c>
      <c r="D415" s="867">
        <f>ROUND('PL Grouping'!L35,0)</f>
        <v>2435</v>
      </c>
      <c r="E415" s="226"/>
      <c r="N415" s="280"/>
    </row>
    <row r="416" spans="1:14">
      <c r="B416" s="237" t="s">
        <v>244</v>
      </c>
      <c r="C416" s="867">
        <f>ROUND('PL Grouping'!K40,0)</f>
        <v>40845</v>
      </c>
      <c r="D416" s="867">
        <f>ROUND('PL Grouping'!T40,0)-1</f>
        <v>269244</v>
      </c>
      <c r="E416" s="226"/>
      <c r="F416" s="269" t="s">
        <v>460</v>
      </c>
    </row>
    <row r="417" spans="1:16">
      <c r="B417" s="237" t="s">
        <v>245</v>
      </c>
      <c r="C417" s="867">
        <f>ROUND('PL Grouping'!K55,0)</f>
        <v>2252735</v>
      </c>
      <c r="D417" s="867">
        <f>ROUND('PL Grouping'!T55,0)</f>
        <v>1201610</v>
      </c>
      <c r="E417" s="226"/>
      <c r="F417" s="269" t="s">
        <v>349</v>
      </c>
    </row>
    <row r="418" spans="1:16">
      <c r="B418" s="237" t="s">
        <v>246</v>
      </c>
      <c r="C418" s="867">
        <f>ROUND('PL Grouping'!K64,0)</f>
        <v>480535</v>
      </c>
      <c r="D418" s="867">
        <f>ROUND('PL Grouping'!T64,0)</f>
        <v>266584</v>
      </c>
      <c r="E418" s="226"/>
      <c r="F418" s="269" t="s">
        <v>460</v>
      </c>
    </row>
    <row r="419" spans="1:16" ht="16" thickBot="1">
      <c r="B419" s="364" t="s">
        <v>51</v>
      </c>
      <c r="C419" s="858">
        <f>SUM(C411:C418)</f>
        <v>2795332</v>
      </c>
      <c r="D419" s="858">
        <f>SUM(D411:D418)</f>
        <v>1777548</v>
      </c>
      <c r="E419" s="226"/>
      <c r="F419" s="269" t="s">
        <v>460</v>
      </c>
      <c r="M419" s="280"/>
      <c r="O419" s="280"/>
    </row>
    <row r="420" spans="1:16" ht="17" thickTop="1" thickBot="1">
      <c r="E420" s="58"/>
    </row>
    <row r="421" spans="1:16" ht="16" thickTop="1">
      <c r="A421" s="223">
        <f>+A408+1</f>
        <v>26</v>
      </c>
      <c r="B421" s="6" t="s">
        <v>252</v>
      </c>
    </row>
    <row r="422" spans="1:16" ht="16">
      <c r="A422" s="269"/>
      <c r="B422" s="356" t="s">
        <v>0</v>
      </c>
      <c r="C422" s="808" t="str">
        <f>+C409</f>
        <v>2022-23</v>
      </c>
      <c r="D422" s="808" t="str">
        <f>+D409</f>
        <v>2021-22</v>
      </c>
    </row>
    <row r="423" spans="1:16" ht="12" customHeight="1">
      <c r="B423" s="358"/>
      <c r="C423" s="360"/>
      <c r="D423" s="360"/>
      <c r="E423" s="808"/>
    </row>
    <row r="424" spans="1:16">
      <c r="B424" s="237" t="s">
        <v>252</v>
      </c>
      <c r="C424" s="867">
        <f>ROUND('PL Grouping'!K87,0)</f>
        <v>49863845</v>
      </c>
      <c r="D424" s="867">
        <f>ROUND('PL Grouping'!T87,0)</f>
        <v>56229180</v>
      </c>
      <c r="E424" s="360"/>
    </row>
    <row r="425" spans="1:16" ht="16" thickBot="1">
      <c r="B425" s="364" t="s">
        <v>51</v>
      </c>
      <c r="C425" s="858">
        <f>SUM(C424:C424)</f>
        <v>49863845</v>
      </c>
      <c r="D425" s="858">
        <f>SUM(D424:D424)</f>
        <v>56229180</v>
      </c>
      <c r="E425" s="226"/>
      <c r="F425" s="269" t="s">
        <v>460</v>
      </c>
    </row>
    <row r="426" spans="1:16" ht="17" thickTop="1" thickBot="1">
      <c r="E426" s="58"/>
    </row>
    <row r="427" spans="1:16" ht="16" thickTop="1">
      <c r="A427" s="223">
        <f>+A421+1</f>
        <v>27</v>
      </c>
      <c r="B427" s="6" t="s">
        <v>369</v>
      </c>
    </row>
    <row r="428" spans="1:16" ht="16">
      <c r="B428" s="356" t="s">
        <v>0</v>
      </c>
      <c r="C428" s="808" t="str">
        <f>+C422</f>
        <v>2022-23</v>
      </c>
      <c r="D428" s="808" t="str">
        <f>+D422</f>
        <v>2021-22</v>
      </c>
    </row>
    <row r="429" spans="1:16">
      <c r="B429" s="358"/>
      <c r="C429" s="360"/>
      <c r="D429" s="360"/>
      <c r="E429" s="808"/>
    </row>
    <row r="430" spans="1:16">
      <c r="B430" s="237" t="s">
        <v>247</v>
      </c>
      <c r="C430" s="226"/>
      <c r="D430" s="226"/>
      <c r="E430" s="360"/>
    </row>
    <row r="431" spans="1:16">
      <c r="B431" s="237" t="s">
        <v>248</v>
      </c>
      <c r="C431" s="892">
        <f>ROUND('PL Grouping'!K90,0)</f>
        <v>28060951</v>
      </c>
      <c r="D431" s="892">
        <f>ROUND('PL Grouping'!T90,0)</f>
        <v>26273701</v>
      </c>
      <c r="E431" s="226"/>
    </row>
    <row r="432" spans="1:16">
      <c r="B432" s="237"/>
      <c r="C432" s="867">
        <f>SUM(C431)</f>
        <v>28060951</v>
      </c>
      <c r="D432" s="867">
        <f>SUM(D431)</f>
        <v>26273701</v>
      </c>
      <c r="E432" s="379"/>
      <c r="F432" s="269" t="s">
        <v>1</v>
      </c>
      <c r="O432" s="280"/>
      <c r="P432" s="280"/>
    </row>
    <row r="433" spans="1:16">
      <c r="B433" s="237" t="s">
        <v>249</v>
      </c>
      <c r="C433" s="867"/>
      <c r="D433" s="867"/>
      <c r="E433" s="226"/>
    </row>
    <row r="434" spans="1:16">
      <c r="B434" s="237" t="s">
        <v>248</v>
      </c>
      <c r="C434" s="892">
        <f>ROUND('PL Grouping'!K94,0)</f>
        <v>26273702</v>
      </c>
      <c r="D434" s="892">
        <f>ROUND('PL Grouping'!T94,0)</f>
        <v>16809088</v>
      </c>
      <c r="E434" s="226"/>
      <c r="O434" s="280"/>
      <c r="P434" s="280"/>
    </row>
    <row r="435" spans="1:16">
      <c r="B435" s="237"/>
      <c r="C435" s="867">
        <f>SUM(C434)</f>
        <v>26273702</v>
      </c>
      <c r="D435" s="867">
        <f>SUM(D434)</f>
        <v>16809088</v>
      </c>
      <c r="E435" s="379"/>
      <c r="F435" s="269" t="s">
        <v>470</v>
      </c>
    </row>
    <row r="436" spans="1:16" ht="16" thickBot="1">
      <c r="B436" s="364" t="s">
        <v>51</v>
      </c>
      <c r="C436" s="858">
        <f>+C435-C432</f>
        <v>-1787249</v>
      </c>
      <c r="D436" s="858">
        <f>+D435-D432</f>
        <v>-9464613</v>
      </c>
      <c r="E436" s="226"/>
    </row>
    <row r="437" spans="1:16" ht="10.5" customHeight="1" thickTop="1" thickBot="1">
      <c r="C437" s="891"/>
      <c r="D437" s="891"/>
      <c r="E437" s="58"/>
    </row>
    <row r="438" spans="1:16" ht="16" thickTop="1">
      <c r="A438" s="223">
        <f>+A427+1</f>
        <v>28</v>
      </c>
      <c r="B438" s="6" t="s">
        <v>370</v>
      </c>
    </row>
    <row r="439" spans="1:16" ht="16">
      <c r="B439" s="356" t="s">
        <v>0</v>
      </c>
      <c r="C439" s="808" t="str">
        <f>+C428</f>
        <v>2022-23</v>
      </c>
      <c r="D439" s="808" t="str">
        <f>+D428</f>
        <v>2021-22</v>
      </c>
    </row>
    <row r="440" spans="1:16" ht="11.25" customHeight="1">
      <c r="B440" s="358"/>
      <c r="C440" s="360"/>
      <c r="D440" s="360"/>
      <c r="E440" s="808"/>
    </row>
    <row r="441" spans="1:16">
      <c r="B441" s="237" t="s">
        <v>250</v>
      </c>
      <c r="C441" s="867">
        <f>ROUND('PL Grouping'!K113,0)</f>
        <v>19418450</v>
      </c>
      <c r="D441" s="867">
        <f>ROUND('PL Grouping'!T113,0)</f>
        <v>14314180</v>
      </c>
      <c r="E441" s="360"/>
    </row>
    <row r="442" spans="1:16">
      <c r="B442" s="237" t="str">
        <f>"Contribution to provident and other funds (Also, refer note no."&amp;'Employee benefits Note 35'!$A$5&amp;")"</f>
        <v>Contribution to provident and other funds (Also, refer note no.35)</v>
      </c>
      <c r="C442" s="867">
        <f>ROUND('PL Grouping'!K121,0)</f>
        <v>921025</v>
      </c>
      <c r="D442" s="867">
        <f>ROUND('PL Grouping'!T121,0)</f>
        <v>641468</v>
      </c>
      <c r="E442" s="226"/>
      <c r="F442" s="269" t="s">
        <v>460</v>
      </c>
    </row>
    <row r="443" spans="1:16">
      <c r="B443" s="237" t="str">
        <f>"Contribution to gratuity (Also, refer note no."&amp;'Employee benefits Note 35'!$A$5&amp;")"</f>
        <v>Contribution to gratuity (Also, refer note no.35)</v>
      </c>
      <c r="C443" s="867">
        <f>ROUND('PL Grouping'!K126,0)</f>
        <v>210410</v>
      </c>
      <c r="D443" s="867">
        <f>ROUND('PL Grouping'!T126,0)</f>
        <v>188986</v>
      </c>
      <c r="E443" s="226"/>
      <c r="F443" s="269" t="s">
        <v>460</v>
      </c>
      <c r="G443" s="269">
        <v>49624</v>
      </c>
    </row>
    <row r="444" spans="1:16">
      <c r="B444" s="237" t="str">
        <f>"Leave encashment (Also, refer note no."&amp;'Employee benefits Note 35'!$A$5&amp;")"</f>
        <v>Leave encashment (Also, refer note no.35)</v>
      </c>
      <c r="C444" s="867">
        <f>ROUND('PL Grouping'!K131,0)</f>
        <v>479272</v>
      </c>
      <c r="D444" s="867">
        <f>ROUND('PL Grouping'!T131,0)</f>
        <v>493373</v>
      </c>
      <c r="E444" s="226"/>
      <c r="F444" s="269" t="s">
        <v>460</v>
      </c>
    </row>
    <row r="445" spans="1:16">
      <c r="B445" s="237" t="s">
        <v>577</v>
      </c>
      <c r="C445" s="867">
        <f>ROUND('PL Grouping'!K135,0)</f>
        <v>0</v>
      </c>
      <c r="D445" s="867">
        <f>ROUND('PL Grouping'!T135,0)</f>
        <v>2073850</v>
      </c>
      <c r="E445" s="226"/>
      <c r="F445" s="269" t="s">
        <v>460</v>
      </c>
    </row>
    <row r="446" spans="1:16">
      <c r="B446" s="237" t="s">
        <v>251</v>
      </c>
      <c r="C446" s="867">
        <f>ROUND('PL Grouping'!K141,0)</f>
        <v>563378</v>
      </c>
      <c r="D446" s="867">
        <f>ROUND('PL Grouping'!T141,0)</f>
        <v>227058</v>
      </c>
      <c r="E446" s="226"/>
    </row>
    <row r="447" spans="1:16" ht="16" thickBot="1">
      <c r="B447" s="364" t="s">
        <v>51</v>
      </c>
      <c r="C447" s="858">
        <f>SUM(C441:C446)</f>
        <v>21592535</v>
      </c>
      <c r="D447" s="858">
        <f>SUM(D441:D446)</f>
        <v>17938915</v>
      </c>
      <c r="E447" s="226"/>
      <c r="F447" s="269" t="s">
        <v>460</v>
      </c>
      <c r="G447" s="280"/>
    </row>
    <row r="448" spans="1:16" ht="7.5" customHeight="1" thickTop="1" thickBot="1">
      <c r="C448" s="891"/>
      <c r="D448" s="891"/>
      <c r="E448" s="58"/>
    </row>
    <row r="449" spans="1:6" ht="16" thickTop="1">
      <c r="A449" s="223">
        <f>+A438+1</f>
        <v>29</v>
      </c>
      <c r="B449" s="6" t="s">
        <v>371</v>
      </c>
      <c r="C449" s="891"/>
      <c r="D449" s="891"/>
    </row>
    <row r="450" spans="1:6" ht="16">
      <c r="B450" s="356" t="s">
        <v>0</v>
      </c>
      <c r="C450" s="895" t="str">
        <f>+C439</f>
        <v>2022-23</v>
      </c>
      <c r="D450" s="895" t="str">
        <f>+D439</f>
        <v>2021-22</v>
      </c>
    </row>
    <row r="451" spans="1:6">
      <c r="B451" s="358"/>
      <c r="C451" s="896"/>
      <c r="D451" s="896"/>
      <c r="E451" s="808"/>
    </row>
    <row r="452" spans="1:6">
      <c r="B452" s="237" t="s">
        <v>1044</v>
      </c>
      <c r="C452" s="867">
        <f>ROUND('PL Grouping'!K148,0)</f>
        <v>297208</v>
      </c>
      <c r="D452" s="867">
        <f>ROUND('PL Grouping'!T148,0)</f>
        <v>1897061</v>
      </c>
      <c r="E452" s="360"/>
    </row>
    <row r="453" spans="1:6">
      <c r="B453" s="237" t="s">
        <v>253</v>
      </c>
      <c r="C453" s="867">
        <f>ROUND('PL Grouping'!K152,0)</f>
        <v>0</v>
      </c>
      <c r="D453" s="867">
        <f>ROUND('PL Grouping'!T152,0)</f>
        <v>1013333</v>
      </c>
      <c r="E453" s="226"/>
      <c r="F453" s="269" t="s">
        <v>460</v>
      </c>
    </row>
    <row r="454" spans="1:6">
      <c r="B454" s="237" t="s">
        <v>1043</v>
      </c>
      <c r="C454" s="867">
        <f>ROUND('PL Grouping'!K157,0)</f>
        <v>0</v>
      </c>
      <c r="D454" s="867">
        <f>ROUND('PL Grouping'!T157,0)</f>
        <v>787106</v>
      </c>
      <c r="E454" s="226"/>
    </row>
    <row r="455" spans="1:6">
      <c r="B455" s="237" t="s">
        <v>319</v>
      </c>
      <c r="C455" s="867">
        <f>ROUND('PL Grouping'!K168,0)-1</f>
        <v>98064</v>
      </c>
      <c r="D455" s="867">
        <f>ROUND('PL Grouping'!T168,0)</f>
        <v>887729</v>
      </c>
      <c r="E455" s="226"/>
      <c r="F455" s="269" t="s">
        <v>460</v>
      </c>
    </row>
    <row r="456" spans="1:6" ht="16" thickBot="1">
      <c r="B456" s="364" t="s">
        <v>51</v>
      </c>
      <c r="C456" s="858">
        <f>SUM(C452:C455)</f>
        <v>395272</v>
      </c>
      <c r="D456" s="858">
        <f>SUM(D452:D455)</f>
        <v>4585229</v>
      </c>
      <c r="E456" s="226"/>
      <c r="F456" s="269" t="s">
        <v>460</v>
      </c>
    </row>
    <row r="457" spans="1:6" ht="17" thickTop="1" thickBot="1">
      <c r="C457" s="891"/>
      <c r="D457" s="891"/>
      <c r="E457" s="58"/>
    </row>
    <row r="458" spans="1:6" ht="16" thickTop="1">
      <c r="A458" s="223">
        <f>+A449+1</f>
        <v>30</v>
      </c>
      <c r="B458" s="6" t="s">
        <v>491</v>
      </c>
      <c r="C458" s="891"/>
      <c r="D458" s="891"/>
    </row>
    <row r="459" spans="1:6" ht="16">
      <c r="B459" s="356" t="s">
        <v>0</v>
      </c>
      <c r="C459" s="895" t="str">
        <f>+C450</f>
        <v>2022-23</v>
      </c>
      <c r="D459" s="897" t="str">
        <f>+D450</f>
        <v>2021-22</v>
      </c>
    </row>
    <row r="460" spans="1:6">
      <c r="B460" s="358"/>
      <c r="C460" s="867"/>
      <c r="D460" s="898"/>
      <c r="E460" s="808"/>
    </row>
    <row r="461" spans="1:6">
      <c r="B461" s="237" t="s">
        <v>1403</v>
      </c>
      <c r="C461" s="867">
        <f>ROUND(FA!I23+FA!J23,0)</f>
        <v>887018</v>
      </c>
      <c r="D461" s="899">
        <f>ROUND(FA!I42,0)</f>
        <v>399503</v>
      </c>
      <c r="E461" s="360"/>
    </row>
    <row r="462" spans="1:6">
      <c r="B462" s="237" t="s">
        <v>1405</v>
      </c>
      <c r="C462" s="867">
        <f>ROUND(FA!I58,0)</f>
        <v>2664474</v>
      </c>
      <c r="D462" s="899">
        <f>ROUND(FA!I74,0)</f>
        <v>914217</v>
      </c>
      <c r="E462" s="226"/>
    </row>
    <row r="463" spans="1:6">
      <c r="B463" s="2" t="s">
        <v>1404</v>
      </c>
      <c r="C463" s="867">
        <f>ROUND(ROU!J40,0)</f>
        <v>303131</v>
      </c>
      <c r="D463" s="900">
        <f>ROUND(ROU!J39,0)</f>
        <v>36542</v>
      </c>
      <c r="E463" s="292"/>
      <c r="F463" s="269" t="s">
        <v>460</v>
      </c>
    </row>
    <row r="464" spans="1:6" ht="16" thickBot="1">
      <c r="B464" s="364" t="s">
        <v>51</v>
      </c>
      <c r="C464" s="858">
        <f>SUM(C461:C463)</f>
        <v>3854623</v>
      </c>
      <c r="D464" s="901">
        <f>SUM(D461:D463)</f>
        <v>1350262</v>
      </c>
      <c r="E464" s="226"/>
      <c r="F464" s="269" t="s">
        <v>460</v>
      </c>
    </row>
    <row r="465" spans="1:14" ht="16" thickTop="1">
      <c r="B465" s="6"/>
      <c r="C465" s="902"/>
      <c r="D465" s="902"/>
      <c r="E465" s="292"/>
    </row>
    <row r="466" spans="1:14">
      <c r="A466" s="223">
        <f>+A458+1</f>
        <v>31</v>
      </c>
      <c r="B466" s="6" t="s">
        <v>799</v>
      </c>
      <c r="C466" s="891"/>
      <c r="D466" s="891"/>
    </row>
    <row r="467" spans="1:14" ht="16">
      <c r="B467" s="356" t="s">
        <v>0</v>
      </c>
      <c r="C467" s="895" t="str">
        <f>+C450</f>
        <v>2022-23</v>
      </c>
      <c r="D467" s="895" t="str">
        <f>+D450</f>
        <v>2021-22</v>
      </c>
    </row>
    <row r="468" spans="1:14" ht="8.25" customHeight="1">
      <c r="B468" s="358"/>
      <c r="C468" s="896"/>
      <c r="D468" s="896"/>
      <c r="E468" s="808"/>
    </row>
    <row r="469" spans="1:14">
      <c r="B469" s="237" t="s">
        <v>183</v>
      </c>
      <c r="C469" s="867">
        <f>ROUND('PL Grouping'!K174,0)</f>
        <v>586598</v>
      </c>
      <c r="D469" s="867">
        <f>ROUND('PL Grouping'!T174,0)</f>
        <v>360000</v>
      </c>
      <c r="E469" s="360">
        <v>360000</v>
      </c>
      <c r="F469" s="280">
        <f>D469-E469</f>
        <v>0</v>
      </c>
      <c r="M469" s="269">
        <v>372325</v>
      </c>
      <c r="N469" s="280"/>
    </row>
    <row r="470" spans="1:14">
      <c r="B470" s="237" t="s">
        <v>190</v>
      </c>
      <c r="C470" s="867">
        <f>ROUND('PL Grouping'!K179,0)</f>
        <v>50305</v>
      </c>
      <c r="D470" s="867">
        <f>ROUND('PL Grouping'!T179,0)</f>
        <v>14617</v>
      </c>
      <c r="E470" s="226">
        <v>14617</v>
      </c>
      <c r="F470" s="280">
        <f t="shared" ref="F470:F496" si="1">D470-E470</f>
        <v>0</v>
      </c>
      <c r="M470" s="269">
        <v>535000</v>
      </c>
      <c r="N470" s="280"/>
    </row>
    <row r="471" spans="1:14">
      <c r="B471" s="237" t="s">
        <v>191</v>
      </c>
      <c r="C471" s="867">
        <f>ROUND('PL Grouping'!K183,0)</f>
        <v>249971</v>
      </c>
      <c r="D471" s="867">
        <f>ROUND('PL Grouping'!T183,0)</f>
        <v>710353</v>
      </c>
      <c r="E471" s="226">
        <v>710353</v>
      </c>
      <c r="F471" s="280">
        <f t="shared" si="1"/>
        <v>0</v>
      </c>
      <c r="M471" s="269">
        <v>337692</v>
      </c>
      <c r="N471" s="280"/>
    </row>
    <row r="472" spans="1:14">
      <c r="B472" s="237" t="s">
        <v>254</v>
      </c>
      <c r="C472" s="867">
        <f>ROUND('PL Grouping'!K187,0)</f>
        <v>4128518</v>
      </c>
      <c r="D472" s="867">
        <f>ROUND('PL Grouping'!T187,0)</f>
        <v>1369395</v>
      </c>
      <c r="E472" s="226">
        <v>1369395</v>
      </c>
      <c r="F472" s="280">
        <f t="shared" si="1"/>
        <v>0</v>
      </c>
      <c r="M472" s="269">
        <v>1240976</v>
      </c>
      <c r="N472" s="280"/>
    </row>
    <row r="473" spans="1:14">
      <c r="B473" s="237" t="s">
        <v>189</v>
      </c>
      <c r="C473" s="867">
        <f>ROUND('PL Grouping'!K192,0)</f>
        <v>233485</v>
      </c>
      <c r="D473" s="867">
        <f>ROUND('PL Grouping'!T192,0)</f>
        <v>298328</v>
      </c>
      <c r="E473" s="226">
        <v>298328</v>
      </c>
      <c r="F473" s="280">
        <f t="shared" si="1"/>
        <v>0</v>
      </c>
      <c r="M473" s="269">
        <v>802321</v>
      </c>
      <c r="N473" s="280"/>
    </row>
    <row r="474" spans="1:14">
      <c r="B474" s="237" t="s">
        <v>255</v>
      </c>
      <c r="C474" s="867">
        <f>ROUND('PL Grouping'!K198,0)</f>
        <v>75787</v>
      </c>
      <c r="D474" s="867">
        <f>ROUND('PL Grouping'!T198,0)</f>
        <v>29482</v>
      </c>
      <c r="E474" s="226">
        <v>29482</v>
      </c>
      <c r="F474" s="280">
        <f t="shared" si="1"/>
        <v>0</v>
      </c>
      <c r="M474" s="269">
        <v>19671</v>
      </c>
      <c r="N474" s="280"/>
    </row>
    <row r="475" spans="1:14">
      <c r="B475" s="237" t="s">
        <v>1089</v>
      </c>
      <c r="C475" s="867">
        <f>ROUND('PL Grouping'!K204,0)</f>
        <v>38077</v>
      </c>
      <c r="D475" s="867">
        <f>ROUND('PL Grouping'!T204,0)</f>
        <v>122301</v>
      </c>
      <c r="E475" s="226">
        <v>122301</v>
      </c>
      <c r="F475" s="280">
        <f t="shared" si="1"/>
        <v>0</v>
      </c>
      <c r="M475" s="269">
        <v>26370</v>
      </c>
      <c r="N475" s="280"/>
    </row>
    <row r="476" spans="1:14">
      <c r="B476" s="237" t="s">
        <v>394</v>
      </c>
      <c r="C476" s="867">
        <f>ROUND('PL Grouping'!K209,0)</f>
        <v>0</v>
      </c>
      <c r="D476" s="867">
        <f>ROUND('PL Grouping'!T209,0)</f>
        <v>5774</v>
      </c>
      <c r="E476" s="226">
        <v>5774</v>
      </c>
      <c r="F476" s="280">
        <f t="shared" si="1"/>
        <v>0</v>
      </c>
      <c r="M476" s="269">
        <v>35084</v>
      </c>
      <c r="N476" s="280"/>
    </row>
    <row r="477" spans="1:14">
      <c r="B477" s="237" t="s">
        <v>320</v>
      </c>
      <c r="C477" s="867">
        <f>ROUND('PL Grouping'!K213,0)</f>
        <v>101289</v>
      </c>
      <c r="D477" s="867">
        <f>ROUND('PL Grouping'!T213,0)</f>
        <v>29262</v>
      </c>
      <c r="E477" s="226">
        <v>29262</v>
      </c>
      <c r="F477" s="280">
        <f t="shared" si="1"/>
        <v>0</v>
      </c>
      <c r="M477" s="269">
        <v>14386</v>
      </c>
      <c r="N477" s="280"/>
    </row>
    <row r="478" spans="1:14">
      <c r="B478" s="237" t="s">
        <v>256</v>
      </c>
      <c r="C478" s="867">
        <f>ROUND('PL Grouping'!K220,0)</f>
        <v>101812</v>
      </c>
      <c r="D478" s="867">
        <f>ROUND('PL Grouping'!T220,0)</f>
        <v>2262108</v>
      </c>
      <c r="E478" s="226">
        <v>2262108</v>
      </c>
      <c r="F478" s="280">
        <f t="shared" si="1"/>
        <v>0</v>
      </c>
      <c r="M478" s="269">
        <v>1663795</v>
      </c>
      <c r="N478" s="280"/>
    </row>
    <row r="479" spans="1:14">
      <c r="B479" s="237" t="s">
        <v>257</v>
      </c>
      <c r="C479" s="867">
        <f>ROUND('PL Grouping'!K224,0)</f>
        <v>21949754</v>
      </c>
      <c r="D479" s="867">
        <f>ROUND('PL Grouping'!T224,0)</f>
        <v>22943716</v>
      </c>
      <c r="E479" s="226">
        <v>22943716</v>
      </c>
      <c r="F479" s="280">
        <f t="shared" si="1"/>
        <v>0</v>
      </c>
      <c r="H479" s="280">
        <f>C479+C472+C483</f>
        <v>30532036</v>
      </c>
      <c r="M479" s="269">
        <v>7217742</v>
      </c>
      <c r="N479" s="280"/>
    </row>
    <row r="480" spans="1:14">
      <c r="B480" s="237" t="s">
        <v>258</v>
      </c>
      <c r="C480" s="867">
        <f>ROUND('PL Grouping'!K232,0)</f>
        <v>1884295</v>
      </c>
      <c r="D480" s="867">
        <f>ROUND('PL Grouping'!T232,0)</f>
        <v>938123</v>
      </c>
      <c r="E480" s="226">
        <v>938123</v>
      </c>
      <c r="F480" s="280">
        <f t="shared" si="1"/>
        <v>0</v>
      </c>
      <c r="M480" s="269">
        <v>647264</v>
      </c>
      <c r="N480" s="280"/>
    </row>
    <row r="481" spans="2:14">
      <c r="B481" s="237" t="s">
        <v>259</v>
      </c>
      <c r="C481" s="867">
        <f>ROUND('PL Grouping'!K239,0)</f>
        <v>11802854</v>
      </c>
      <c r="D481" s="867">
        <f>ROUND('PL Grouping'!T239,0)</f>
        <v>6681872</v>
      </c>
      <c r="E481" s="226">
        <v>6681872</v>
      </c>
      <c r="F481" s="280">
        <f t="shared" si="1"/>
        <v>0</v>
      </c>
      <c r="G481" s="280"/>
      <c r="M481" s="269">
        <v>3716229</v>
      </c>
      <c r="N481" s="280"/>
    </row>
    <row r="482" spans="2:14">
      <c r="B482" s="237" t="s">
        <v>393</v>
      </c>
      <c r="C482" s="867">
        <f>ROUND('PL Grouping'!K243,0)</f>
        <v>628328</v>
      </c>
      <c r="D482" s="867">
        <f>ROUND('PL Grouping'!T243,0)</f>
        <v>264972</v>
      </c>
      <c r="E482" s="226">
        <v>264972</v>
      </c>
      <c r="F482" s="280">
        <f t="shared" si="1"/>
        <v>0</v>
      </c>
      <c r="G482" s="280"/>
      <c r="M482" s="269">
        <v>1721289</v>
      </c>
      <c r="N482" s="280"/>
    </row>
    <row r="483" spans="2:14">
      <c r="B483" s="237" t="s">
        <v>1429</v>
      </c>
      <c r="C483" s="867">
        <f>ROUND('PL Grouping'!K261,0)</f>
        <v>4453764</v>
      </c>
      <c r="D483" s="867">
        <f>ROUND('PL Grouping'!T261,0)</f>
        <v>2997658</v>
      </c>
      <c r="E483" s="226">
        <v>2997658</v>
      </c>
      <c r="F483" s="280">
        <f t="shared" si="1"/>
        <v>0</v>
      </c>
      <c r="G483" s="280"/>
      <c r="N483" s="280"/>
    </row>
    <row r="484" spans="2:14">
      <c r="B484" s="237" t="s">
        <v>347</v>
      </c>
      <c r="C484" s="867">
        <f>'PL Grouping'!D167</f>
        <v>14412.333333333334</v>
      </c>
      <c r="D484" s="867">
        <f>ROUND('PL Grouping'!T247,0)</f>
        <v>24151</v>
      </c>
      <c r="E484" s="226">
        <v>24151</v>
      </c>
      <c r="F484" s="280">
        <f t="shared" si="1"/>
        <v>0</v>
      </c>
      <c r="M484" s="269">
        <v>11875</v>
      </c>
      <c r="N484" s="280"/>
    </row>
    <row r="485" spans="2:14" hidden="1">
      <c r="B485" s="237" t="s">
        <v>1624</v>
      </c>
      <c r="C485" s="867">
        <f>ROUND('PL Grouping'!K35,0)*-1</f>
        <v>0</v>
      </c>
      <c r="D485" s="867">
        <v>0</v>
      </c>
      <c r="E485" s="226"/>
      <c r="F485" s="280"/>
      <c r="N485" s="280"/>
    </row>
    <row r="486" spans="2:14">
      <c r="B486" s="237" t="s">
        <v>1046</v>
      </c>
      <c r="C486" s="867">
        <f>ROUND('PL Grouping'!K251,0)</f>
        <v>70410</v>
      </c>
      <c r="D486" s="867">
        <f>ROUND('PL Grouping'!T251,0)</f>
        <v>75152</v>
      </c>
      <c r="E486" s="226">
        <v>75152</v>
      </c>
      <c r="F486" s="280">
        <f t="shared" si="1"/>
        <v>0</v>
      </c>
      <c r="M486" s="269">
        <v>81216</v>
      </c>
      <c r="N486" s="280"/>
    </row>
    <row r="487" spans="2:14">
      <c r="B487" s="237" t="s">
        <v>1686</v>
      </c>
      <c r="C487" s="867">
        <f>Notes!C94</f>
        <v>46444</v>
      </c>
      <c r="D487" s="867">
        <f>Notes!D94</f>
        <v>0</v>
      </c>
      <c r="E487" s="226"/>
      <c r="F487" s="280"/>
      <c r="N487" s="280"/>
    </row>
    <row r="488" spans="2:14">
      <c r="B488" s="237" t="s">
        <v>392</v>
      </c>
      <c r="C488" s="867">
        <f>ROUND('PL Grouping'!K256,0)</f>
        <v>7507</v>
      </c>
      <c r="D488" s="867">
        <f>ROUND('PL Grouping'!T256,0)</f>
        <v>8007</v>
      </c>
      <c r="E488" s="226">
        <v>8007</v>
      </c>
      <c r="F488" s="280">
        <f t="shared" si="1"/>
        <v>0</v>
      </c>
      <c r="M488" s="269">
        <v>24580</v>
      </c>
      <c r="N488" s="280"/>
    </row>
    <row r="489" spans="2:14">
      <c r="B489" s="237" t="s">
        <v>331</v>
      </c>
      <c r="C489" s="867">
        <f>+C520</f>
        <v>255854</v>
      </c>
      <c r="D489" s="867">
        <f>+D520</f>
        <v>121000</v>
      </c>
      <c r="E489" s="226">
        <v>121000</v>
      </c>
      <c r="F489" s="280">
        <f t="shared" si="1"/>
        <v>0</v>
      </c>
      <c r="M489" s="269">
        <v>110250</v>
      </c>
      <c r="N489" s="280"/>
    </row>
    <row r="490" spans="2:14">
      <c r="B490" s="237" t="s">
        <v>539</v>
      </c>
      <c r="C490" s="867">
        <f>ROUND('PL Grouping'!K277,0)</f>
        <v>2966090</v>
      </c>
      <c r="D490" s="867">
        <f>ROUND('PL Grouping'!T277,0)</f>
        <v>2501121</v>
      </c>
      <c r="E490" s="226">
        <v>2501121</v>
      </c>
      <c r="F490" s="280">
        <f t="shared" si="1"/>
        <v>0</v>
      </c>
      <c r="M490" s="269">
        <v>433012</v>
      </c>
      <c r="N490" s="280"/>
    </row>
    <row r="491" spans="2:14">
      <c r="B491" s="237" t="s">
        <v>260</v>
      </c>
      <c r="C491" s="867">
        <f>ROUND('PL Grouping'!K281,0)</f>
        <v>121164</v>
      </c>
      <c r="D491" s="867">
        <f>ROUND('PL Grouping'!T281,0)</f>
        <v>101871</v>
      </c>
      <c r="E491" s="226">
        <v>101871</v>
      </c>
      <c r="F491" s="280">
        <f t="shared" si="1"/>
        <v>0</v>
      </c>
      <c r="M491" s="269">
        <v>44901</v>
      </c>
      <c r="N491" s="280"/>
    </row>
    <row r="492" spans="2:14">
      <c r="B492" s="237" t="s">
        <v>1558</v>
      </c>
      <c r="C492" s="867">
        <f>'PL Grouping'!K304</f>
        <v>497200.43</v>
      </c>
      <c r="D492" s="867">
        <f>'PL Grouping'!T304</f>
        <v>632363.28</v>
      </c>
      <c r="E492" s="226"/>
      <c r="F492" s="280">
        <f t="shared" si="1"/>
        <v>632363.28</v>
      </c>
      <c r="N492" s="280"/>
    </row>
    <row r="493" spans="2:14">
      <c r="B493" s="237" t="s">
        <v>391</v>
      </c>
      <c r="C493" s="867">
        <f>ROUND('PL Grouping'!K286,0)</f>
        <v>6062217</v>
      </c>
      <c r="D493" s="867">
        <f>ROUND('PL Grouping'!T286,0)</f>
        <v>8137012</v>
      </c>
      <c r="E493" s="226">
        <v>8137012</v>
      </c>
      <c r="F493" s="280">
        <f t="shared" si="1"/>
        <v>0</v>
      </c>
      <c r="M493" s="269">
        <v>4732225</v>
      </c>
      <c r="N493" s="280"/>
    </row>
    <row r="494" spans="2:14">
      <c r="B494" s="237" t="s">
        <v>390</v>
      </c>
      <c r="C494" s="867">
        <f>ROUND('PL Grouping'!K290,0)</f>
        <v>352500</v>
      </c>
      <c r="D494" s="867">
        <f>ROUND('PL Grouping'!T290,0)</f>
        <v>102706</v>
      </c>
      <c r="E494" s="226">
        <v>102706</v>
      </c>
      <c r="F494" s="280">
        <f t="shared" si="1"/>
        <v>0</v>
      </c>
      <c r="M494" s="269">
        <v>217273</v>
      </c>
      <c r="N494" s="280"/>
    </row>
    <row r="495" spans="2:14">
      <c r="B495" s="237" t="s">
        <v>1035</v>
      </c>
      <c r="C495" s="867">
        <f>ROUND('PL Grouping'!K294,0)</f>
        <v>0</v>
      </c>
      <c r="D495" s="867">
        <f>ROUND('PL Grouping'!T294,0)</f>
        <v>1800</v>
      </c>
      <c r="E495" s="226">
        <v>1800</v>
      </c>
      <c r="F495" s="280">
        <f t="shared" si="1"/>
        <v>0</v>
      </c>
      <c r="M495" s="269">
        <v>1652</v>
      </c>
      <c r="N495" s="280"/>
    </row>
    <row r="496" spans="2:14">
      <c r="B496" s="237" t="s">
        <v>261</v>
      </c>
      <c r="C496" s="867">
        <f>ROUND('PL Grouping'!K335,0)</f>
        <v>5853681</v>
      </c>
      <c r="D496" s="867">
        <f>ROUND('PL Grouping'!T335,0)+4</f>
        <v>4980716</v>
      </c>
      <c r="E496" s="226">
        <v>5612947</v>
      </c>
      <c r="F496" s="280">
        <f t="shared" si="1"/>
        <v>-632231</v>
      </c>
      <c r="M496" s="269">
        <v>1694193</v>
      </c>
      <c r="N496" s="280"/>
    </row>
    <row r="497" spans="1:16" ht="9" customHeight="1">
      <c r="B497" s="237"/>
      <c r="C497" s="867"/>
      <c r="D497" s="867"/>
      <c r="E497" s="226"/>
      <c r="P497" s="280"/>
    </row>
    <row r="498" spans="1:16" ht="16" thickBot="1">
      <c r="B498" s="364" t="s">
        <v>51</v>
      </c>
      <c r="C498" s="858">
        <f>SUM(C469:C497)</f>
        <v>62532316.763333336</v>
      </c>
      <c r="D498" s="858">
        <f>SUM(D469:D497)</f>
        <v>55713860.280000001</v>
      </c>
      <c r="E498" s="226"/>
    </row>
    <row r="499" spans="1:16" ht="17" thickTop="1" thickBot="1">
      <c r="C499" s="891"/>
      <c r="D499" s="891"/>
      <c r="E499" s="58"/>
      <c r="F499" s="280"/>
    </row>
    <row r="500" spans="1:16" ht="12" customHeight="1" thickTop="1">
      <c r="A500" s="223">
        <f>+A466+1</f>
        <v>32</v>
      </c>
      <c r="B500" s="6" t="s">
        <v>49</v>
      </c>
      <c r="O500" s="845"/>
    </row>
    <row r="501" spans="1:16" ht="16">
      <c r="A501" s="269"/>
      <c r="B501" s="356" t="s">
        <v>0</v>
      </c>
      <c r="C501" s="808" t="str">
        <f>+C467</f>
        <v>2022-23</v>
      </c>
      <c r="D501" s="808" t="str">
        <f>+D467</f>
        <v>2021-22</v>
      </c>
      <c r="O501" s="845"/>
    </row>
    <row r="502" spans="1:16">
      <c r="B502" s="358"/>
      <c r="C502" s="360"/>
      <c r="D502" s="360"/>
      <c r="E502" s="808"/>
      <c r="O502" s="845"/>
      <c r="P502" s="790"/>
    </row>
    <row r="503" spans="1:16" ht="16">
      <c r="B503" s="225" t="s">
        <v>386</v>
      </c>
      <c r="C503" s="867">
        <f>ROUND(PL!D27,0)</f>
        <v>-70108956</v>
      </c>
      <c r="D503" s="867">
        <f>ROUND(PL!E27,0)</f>
        <v>-60115399</v>
      </c>
      <c r="E503" s="360"/>
      <c r="O503" s="845"/>
      <c r="P503" s="790"/>
    </row>
    <row r="504" spans="1:16" ht="32">
      <c r="B504" s="225" t="s">
        <v>387</v>
      </c>
      <c r="C504" s="867">
        <f>ROUND(C181+Q509,0)</f>
        <v>5944263</v>
      </c>
      <c r="D504" s="867">
        <v>5944263</v>
      </c>
      <c r="E504" s="226"/>
      <c r="N504" s="280"/>
      <c r="O504" s="845"/>
      <c r="P504" s="790"/>
    </row>
    <row r="505" spans="1:16" ht="32">
      <c r="B505" s="225" t="s">
        <v>795</v>
      </c>
      <c r="C505" s="867">
        <f>C258</f>
        <v>0</v>
      </c>
      <c r="D505" s="867">
        <v>0</v>
      </c>
      <c r="E505" s="226"/>
      <c r="O505" s="845"/>
      <c r="P505" s="790"/>
    </row>
    <row r="506" spans="1:16" ht="32">
      <c r="B506" s="225" t="s">
        <v>477</v>
      </c>
      <c r="C506" s="867">
        <f>C504+C505</f>
        <v>5944263</v>
      </c>
      <c r="D506" s="867">
        <f>D504+D505</f>
        <v>5944263</v>
      </c>
      <c r="E506" s="226"/>
      <c r="N506" s="5"/>
      <c r="O506" s="845"/>
      <c r="P506" s="790"/>
    </row>
    <row r="507" spans="1:16">
      <c r="B507" s="237" t="s">
        <v>478</v>
      </c>
      <c r="C507" s="867">
        <f>+C503</f>
        <v>-70108956</v>
      </c>
      <c r="D507" s="867">
        <f>+D503</f>
        <v>-60115399</v>
      </c>
      <c r="E507" s="226"/>
      <c r="N507" s="5"/>
      <c r="O507" s="845"/>
      <c r="P507" s="790"/>
    </row>
    <row r="508" spans="1:16">
      <c r="B508" s="237" t="s">
        <v>1008</v>
      </c>
      <c r="C508" s="238">
        <f>C503/C504</f>
        <v>-11.794389985772836</v>
      </c>
      <c r="D508" s="238">
        <f>D503/D504</f>
        <v>-10.113179548078543</v>
      </c>
      <c r="E508" s="226"/>
      <c r="N508" s="5"/>
      <c r="O508" s="845"/>
      <c r="P508" s="790"/>
    </row>
    <row r="509" spans="1:16">
      <c r="B509" s="237" t="s">
        <v>1088</v>
      </c>
      <c r="C509" s="238">
        <f>+C507/C506</f>
        <v>-11.794389985772836</v>
      </c>
      <c r="D509" s="238">
        <f>+D507/D506</f>
        <v>-10.113179548078543</v>
      </c>
      <c r="E509" s="238"/>
    </row>
    <row r="510" spans="1:16">
      <c r="B510" s="237" t="s">
        <v>1009</v>
      </c>
      <c r="C510" s="226">
        <v>10</v>
      </c>
      <c r="D510" s="226">
        <v>10</v>
      </c>
      <c r="E510" s="238"/>
    </row>
    <row r="511" spans="1:16">
      <c r="B511" s="237" t="s">
        <v>1636</v>
      </c>
      <c r="C511" s="226">
        <v>0</v>
      </c>
      <c r="D511" s="238">
        <v>0</v>
      </c>
      <c r="E511" s="226"/>
    </row>
    <row r="512" spans="1:16" ht="16" thickBot="1">
      <c r="B512" s="364"/>
      <c r="C512" s="239"/>
      <c r="D512" s="239"/>
      <c r="E512" s="226"/>
    </row>
    <row r="513" spans="1:6" ht="10.5" customHeight="1" thickTop="1" thickBot="1">
      <c r="B513" s="6"/>
      <c r="C513" s="844"/>
      <c r="D513" s="844"/>
      <c r="E513" s="239"/>
    </row>
    <row r="514" spans="1:6" ht="16" thickTop="1">
      <c r="A514" s="223">
        <f>+A500+1</f>
        <v>33</v>
      </c>
      <c r="B514" s="6" t="s">
        <v>331</v>
      </c>
      <c r="E514" s="844"/>
    </row>
    <row r="515" spans="1:6" ht="16">
      <c r="B515" s="356" t="s">
        <v>0</v>
      </c>
      <c r="C515" s="808" t="str">
        <f>+C501</f>
        <v>2022-23</v>
      </c>
      <c r="D515" s="808" t="str">
        <f>+D501</f>
        <v>2021-22</v>
      </c>
    </row>
    <row r="516" spans="1:6" ht="11.25" customHeight="1">
      <c r="B516" s="358"/>
      <c r="C516" s="360"/>
      <c r="D516" s="360"/>
      <c r="E516" s="808"/>
    </row>
    <row r="517" spans="1:6">
      <c r="B517" s="237" t="s">
        <v>388</v>
      </c>
      <c r="C517" s="867">
        <f>ROUND('PL Grouping'!K266,0)</f>
        <v>247500</v>
      </c>
      <c r="D517" s="867">
        <f>ROUND('PL Grouping'!T266,0)</f>
        <v>121000</v>
      </c>
      <c r="E517" s="360"/>
    </row>
    <row r="518" spans="1:6">
      <c r="B518" s="237" t="s">
        <v>389</v>
      </c>
      <c r="C518" s="867">
        <f>ROUND('PL Grouping'!K270,0)</f>
        <v>8354</v>
      </c>
      <c r="D518" s="867">
        <f>ROUND('PL Grouping'!T270,0)</f>
        <v>0</v>
      </c>
      <c r="E518" s="226"/>
      <c r="F518" s="269" t="s">
        <v>460</v>
      </c>
    </row>
    <row r="519" spans="1:6" ht="7.5" customHeight="1">
      <c r="B519" s="237"/>
      <c r="C519" s="867"/>
      <c r="D519" s="867"/>
      <c r="E519" s="226"/>
      <c r="F519" s="269" t="s">
        <v>460</v>
      </c>
    </row>
    <row r="520" spans="1:6" ht="16" thickBot="1">
      <c r="B520" s="364" t="s">
        <v>51</v>
      </c>
      <c r="C520" s="858">
        <f>SUM(C517:C519)</f>
        <v>255854</v>
      </c>
      <c r="D520" s="858">
        <f>SUM(D517:D519)</f>
        <v>121000</v>
      </c>
      <c r="E520" s="226"/>
    </row>
    <row r="521" spans="1:6" ht="9" customHeight="1" thickTop="1" thickBot="1">
      <c r="E521" s="58"/>
    </row>
    <row r="522" spans="1:6" ht="16" thickTop="1">
      <c r="A522" s="223">
        <f>+A514+1</f>
        <v>34</v>
      </c>
      <c r="B522" s="6" t="s">
        <v>474</v>
      </c>
    </row>
    <row r="523" spans="1:6">
      <c r="B523" s="6" t="s">
        <v>479</v>
      </c>
    </row>
    <row r="524" spans="1:6" ht="34.5" customHeight="1">
      <c r="B524" s="1017" t="s">
        <v>475</v>
      </c>
      <c r="C524" s="1017"/>
      <c r="D524" s="1017"/>
    </row>
    <row r="525" spans="1:6" ht="30.75" customHeight="1" thickBot="1">
      <c r="B525" s="356" t="s">
        <v>0</v>
      </c>
      <c r="C525" s="785" t="str">
        <f>+C317</f>
        <v xml:space="preserve"> As at  31st March, 2023</v>
      </c>
      <c r="D525" s="785" t="str">
        <f>+D317</f>
        <v xml:space="preserve"> As at  31st March, 2022</v>
      </c>
      <c r="E525" s="240"/>
    </row>
    <row r="526" spans="1:6" ht="8.25" customHeight="1">
      <c r="B526" s="358"/>
      <c r="C526" s="360"/>
      <c r="D526" s="360"/>
      <c r="E526" s="273"/>
    </row>
    <row r="527" spans="1:6">
      <c r="B527" s="237" t="s">
        <v>471</v>
      </c>
      <c r="C527" s="867">
        <f>ROU!R11</f>
        <v>366682</v>
      </c>
      <c r="D527" s="867">
        <v>365680</v>
      </c>
      <c r="E527" s="360"/>
    </row>
    <row r="528" spans="1:6">
      <c r="B528" s="237" t="s">
        <v>472</v>
      </c>
      <c r="C528" s="867">
        <f>+ROU!S11</f>
        <v>320596</v>
      </c>
      <c r="D528" s="867">
        <v>687278</v>
      </c>
      <c r="E528" s="226"/>
    </row>
    <row r="529" spans="1:14">
      <c r="A529" s="269"/>
      <c r="B529" s="237" t="s">
        <v>473</v>
      </c>
      <c r="C529" s="867">
        <v>0</v>
      </c>
      <c r="D529" s="867">
        <v>0</v>
      </c>
      <c r="E529" s="226"/>
    </row>
    <row r="530" spans="1:14" ht="16" thickBot="1">
      <c r="A530" s="269"/>
      <c r="B530" s="364" t="s">
        <v>51</v>
      </c>
      <c r="C530" s="858">
        <f>SUM(C527:C529)</f>
        <v>687278</v>
      </c>
      <c r="D530" s="858">
        <f>SUM(D527:D529)</f>
        <v>1052958</v>
      </c>
      <c r="E530" s="226"/>
    </row>
    <row r="531" spans="1:14" ht="16" thickTop="1">
      <c r="A531" s="269"/>
      <c r="B531" s="6"/>
      <c r="C531" s="844"/>
      <c r="D531" s="844"/>
      <c r="E531" s="292"/>
    </row>
    <row r="532" spans="1:14" ht="44.25" customHeight="1">
      <c r="A532" s="269"/>
      <c r="B532" s="1023" t="s">
        <v>1729</v>
      </c>
      <c r="C532" s="1023"/>
      <c r="D532" s="1023"/>
      <c r="E532" s="292">
        <f>'PL Grouping'!K247</f>
        <v>303131</v>
      </c>
      <c r="F532" s="269">
        <f>'PL Grouping'!T247</f>
        <v>24151</v>
      </c>
    </row>
    <row r="533" spans="1:14">
      <c r="A533" s="269"/>
      <c r="E533" s="846">
        <f>C18</f>
        <v>569719</v>
      </c>
      <c r="F533" s="846">
        <f>D18</f>
        <v>872850</v>
      </c>
      <c r="M533" s="280">
        <f>+C482</f>
        <v>628328</v>
      </c>
      <c r="N533" s="280"/>
    </row>
    <row r="534" spans="1:14" ht="31.5" customHeight="1">
      <c r="A534" s="269"/>
      <c r="B534" s="1012" t="s">
        <v>1725</v>
      </c>
      <c r="C534" s="1012"/>
      <c r="D534" s="1012"/>
      <c r="E534" s="846">
        <f>C482</f>
        <v>628328</v>
      </c>
      <c r="F534" s="846">
        <f>D482</f>
        <v>264972</v>
      </c>
      <c r="H534" s="269" t="s">
        <v>476</v>
      </c>
    </row>
  </sheetData>
  <autoFilter ref="A6:S534" xr:uid="{00000000-0001-0000-1400-000000000000}"/>
  <mergeCells count="13">
    <mergeCell ref="B534:D534"/>
    <mergeCell ref="B35:D35"/>
    <mergeCell ref="B214:D214"/>
    <mergeCell ref="B215:D215"/>
    <mergeCell ref="B339:D339"/>
    <mergeCell ref="B524:D524"/>
    <mergeCell ref="B266:D266"/>
    <mergeCell ref="B280:D280"/>
    <mergeCell ref="B281:D281"/>
    <mergeCell ref="C289:D289"/>
    <mergeCell ref="C283:C288"/>
    <mergeCell ref="B532:D532"/>
    <mergeCell ref="C268:C279"/>
  </mergeCells>
  <pageMargins left="0.2" right="0.2" top="0.5" bottom="0.25" header="0.31496062992126" footer="0.31496062992126"/>
  <pageSetup scale="87" fitToHeight="10" orientation="portrait" blackAndWhite="1" r:id="rId1"/>
  <rowBreaks count="12" manualBreakCount="12">
    <brk id="45" max="3" man="1"/>
    <brk id="89" max="3" man="1"/>
    <brk id="132" max="3" man="1"/>
    <brk id="177" max="3" man="1"/>
    <brk id="215" max="3" man="1"/>
    <brk id="263" max="3" man="1"/>
    <brk id="290" max="3" man="1"/>
    <brk id="323" max="3" man="1"/>
    <brk id="366" max="3" man="1"/>
    <brk id="420" max="3" man="1"/>
    <brk id="465" max="3" man="1"/>
    <brk id="513"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rgb="FFFFFF00"/>
    <pageSetUpPr fitToPage="1"/>
  </sheetPr>
  <dimension ref="A1:L61"/>
  <sheetViews>
    <sheetView view="pageBreakPreview" zoomScale="118" zoomScaleSheetLayoutView="118" workbookViewId="0">
      <selection activeCell="B28" sqref="B28"/>
    </sheetView>
  </sheetViews>
  <sheetFormatPr baseColWidth="10" defaultColWidth="9.1640625" defaultRowHeight="15"/>
  <cols>
    <col min="1" max="1" width="37.33203125" style="1" customWidth="1"/>
    <col min="2" max="5" width="15.6640625" style="1" customWidth="1"/>
    <col min="6" max="6" width="19.1640625" style="1" hidden="1" customWidth="1"/>
    <col min="7" max="7" width="11.6640625" style="1" hidden="1" customWidth="1"/>
    <col min="8" max="8" width="12.1640625" style="1" hidden="1" customWidth="1"/>
    <col min="9" max="9" width="9.1640625" style="1"/>
    <col min="10" max="10" width="12.5" style="1" bestFit="1" customWidth="1"/>
    <col min="11" max="12" width="11.5" style="1" bestFit="1" customWidth="1"/>
    <col min="13" max="16384" width="9.1640625" style="1"/>
  </cols>
  <sheetData>
    <row r="1" spans="1:10">
      <c r="A1" s="6" t="str">
        <f>BS!A1</f>
        <v>1908 E-Ventures Private Limited</v>
      </c>
    </row>
    <row r="2" spans="1:10">
      <c r="A2" s="6" t="s">
        <v>350</v>
      </c>
    </row>
    <row r="3" spans="1:10">
      <c r="A3" s="6" t="s">
        <v>1506</v>
      </c>
    </row>
    <row r="4" spans="1:10">
      <c r="A4" s="15" t="str">
        <f>BS!A3</f>
        <v>[Currency: Indian Rupees(Rs.'000)]</v>
      </c>
    </row>
    <row r="6" spans="1:10">
      <c r="A6" s="6" t="s">
        <v>321</v>
      </c>
    </row>
    <row r="7" spans="1:10" ht="15" customHeight="1">
      <c r="A7" s="1027" t="s">
        <v>0</v>
      </c>
      <c r="B7" s="1029" t="s">
        <v>566</v>
      </c>
      <c r="C7" s="1030"/>
      <c r="D7" s="1029" t="s">
        <v>565</v>
      </c>
      <c r="E7" s="1030"/>
    </row>
    <row r="8" spans="1:10" ht="33.75" customHeight="1">
      <c r="A8" s="1028"/>
      <c r="B8" s="16" t="s">
        <v>797</v>
      </c>
      <c r="C8" s="16" t="s">
        <v>1053</v>
      </c>
      <c r="D8" s="16" t="s">
        <v>797</v>
      </c>
      <c r="E8" s="16" t="s">
        <v>1053</v>
      </c>
    </row>
    <row r="9" spans="1:10">
      <c r="A9" s="4" t="s">
        <v>1668</v>
      </c>
      <c r="B9" s="863">
        <f>+D14</f>
        <v>5944263</v>
      </c>
      <c r="C9" s="863">
        <f>B9*10</f>
        <v>59442630</v>
      </c>
      <c r="D9" s="863">
        <v>3199329</v>
      </c>
      <c r="E9" s="863">
        <v>31993290</v>
      </c>
    </row>
    <row r="10" spans="1:10" ht="35.25" customHeight="1">
      <c r="A10" s="54" t="s">
        <v>1050</v>
      </c>
      <c r="B10" s="863"/>
      <c r="C10" s="863">
        <f>+B10*10</f>
        <v>0</v>
      </c>
      <c r="D10" s="863">
        <v>37000</v>
      </c>
      <c r="E10" s="863">
        <v>370000</v>
      </c>
    </row>
    <row r="11" spans="1:10" ht="35.25" customHeight="1">
      <c r="A11" s="21" t="s">
        <v>1331</v>
      </c>
      <c r="B11" s="863">
        <v>50251</v>
      </c>
      <c r="C11" s="863">
        <f>+B11*10</f>
        <v>502510</v>
      </c>
      <c r="D11" s="863">
        <v>1894732</v>
      </c>
      <c r="E11" s="863">
        <v>18947320</v>
      </c>
    </row>
    <row r="12" spans="1:10" ht="32">
      <c r="A12" s="21" t="s">
        <v>1051</v>
      </c>
      <c r="B12" s="863"/>
      <c r="C12" s="863">
        <f>+B12*10</f>
        <v>0</v>
      </c>
      <c r="D12" s="863">
        <v>457142</v>
      </c>
      <c r="E12" s="863">
        <v>4571420</v>
      </c>
    </row>
    <row r="13" spans="1:10" ht="32">
      <c r="A13" s="21" t="s">
        <v>1332</v>
      </c>
      <c r="B13" s="863"/>
      <c r="C13" s="863">
        <f>+B13*10</f>
        <v>0</v>
      </c>
      <c r="D13" s="863">
        <v>356060</v>
      </c>
      <c r="E13" s="863">
        <v>3560600</v>
      </c>
      <c r="J13" s="1">
        <f>194529139-118487682</f>
        <v>76041457</v>
      </c>
    </row>
    <row r="14" spans="1:10" ht="16" thickBot="1">
      <c r="A14" s="775" t="s">
        <v>1052</v>
      </c>
      <c r="B14" s="868">
        <f>SUM(B9:B13)</f>
        <v>5994514</v>
      </c>
      <c r="C14" s="868">
        <f>SUM(C9:C13)</f>
        <v>59945140</v>
      </c>
      <c r="D14" s="868">
        <f>SUM(D9:D13)</f>
        <v>5944263</v>
      </c>
      <c r="E14" s="868">
        <f>SUM(E9:E13)</f>
        <v>59442630</v>
      </c>
      <c r="J14" s="292">
        <f>+E29+C14</f>
        <v>10926966</v>
      </c>
    </row>
    <row r="15" spans="1:10" ht="8.25" customHeight="1" thickTop="1">
      <c r="B15" s="900"/>
      <c r="C15" s="900"/>
      <c r="D15" s="900"/>
      <c r="E15" s="900"/>
      <c r="F15" s="776"/>
      <c r="G15" s="776"/>
    </row>
    <row r="16" spans="1:10" ht="8.25" customHeight="1">
      <c r="B16" s="900"/>
      <c r="C16" s="900"/>
      <c r="D16" s="900"/>
      <c r="E16" s="900"/>
      <c r="F16" s="776"/>
      <c r="G16" s="776"/>
    </row>
    <row r="17" spans="1:12">
      <c r="A17" s="6" t="s">
        <v>322</v>
      </c>
      <c r="B17" s="900"/>
      <c r="C17" s="900"/>
      <c r="D17" s="900"/>
      <c r="E17" s="900"/>
      <c r="F17" s="776"/>
      <c r="G17" s="776"/>
    </row>
    <row r="18" spans="1:12">
      <c r="A18" s="1035" t="s">
        <v>0</v>
      </c>
      <c r="B18" s="1037" t="s">
        <v>323</v>
      </c>
      <c r="C18" s="1038"/>
      <c r="D18" s="1039"/>
      <c r="E18" s="1033" t="s">
        <v>324</v>
      </c>
      <c r="J18" s="292">
        <f>J13-J14</f>
        <v>65114491</v>
      </c>
      <c r="K18" s="1">
        <v>149599</v>
      </c>
      <c r="L18" s="1" t="s">
        <v>1333</v>
      </c>
    </row>
    <row r="19" spans="1:12" ht="33.75" customHeight="1">
      <c r="A19" s="1036"/>
      <c r="B19" s="903" t="s">
        <v>325</v>
      </c>
      <c r="C19" s="903" t="s">
        <v>1047</v>
      </c>
      <c r="D19" s="903" t="s">
        <v>1048</v>
      </c>
      <c r="E19" s="1034"/>
      <c r="K19" s="1">
        <v>335985</v>
      </c>
      <c r="L19" s="1" t="s">
        <v>1334</v>
      </c>
    </row>
    <row r="20" spans="1:12" ht="16">
      <c r="A20" s="2"/>
      <c r="B20" s="904" t="s">
        <v>1011</v>
      </c>
      <c r="C20" s="904" t="s">
        <v>1011</v>
      </c>
      <c r="D20" s="904" t="s">
        <v>1011</v>
      </c>
      <c r="E20" s="905" t="s">
        <v>1011</v>
      </c>
      <c r="K20" s="1">
        <f>SUM(K18:K19)</f>
        <v>485584</v>
      </c>
    </row>
    <row r="21" spans="1:12">
      <c r="A21" s="4" t="s">
        <v>1513</v>
      </c>
      <c r="B21" s="862">
        <f>+B39</f>
        <v>-156058722</v>
      </c>
      <c r="C21" s="860">
        <f>+C39</f>
        <v>172694594</v>
      </c>
      <c r="D21" s="862">
        <f>+D39</f>
        <v>-106</v>
      </c>
      <c r="E21" s="906">
        <f t="shared" ref="E21:E26" si="0">SUM(B21:D21)</f>
        <v>16635766</v>
      </c>
      <c r="K21" s="292">
        <f>+J18+K20</f>
        <v>65600075</v>
      </c>
    </row>
    <row r="22" spans="1:12">
      <c r="A22" s="2" t="s">
        <v>326</v>
      </c>
      <c r="B22" s="860">
        <f>ROUND(PL!D27,)</f>
        <v>-70108956</v>
      </c>
      <c r="C22" s="860">
        <v>0</v>
      </c>
      <c r="D22" s="860">
        <v>0</v>
      </c>
      <c r="E22" s="907">
        <f t="shared" si="0"/>
        <v>-70108956</v>
      </c>
    </row>
    <row r="23" spans="1:12">
      <c r="A23" s="2" t="s">
        <v>1049</v>
      </c>
      <c r="B23" s="860">
        <v>0</v>
      </c>
      <c r="C23" s="860">
        <v>4497465</v>
      </c>
      <c r="D23" s="860">
        <v>0</v>
      </c>
      <c r="E23" s="907">
        <f t="shared" si="0"/>
        <v>4497465</v>
      </c>
      <c r="K23" s="292"/>
    </row>
    <row r="24" spans="1:12" ht="32">
      <c r="A24" s="21" t="s">
        <v>1060</v>
      </c>
      <c r="B24" s="860"/>
      <c r="C24" s="860">
        <v>0</v>
      </c>
      <c r="D24" s="860">
        <f>-B24</f>
        <v>0</v>
      </c>
      <c r="E24" s="907">
        <f t="shared" si="0"/>
        <v>0</v>
      </c>
    </row>
    <row r="25" spans="1:12">
      <c r="A25" s="2" t="s">
        <v>556</v>
      </c>
      <c r="B25" s="860">
        <v>-106</v>
      </c>
      <c r="C25" s="860">
        <v>0</v>
      </c>
      <c r="D25" s="860">
        <v>106</v>
      </c>
      <c r="E25" s="907">
        <f t="shared" si="0"/>
        <v>0</v>
      </c>
      <c r="J25" s="292"/>
      <c r="K25" s="292"/>
    </row>
    <row r="26" spans="1:12">
      <c r="A26" s="2" t="s">
        <v>327</v>
      </c>
      <c r="B26" s="860">
        <f>ROUND((PL!D31+PL!D32),)</f>
        <v>-42449</v>
      </c>
      <c r="C26" s="860">
        <v>0</v>
      </c>
      <c r="D26" s="860">
        <f>PL!F31</f>
        <v>0</v>
      </c>
      <c r="E26" s="907">
        <f t="shared" si="0"/>
        <v>-42449</v>
      </c>
    </row>
    <row r="27" spans="1:12">
      <c r="A27" s="2"/>
      <c r="B27" s="860"/>
      <c r="C27" s="860"/>
      <c r="D27" s="860"/>
      <c r="E27" s="907"/>
      <c r="L27" s="292"/>
    </row>
    <row r="28" spans="1:12">
      <c r="A28" s="2" t="s">
        <v>328</v>
      </c>
      <c r="B28" s="861">
        <f>SUM(B22:B26)</f>
        <v>-70151511</v>
      </c>
      <c r="C28" s="861">
        <f>SUM(C22:C26)</f>
        <v>4497465</v>
      </c>
      <c r="D28" s="861">
        <f>SUM(D22:D26)</f>
        <v>106</v>
      </c>
      <c r="E28" s="861">
        <f>SUM(E22:E26)</f>
        <v>-65653940</v>
      </c>
      <c r="J28" s="292"/>
      <c r="K28" s="292"/>
      <c r="L28" s="292"/>
    </row>
    <row r="29" spans="1:12" ht="16" thickBot="1">
      <c r="A29" s="4" t="s">
        <v>1514</v>
      </c>
      <c r="B29" s="908">
        <f>B28+B21</f>
        <v>-226210233</v>
      </c>
      <c r="C29" s="908">
        <f>C28+C21</f>
        <v>177192059</v>
      </c>
      <c r="D29" s="908">
        <f>D28+D21</f>
        <v>0</v>
      </c>
      <c r="E29" s="908">
        <f>E28+E21</f>
        <v>-49018174</v>
      </c>
      <c r="J29" s="292">
        <f>E29+C14</f>
        <v>10926966</v>
      </c>
    </row>
    <row r="30" spans="1:12" ht="16" thickTop="1">
      <c r="A30" s="4"/>
      <c r="B30" s="860"/>
      <c r="C30" s="860"/>
      <c r="D30" s="860"/>
      <c r="E30" s="860"/>
      <c r="L30" s="292"/>
    </row>
    <row r="31" spans="1:12">
      <c r="A31" s="4" t="s">
        <v>1513</v>
      </c>
      <c r="B31" s="860">
        <v>-98611789</v>
      </c>
      <c r="C31" s="860">
        <v>35221692</v>
      </c>
      <c r="D31" s="860">
        <v>596171</v>
      </c>
      <c r="E31" s="907">
        <f t="shared" ref="E31:E36" si="1">SUM(B31:D31)</f>
        <v>-62793926</v>
      </c>
      <c r="J31" s="292"/>
      <c r="L31" s="292"/>
    </row>
    <row r="32" spans="1:12">
      <c r="A32" s="2" t="s">
        <v>326</v>
      </c>
      <c r="B32" s="860">
        <f>ROUND(PL!E27,)</f>
        <v>-60115399</v>
      </c>
      <c r="C32" s="860">
        <v>0</v>
      </c>
      <c r="D32" s="860">
        <v>0</v>
      </c>
      <c r="E32" s="907">
        <f t="shared" si="1"/>
        <v>-60115399</v>
      </c>
    </row>
    <row r="33" spans="1:10">
      <c r="A33" s="2" t="s">
        <v>1049</v>
      </c>
      <c r="B33" s="860">
        <v>0</v>
      </c>
      <c r="C33" s="860">
        <v>137472902</v>
      </c>
      <c r="D33" s="860">
        <v>0</v>
      </c>
      <c r="E33" s="907">
        <f t="shared" si="1"/>
        <v>137472902</v>
      </c>
    </row>
    <row r="34" spans="1:10" ht="32">
      <c r="A34" s="21" t="s">
        <v>1060</v>
      </c>
      <c r="B34" s="860">
        <v>2670127</v>
      </c>
      <c r="C34" s="860">
        <v>0</v>
      </c>
      <c r="D34" s="860">
        <v>-2670127</v>
      </c>
      <c r="E34" s="907">
        <f t="shared" si="1"/>
        <v>0</v>
      </c>
    </row>
    <row r="35" spans="1:10">
      <c r="A35" s="2" t="s">
        <v>556</v>
      </c>
      <c r="B35" s="860">
        <v>0</v>
      </c>
      <c r="C35" s="860">
        <v>0</v>
      </c>
      <c r="D35" s="860">
        <v>2073850</v>
      </c>
      <c r="E35" s="907">
        <f t="shared" si="1"/>
        <v>2073850</v>
      </c>
      <c r="J35" s="292"/>
    </row>
    <row r="36" spans="1:10">
      <c r="A36" s="2" t="s">
        <v>327</v>
      </c>
      <c r="B36" s="860">
        <f>ROUND(PL!E31,)</f>
        <v>-1661</v>
      </c>
      <c r="C36" s="860">
        <v>0</v>
      </c>
      <c r="D36" s="860">
        <v>0</v>
      </c>
      <c r="E36" s="907">
        <f t="shared" si="1"/>
        <v>-1661</v>
      </c>
    </row>
    <row r="37" spans="1:10">
      <c r="A37" s="2"/>
      <c r="B37" s="860"/>
      <c r="C37" s="860"/>
      <c r="D37" s="860"/>
      <c r="E37" s="907"/>
    </row>
    <row r="38" spans="1:10">
      <c r="A38" s="2" t="s">
        <v>328</v>
      </c>
      <c r="B38" s="909">
        <f>SUM(B32:B37)</f>
        <v>-57446933</v>
      </c>
      <c r="C38" s="909">
        <f>SUM(C32:C37)</f>
        <v>137472902</v>
      </c>
      <c r="D38" s="909">
        <f>SUM(D32:D37)</f>
        <v>-596277</v>
      </c>
      <c r="E38" s="909">
        <f>SUM(E32:E37)</f>
        <v>79429692</v>
      </c>
    </row>
    <row r="39" spans="1:10" ht="16" thickBot="1">
      <c r="A39" s="775" t="s">
        <v>1206</v>
      </c>
      <c r="B39" s="908">
        <f>B31+B38</f>
        <v>-156058722</v>
      </c>
      <c r="C39" s="908">
        <f>C31+C38</f>
        <v>172694594</v>
      </c>
      <c r="D39" s="908">
        <f>D31+D38</f>
        <v>-106</v>
      </c>
      <c r="E39" s="908">
        <f>E31+E38</f>
        <v>16635766</v>
      </c>
      <c r="J39" s="292">
        <f>E39+E14</f>
        <v>76078396</v>
      </c>
    </row>
    <row r="40" spans="1:10" ht="7.5" customHeight="1" thickTop="1">
      <c r="A40" s="6"/>
      <c r="D40" s="777"/>
      <c r="E40" s="777"/>
      <c r="F40" s="777"/>
      <c r="G40" s="777"/>
      <c r="H40" s="777"/>
    </row>
    <row r="41" spans="1:10" ht="48">
      <c r="A41" s="14" t="str">
        <f>BS!B56</f>
        <v>The accompanying notes are integral part of the financial statements (all amounts in Rupees)
In terms of our report on even date attached</v>
      </c>
      <c r="B41" s="778"/>
      <c r="C41" s="778"/>
      <c r="D41" s="778"/>
      <c r="E41" s="778"/>
      <c r="J41" s="1">
        <v>16635692</v>
      </c>
    </row>
    <row r="42" spans="1:10" ht="7.5" customHeight="1">
      <c r="A42" s="6"/>
      <c r="B42" s="778"/>
      <c r="C42" s="778"/>
      <c r="D42" s="778"/>
      <c r="E42" s="778"/>
    </row>
    <row r="43" spans="1:10">
      <c r="B43" s="778"/>
      <c r="C43" s="778"/>
      <c r="D43" s="778"/>
      <c r="E43" s="778"/>
    </row>
    <row r="44" spans="1:10" ht="6" customHeight="1">
      <c r="B44" s="778"/>
      <c r="C44" s="778"/>
      <c r="D44" s="778"/>
      <c r="E44" s="778"/>
    </row>
    <row r="45" spans="1:10">
      <c r="A45" s="13"/>
      <c r="B45" s="778"/>
      <c r="C45" s="778"/>
      <c r="D45" s="778"/>
      <c r="E45" s="778"/>
    </row>
    <row r="46" spans="1:10">
      <c r="A46" s="6" t="s">
        <v>351</v>
      </c>
      <c r="B46" s="6" t="s">
        <v>329</v>
      </c>
      <c r="C46" s="6"/>
      <c r="D46" s="777"/>
      <c r="E46" s="6"/>
      <c r="F46" s="778"/>
      <c r="G46" s="778"/>
      <c r="H46" s="778"/>
    </row>
    <row r="47" spans="1:10">
      <c r="A47" s="1" t="s">
        <v>330</v>
      </c>
      <c r="D47" s="777"/>
      <c r="F47" s="777"/>
      <c r="G47" s="777"/>
      <c r="H47" s="777"/>
    </row>
    <row r="48" spans="1:10">
      <c r="A48" s="7" t="s">
        <v>352</v>
      </c>
      <c r="D48" s="777"/>
      <c r="F48" s="777"/>
      <c r="G48" s="777"/>
      <c r="H48" s="777"/>
    </row>
    <row r="49" spans="1:8">
      <c r="D49" s="777"/>
      <c r="F49" s="777"/>
      <c r="G49" s="777"/>
      <c r="H49" s="777"/>
    </row>
    <row r="50" spans="1:8">
      <c r="D50" s="777"/>
      <c r="F50" s="777"/>
      <c r="G50" s="777"/>
      <c r="H50" s="777"/>
    </row>
    <row r="51" spans="1:8">
      <c r="D51" s="777"/>
      <c r="F51" s="779"/>
      <c r="G51" s="778"/>
      <c r="H51" s="778"/>
    </row>
    <row r="52" spans="1:8">
      <c r="A52" s="6" t="s">
        <v>353</v>
      </c>
      <c r="B52" s="6" t="str">
        <f>+BS!C63</f>
        <v>Deep A. Lalvani</v>
      </c>
      <c r="C52" s="6"/>
      <c r="D52" s="6" t="str">
        <f>+BS!E63</f>
        <v>Ninotchka Malkani Nagpal</v>
      </c>
      <c r="G52" s="6"/>
      <c r="H52" s="778"/>
    </row>
    <row r="53" spans="1:8">
      <c r="A53" s="1" t="s">
        <v>356</v>
      </c>
      <c r="B53" s="1" t="str">
        <f>+BS!C64</f>
        <v>Chairman</v>
      </c>
      <c r="D53" s="1" t="str">
        <f>+BS!E64</f>
        <v>Director</v>
      </c>
      <c r="H53" s="777"/>
    </row>
    <row r="54" spans="1:8">
      <c r="A54" s="295" t="s">
        <v>358</v>
      </c>
      <c r="B54" s="1" t="str">
        <f>+BS!C65</f>
        <v>DIN: 01771000</v>
      </c>
      <c r="D54" s="1" t="str">
        <f>+BS!E65</f>
        <v>DIN: 00031985</v>
      </c>
      <c r="H54" s="777"/>
    </row>
    <row r="55" spans="1:8">
      <c r="A55" s="1" t="str">
        <f>+PL!B56</f>
        <v xml:space="preserve">UDIN: </v>
      </c>
      <c r="B55" s="1" t="str">
        <f>+BS!C66</f>
        <v>Place : Mumbai</v>
      </c>
      <c r="C55" s="777"/>
      <c r="D55" s="777"/>
      <c r="G55" s="778"/>
      <c r="H55" s="778"/>
    </row>
    <row r="56" spans="1:8">
      <c r="A56" s="1" t="str">
        <f>+BS!B67</f>
        <v>Place : Mumbai</v>
      </c>
      <c r="B56" s="1" t="str">
        <f>+BS!C67</f>
        <v>Date : 22 May 2023</v>
      </c>
    </row>
    <row r="57" spans="1:8">
      <c r="A57" s="1" t="str">
        <f>+BS!B68</f>
        <v>Date : 22 May 2023</v>
      </c>
    </row>
    <row r="58" spans="1:8">
      <c r="D58" s="780"/>
      <c r="F58" s="780"/>
      <c r="G58" s="780"/>
      <c r="H58" s="780"/>
    </row>
    <row r="59" spans="1:8" ht="49.5" customHeight="1">
      <c r="A59" s="1032"/>
      <c r="B59" s="1032"/>
      <c r="C59" s="1032"/>
      <c r="D59" s="1032"/>
      <c r="E59" s="1032"/>
      <c r="F59" s="1032"/>
      <c r="G59" s="1032"/>
      <c r="H59" s="1032"/>
    </row>
    <row r="60" spans="1:8">
      <c r="A60" s="1031"/>
      <c r="B60" s="1031"/>
      <c r="C60" s="1031"/>
      <c r="D60" s="1031"/>
      <c r="E60" s="1031"/>
      <c r="F60" s="1031"/>
      <c r="G60" s="1031"/>
      <c r="H60" s="1031"/>
    </row>
    <row r="61" spans="1:8">
      <c r="A61" s="1031"/>
      <c r="B61" s="1031"/>
      <c r="C61" s="1031"/>
      <c r="D61" s="1031"/>
      <c r="E61" s="1031"/>
      <c r="F61" s="1031"/>
      <c r="G61" s="1031"/>
      <c r="H61" s="1031"/>
    </row>
  </sheetData>
  <mergeCells count="9">
    <mergeCell ref="A7:A8"/>
    <mergeCell ref="B7:C7"/>
    <mergeCell ref="D7:E7"/>
    <mergeCell ref="A60:H60"/>
    <mergeCell ref="A61:H61"/>
    <mergeCell ref="A59:H59"/>
    <mergeCell ref="E18:E19"/>
    <mergeCell ref="A18:A19"/>
    <mergeCell ref="B18:D18"/>
  </mergeCells>
  <conditionalFormatting sqref="C53">
    <cfRule type="cellIs" dxfId="4" priority="1" stopIfTrue="1" operator="equal">
      <formula>"Please Insert Designation of the Director 1"</formula>
    </cfRule>
  </conditionalFormatting>
  <pageMargins left="0.70866141732283472" right="0.55118110236220474" top="0.51181102362204722" bottom="0.19685039370078741" header="0.43307086614173229" footer="0.19685039370078741"/>
  <pageSetup paperSize="9" scale="83"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D484F-31E8-4D0D-92B8-EF6EB8110F5B}">
  <dimension ref="C1:F18"/>
  <sheetViews>
    <sheetView topLeftCell="A2" workbookViewId="0">
      <selection activeCell="B25" sqref="B25"/>
    </sheetView>
  </sheetViews>
  <sheetFormatPr baseColWidth="10" defaultColWidth="8.6640625" defaultRowHeight="16"/>
  <cols>
    <col min="1" max="2" width="8.6640625" style="767"/>
    <col min="3" max="3" width="65.5" style="767" bestFit="1" customWidth="1"/>
    <col min="4" max="5" width="20.6640625" style="767" bestFit="1" customWidth="1"/>
    <col min="6" max="6" width="13.5" style="767" bestFit="1" customWidth="1"/>
    <col min="7" max="16384" width="8.6640625" style="767"/>
  </cols>
  <sheetData>
    <row r="1" spans="3:5">
      <c r="C1" s="766" t="s">
        <v>1459</v>
      </c>
    </row>
    <row r="3" spans="3:5">
      <c r="C3" s="768" t="s">
        <v>1449</v>
      </c>
    </row>
    <row r="5" spans="3:5">
      <c r="C5" s="769" t="s">
        <v>0</v>
      </c>
      <c r="D5" s="769" t="s">
        <v>1672</v>
      </c>
      <c r="E5" s="769" t="s">
        <v>1708</v>
      </c>
    </row>
    <row r="6" spans="3:5">
      <c r="C6" s="770" t="s">
        <v>1450</v>
      </c>
      <c r="D6" s="771">
        <f>PL!D27</f>
        <v>-70108956</v>
      </c>
      <c r="E6" s="771">
        <f>PL!E27</f>
        <v>-60115399</v>
      </c>
    </row>
    <row r="7" spans="3:5">
      <c r="C7" s="770" t="s">
        <v>1460</v>
      </c>
      <c r="D7" s="771">
        <f>PL!D17</f>
        <v>3854623</v>
      </c>
      <c r="E7" s="771">
        <f>PL!E17</f>
        <v>1350262</v>
      </c>
    </row>
    <row r="8" spans="3:5">
      <c r="C8" s="770" t="s">
        <v>1451</v>
      </c>
      <c r="D8" s="771">
        <f>ROU!D51</f>
        <v>90939</v>
      </c>
      <c r="E8" s="771">
        <f>ROU!D50</f>
        <v>10962.509589041096</v>
      </c>
    </row>
    <row r="9" spans="3:5">
      <c r="C9" s="770" t="s">
        <v>1452</v>
      </c>
      <c r="D9" s="771">
        <f>-Notes!C414</f>
        <v>-13234</v>
      </c>
      <c r="E9" s="771">
        <f>-Notes!D414</f>
        <v>-24198</v>
      </c>
    </row>
    <row r="10" spans="3:5">
      <c r="C10" s="770" t="s">
        <v>1453</v>
      </c>
      <c r="D10" s="771"/>
      <c r="E10" s="771"/>
    </row>
    <row r="11" spans="3:5">
      <c r="C11" s="770" t="s">
        <v>1454</v>
      </c>
      <c r="D11" s="771"/>
      <c r="E11" s="771"/>
    </row>
    <row r="12" spans="3:5">
      <c r="C12" s="770" t="s">
        <v>1455</v>
      </c>
      <c r="D12" s="771"/>
      <c r="E12" s="771"/>
    </row>
    <row r="13" spans="3:5">
      <c r="C13" s="770" t="s">
        <v>1709</v>
      </c>
      <c r="D13" s="771">
        <f>Notes!C484*0</f>
        <v>0</v>
      </c>
      <c r="E13" s="771">
        <f>Notes!D484*0</f>
        <v>0</v>
      </c>
    </row>
    <row r="14" spans="3:5">
      <c r="C14" s="770" t="s">
        <v>1456</v>
      </c>
      <c r="D14" s="771"/>
      <c r="E14" s="771"/>
    </row>
    <row r="15" spans="3:5">
      <c r="C15" s="770" t="s">
        <v>1491</v>
      </c>
      <c r="D15" s="771">
        <f>Notes!C445</f>
        <v>0</v>
      </c>
      <c r="E15" s="771">
        <f>Notes!D445</f>
        <v>2073850</v>
      </c>
    </row>
    <row r="16" spans="3:5">
      <c r="C16" s="770" t="s">
        <v>1461</v>
      </c>
      <c r="D16" s="771">
        <f>Notes!C475</f>
        <v>38077</v>
      </c>
      <c r="E16" s="771">
        <f>Notes!D475</f>
        <v>122301</v>
      </c>
    </row>
    <row r="17" spans="3:6">
      <c r="C17" s="770" t="s">
        <v>1457</v>
      </c>
      <c r="D17" s="771">
        <f>PL!D26</f>
        <v>-749317</v>
      </c>
      <c r="E17" s="771">
        <f>PL!E26</f>
        <v>0</v>
      </c>
    </row>
    <row r="18" spans="3:6">
      <c r="C18" s="772" t="s">
        <v>1458</v>
      </c>
      <c r="D18" s="773">
        <f>SUM(D6:D17)</f>
        <v>-66887868</v>
      </c>
      <c r="E18" s="773">
        <f>SUM(E6:E17)</f>
        <v>-56582221.490410961</v>
      </c>
      <c r="F18" s="77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
    <tabColor rgb="FF92D050"/>
    <pageSetUpPr fitToPage="1"/>
  </sheetPr>
  <dimension ref="A1:AD226"/>
  <sheetViews>
    <sheetView showGridLines="0" view="pageBreakPreview" topLeftCell="A215" zoomScaleSheetLayoutView="100" workbookViewId="0">
      <selection activeCell="B25" sqref="B25"/>
    </sheetView>
  </sheetViews>
  <sheetFormatPr baseColWidth="10" defaultColWidth="9.1640625" defaultRowHeight="16"/>
  <cols>
    <col min="1" max="1" width="4" style="194" customWidth="1"/>
    <col min="2" max="2" width="4.5" style="194" customWidth="1"/>
    <col min="3" max="3" width="39.5" style="194" customWidth="1"/>
    <col min="4" max="4" width="16.6640625" style="194" customWidth="1"/>
    <col min="5" max="5" width="14.33203125" style="194" customWidth="1"/>
    <col min="6" max="6" width="12" style="194" customWidth="1"/>
    <col min="7" max="7" width="15.33203125" style="194" customWidth="1"/>
    <col min="8" max="8" width="23.5" style="195" customWidth="1"/>
    <col min="9" max="10" width="9.1640625" style="195"/>
    <col min="11" max="11" width="12" style="195" bestFit="1" customWidth="1"/>
    <col min="12" max="16384" width="9.1640625" style="195"/>
  </cols>
  <sheetData>
    <row r="1" spans="1:12" s="191" customFormat="1">
      <c r="A1" s="190" t="str">
        <f>'Cash flow'!A1</f>
        <v>1908 E-Ventures Private Limited</v>
      </c>
      <c r="H1" s="192"/>
    </row>
    <row r="2" spans="1:12" s="191" customFormat="1">
      <c r="A2" s="193" t="s">
        <v>1209</v>
      </c>
      <c r="H2" s="192"/>
    </row>
    <row r="3" spans="1:12">
      <c r="A3" s="191" t="s">
        <v>1013</v>
      </c>
    </row>
    <row r="5" spans="1:12">
      <c r="A5" s="196">
        <v>1</v>
      </c>
      <c r="B5" s="1059" t="s">
        <v>785</v>
      </c>
      <c r="C5" s="1059"/>
      <c r="D5" s="1059"/>
      <c r="E5" s="1059"/>
      <c r="F5" s="1059"/>
      <c r="G5" s="1059"/>
      <c r="H5" s="1059"/>
    </row>
    <row r="6" spans="1:12" ht="140.25" customHeight="1">
      <c r="B6" s="197" t="s">
        <v>584</v>
      </c>
      <c r="C6" s="1060" t="s">
        <v>1124</v>
      </c>
      <c r="D6" s="1060"/>
      <c r="E6" s="1060"/>
      <c r="F6" s="1060"/>
      <c r="G6" s="1060"/>
      <c r="H6" s="1060"/>
    </row>
    <row r="7" spans="1:12" ht="18" customHeight="1">
      <c r="A7" s="196">
        <v>2.1</v>
      </c>
      <c r="B7" s="1059" t="s">
        <v>583</v>
      </c>
      <c r="C7" s="1059"/>
      <c r="D7" s="1059"/>
      <c r="E7" s="1059"/>
      <c r="F7" s="1059"/>
      <c r="G7" s="1059"/>
      <c r="H7" s="1059"/>
      <c r="I7" s="199"/>
      <c r="J7" s="199"/>
      <c r="K7" s="199"/>
      <c r="L7" s="199"/>
    </row>
    <row r="8" spans="1:12" ht="21" customHeight="1">
      <c r="A8" s="196"/>
      <c r="B8" s="196" t="s">
        <v>584</v>
      </c>
      <c r="C8" s="1059" t="s">
        <v>585</v>
      </c>
      <c r="D8" s="1059"/>
      <c r="E8" s="1059"/>
      <c r="F8" s="1059"/>
      <c r="G8" s="1059"/>
      <c r="H8" s="1059"/>
      <c r="I8" s="199"/>
      <c r="J8" s="199"/>
      <c r="K8" s="199"/>
      <c r="L8" s="199"/>
    </row>
    <row r="9" spans="1:12" ht="81" customHeight="1">
      <c r="A9" s="196"/>
      <c r="B9" s="197" t="s">
        <v>443</v>
      </c>
      <c r="C9" s="1060" t="s">
        <v>1012</v>
      </c>
      <c r="D9" s="1060"/>
      <c r="E9" s="1060"/>
      <c r="F9" s="1060"/>
      <c r="G9" s="1060"/>
      <c r="H9" s="1060"/>
      <c r="I9" s="199"/>
      <c r="J9" s="199"/>
      <c r="K9" s="199"/>
      <c r="L9" s="199"/>
    </row>
    <row r="10" spans="1:12" ht="49.5" customHeight="1">
      <c r="A10" s="196"/>
      <c r="B10" s="197" t="s">
        <v>586</v>
      </c>
      <c r="C10" s="1060" t="s">
        <v>587</v>
      </c>
      <c r="D10" s="1060"/>
      <c r="E10" s="1060"/>
      <c r="F10" s="1060"/>
      <c r="G10" s="1060"/>
      <c r="H10" s="1060"/>
      <c r="I10" s="199"/>
      <c r="J10" s="199"/>
      <c r="K10" s="199"/>
      <c r="L10" s="199"/>
    </row>
    <row r="11" spans="1:12" ht="9.75" customHeight="1">
      <c r="A11" s="196"/>
      <c r="B11" s="196"/>
      <c r="C11" s="200"/>
      <c r="D11" s="200"/>
      <c r="E11" s="200"/>
      <c r="F11" s="200"/>
      <c r="G11" s="200"/>
      <c r="H11" s="201"/>
      <c r="I11" s="199"/>
      <c r="J11" s="199"/>
      <c r="K11" s="199"/>
      <c r="L11" s="199"/>
    </row>
    <row r="12" spans="1:12" ht="21" customHeight="1">
      <c r="A12" s="196"/>
      <c r="B12" s="196" t="s">
        <v>588</v>
      </c>
      <c r="C12" s="1061" t="s">
        <v>398</v>
      </c>
      <c r="D12" s="1061"/>
      <c r="E12" s="1061"/>
      <c r="F12" s="1061"/>
      <c r="G12" s="1061"/>
      <c r="H12" s="1061"/>
      <c r="I12" s="199"/>
      <c r="J12" s="199"/>
      <c r="K12" s="199"/>
      <c r="L12" s="199"/>
    </row>
    <row r="13" spans="1:12" ht="68.25" customHeight="1">
      <c r="A13" s="196"/>
      <c r="B13" s="196"/>
      <c r="C13" s="1060" t="s">
        <v>589</v>
      </c>
      <c r="D13" s="1060"/>
      <c r="E13" s="1060"/>
      <c r="F13" s="1060"/>
      <c r="G13" s="1060"/>
      <c r="H13" s="1060"/>
      <c r="I13" s="199"/>
      <c r="J13" s="199"/>
      <c r="K13" s="199"/>
      <c r="L13" s="199"/>
    </row>
    <row r="14" spans="1:12" ht="49.5" customHeight="1">
      <c r="A14" s="196"/>
      <c r="B14" s="196"/>
      <c r="C14" s="1060" t="s">
        <v>590</v>
      </c>
      <c r="D14" s="1060"/>
      <c r="E14" s="1060"/>
      <c r="F14" s="1060"/>
      <c r="G14" s="1060"/>
      <c r="H14" s="1060"/>
      <c r="I14" s="199"/>
      <c r="J14" s="199"/>
      <c r="K14" s="199"/>
      <c r="L14" s="199"/>
    </row>
    <row r="15" spans="1:12" ht="51" customHeight="1">
      <c r="A15" s="196"/>
      <c r="B15" s="196"/>
      <c r="C15" s="1060" t="s">
        <v>591</v>
      </c>
      <c r="D15" s="1060"/>
      <c r="E15" s="1060"/>
      <c r="F15" s="1060"/>
      <c r="G15" s="1060"/>
      <c r="H15" s="1060"/>
      <c r="I15" s="199"/>
      <c r="J15" s="199"/>
      <c r="K15" s="199"/>
      <c r="L15" s="199"/>
    </row>
    <row r="16" spans="1:12" ht="16.5" customHeight="1">
      <c r="A16" s="196"/>
      <c r="B16" s="196"/>
      <c r="C16" s="1061" t="s">
        <v>592</v>
      </c>
      <c r="D16" s="1061"/>
      <c r="E16" s="1061"/>
      <c r="F16" s="1061"/>
      <c r="G16" s="1061"/>
      <c r="H16" s="1061"/>
      <c r="I16" s="199"/>
      <c r="J16" s="199"/>
      <c r="K16" s="199"/>
      <c r="L16" s="199"/>
    </row>
    <row r="17" spans="1:12" ht="66" customHeight="1">
      <c r="A17" s="196"/>
      <c r="B17" s="196"/>
      <c r="C17" s="1067" t="s">
        <v>593</v>
      </c>
      <c r="D17" s="1067"/>
      <c r="E17" s="1067"/>
      <c r="F17" s="1067"/>
      <c r="G17" s="1067"/>
      <c r="H17" s="1067"/>
      <c r="I17" s="199"/>
      <c r="J17" s="199"/>
      <c r="K17" s="199"/>
      <c r="L17" s="199"/>
    </row>
    <row r="18" spans="1:12" ht="7.5" customHeight="1">
      <c r="A18" s="196"/>
      <c r="B18" s="196"/>
      <c r="C18" s="198"/>
      <c r="D18" s="198"/>
      <c r="E18" s="198"/>
      <c r="F18" s="198"/>
      <c r="G18" s="198"/>
      <c r="H18" s="198"/>
      <c r="I18" s="199"/>
      <c r="J18" s="199"/>
      <c r="K18" s="199"/>
      <c r="L18" s="199"/>
    </row>
    <row r="19" spans="1:12">
      <c r="A19" s="196"/>
      <c r="B19" s="196"/>
      <c r="C19" s="1061" t="s">
        <v>594</v>
      </c>
      <c r="D19" s="1061"/>
      <c r="E19" s="1061"/>
      <c r="F19" s="1061"/>
      <c r="G19" s="1061"/>
      <c r="H19" s="1061"/>
      <c r="I19" s="199"/>
      <c r="J19" s="199"/>
      <c r="K19" s="199"/>
      <c r="L19" s="199"/>
    </row>
    <row r="20" spans="1:12" ht="50.25" customHeight="1">
      <c r="A20" s="196"/>
      <c r="B20" s="196"/>
      <c r="C20" s="1067" t="s">
        <v>595</v>
      </c>
      <c r="D20" s="1067"/>
      <c r="E20" s="1067"/>
      <c r="F20" s="1067"/>
      <c r="G20" s="1067"/>
      <c r="H20" s="1067"/>
      <c r="I20" s="199"/>
      <c r="J20" s="199"/>
      <c r="K20" s="199"/>
      <c r="L20" s="199"/>
    </row>
    <row r="21" spans="1:12" ht="8.25" customHeight="1">
      <c r="A21" s="196"/>
      <c r="B21" s="196"/>
      <c r="C21" s="202"/>
      <c r="D21" s="202"/>
      <c r="E21" s="202"/>
      <c r="F21" s="202"/>
      <c r="G21" s="202"/>
      <c r="H21" s="202"/>
      <c r="I21" s="199"/>
      <c r="J21" s="199"/>
      <c r="K21" s="199"/>
      <c r="L21" s="199"/>
    </row>
    <row r="22" spans="1:12">
      <c r="A22" s="196"/>
      <c r="B22" s="196"/>
      <c r="C22" s="1061" t="s">
        <v>596</v>
      </c>
      <c r="D22" s="1061"/>
      <c r="E22" s="1061"/>
      <c r="F22" s="1061"/>
      <c r="G22" s="1061"/>
      <c r="H22" s="1061"/>
      <c r="I22" s="199"/>
      <c r="J22" s="199"/>
      <c r="K22" s="199"/>
      <c r="L22" s="199"/>
    </row>
    <row r="23" spans="1:12" ht="60" customHeight="1">
      <c r="A23" s="196"/>
      <c r="B23" s="196"/>
      <c r="C23" s="1068" t="s">
        <v>1126</v>
      </c>
      <c r="D23" s="1068"/>
      <c r="E23" s="1068"/>
      <c r="F23" s="1068"/>
      <c r="G23" s="1068"/>
      <c r="H23" s="1068"/>
      <c r="I23" s="199"/>
      <c r="J23" s="199"/>
      <c r="K23" s="199"/>
      <c r="L23" s="199"/>
    </row>
    <row r="24" spans="1:12" ht="14.25" customHeight="1">
      <c r="A24" s="196"/>
      <c r="B24" s="196"/>
      <c r="C24" s="203"/>
      <c r="D24" s="203"/>
      <c r="E24" s="203"/>
      <c r="F24" s="203"/>
      <c r="G24" s="203"/>
      <c r="H24" s="203"/>
      <c r="I24" s="199"/>
      <c r="J24" s="199"/>
      <c r="K24" s="199"/>
      <c r="L24" s="199"/>
    </row>
    <row r="25" spans="1:12" ht="18" customHeight="1">
      <c r="A25" s="196"/>
      <c r="B25" s="196" t="s">
        <v>597</v>
      </c>
      <c r="C25" s="1061" t="s">
        <v>598</v>
      </c>
      <c r="D25" s="1061"/>
      <c r="E25" s="1061"/>
      <c r="F25" s="1061"/>
      <c r="G25" s="1061"/>
      <c r="H25" s="1061"/>
      <c r="I25" s="199"/>
      <c r="J25" s="199"/>
      <c r="K25" s="199"/>
      <c r="L25" s="199"/>
    </row>
    <row r="26" spans="1:12" ht="63" customHeight="1">
      <c r="A26" s="196"/>
      <c r="B26" s="196"/>
      <c r="C26" s="1067" t="s">
        <v>599</v>
      </c>
      <c r="D26" s="1067"/>
      <c r="E26" s="1067"/>
      <c r="F26" s="1067"/>
      <c r="G26" s="1067"/>
      <c r="H26" s="1067"/>
      <c r="I26" s="199"/>
      <c r="J26" s="199"/>
      <c r="K26" s="199"/>
      <c r="L26" s="199"/>
    </row>
    <row r="27" spans="1:12" ht="18" customHeight="1">
      <c r="A27" s="196"/>
      <c r="B27" s="196"/>
      <c r="C27" s="1061" t="s">
        <v>600</v>
      </c>
      <c r="D27" s="1061"/>
      <c r="E27" s="1061"/>
      <c r="F27" s="1061"/>
      <c r="G27" s="1061"/>
      <c r="H27" s="1061"/>
      <c r="I27" s="199"/>
      <c r="J27" s="199"/>
      <c r="K27" s="199"/>
      <c r="L27" s="199"/>
    </row>
    <row r="28" spans="1:12" ht="65.25" customHeight="1">
      <c r="A28" s="196"/>
      <c r="B28" s="196"/>
      <c r="C28" s="1068" t="s">
        <v>601</v>
      </c>
      <c r="D28" s="1068"/>
      <c r="E28" s="1068"/>
      <c r="F28" s="1068"/>
      <c r="G28" s="1068"/>
      <c r="H28" s="1068"/>
      <c r="I28" s="199"/>
      <c r="J28" s="199"/>
      <c r="K28" s="199"/>
      <c r="L28" s="199"/>
    </row>
    <row r="29" spans="1:12" ht="18" customHeight="1">
      <c r="A29" s="196"/>
      <c r="B29" s="196"/>
      <c r="C29" s="1070" t="s">
        <v>602</v>
      </c>
      <c r="D29" s="1070"/>
      <c r="E29" s="1070"/>
      <c r="F29" s="1070"/>
      <c r="G29" s="1070"/>
      <c r="H29" s="1070"/>
      <c r="I29" s="199"/>
      <c r="J29" s="199"/>
      <c r="K29" s="199"/>
      <c r="L29" s="199"/>
    </row>
    <row r="30" spans="1:12" ht="21.75" customHeight="1">
      <c r="A30" s="196"/>
      <c r="B30" s="196"/>
      <c r="C30" s="1070" t="s">
        <v>603</v>
      </c>
      <c r="D30" s="1070"/>
      <c r="E30" s="1070"/>
      <c r="F30" s="1070"/>
      <c r="G30" s="1070"/>
      <c r="H30" s="1070"/>
      <c r="I30" s="199"/>
      <c r="J30" s="199"/>
      <c r="K30" s="199"/>
      <c r="L30" s="199"/>
    </row>
    <row r="31" spans="1:12" ht="23.25" customHeight="1">
      <c r="A31" s="196"/>
      <c r="B31" s="196"/>
      <c r="C31" s="1056" t="s">
        <v>604</v>
      </c>
      <c r="D31" s="1056"/>
      <c r="E31" s="1056"/>
      <c r="F31" s="1056"/>
      <c r="G31" s="1056"/>
      <c r="H31" s="1056"/>
      <c r="I31" s="199"/>
      <c r="J31" s="199"/>
      <c r="K31" s="199"/>
      <c r="L31" s="199"/>
    </row>
    <row r="32" spans="1:12" ht="39" customHeight="1">
      <c r="A32" s="196"/>
      <c r="B32" s="196"/>
      <c r="C32" s="1060" t="s">
        <v>605</v>
      </c>
      <c r="D32" s="1060"/>
      <c r="E32" s="1060"/>
      <c r="F32" s="1060"/>
      <c r="G32" s="1060"/>
      <c r="H32" s="1060"/>
      <c r="I32" s="199"/>
      <c r="J32" s="199"/>
      <c r="K32" s="199"/>
      <c r="L32" s="199"/>
    </row>
    <row r="33" spans="1:30" ht="47.5" customHeight="1">
      <c r="A33" s="196"/>
      <c r="B33" s="196"/>
      <c r="C33" s="1060" t="s">
        <v>606</v>
      </c>
      <c r="D33" s="1060"/>
      <c r="E33" s="1060"/>
      <c r="F33" s="1060"/>
      <c r="G33" s="1060"/>
      <c r="H33" s="1060"/>
      <c r="I33" s="199"/>
      <c r="J33" s="199"/>
      <c r="K33" s="199"/>
      <c r="L33" s="199"/>
    </row>
    <row r="34" spans="1:30" ht="56.25" customHeight="1">
      <c r="A34" s="196"/>
      <c r="B34" s="196"/>
      <c r="C34" s="1060" t="s">
        <v>607</v>
      </c>
      <c r="D34" s="1060"/>
      <c r="E34" s="1060"/>
      <c r="F34" s="1060"/>
      <c r="G34" s="1060"/>
      <c r="H34" s="1060"/>
      <c r="I34" s="199"/>
      <c r="J34" s="199"/>
      <c r="K34" s="199"/>
      <c r="L34" s="199"/>
    </row>
    <row r="35" spans="1:30" ht="49.5" customHeight="1">
      <c r="A35" s="196"/>
      <c r="B35" s="196"/>
      <c r="C35" s="1060" t="s">
        <v>608</v>
      </c>
      <c r="D35" s="1060"/>
      <c r="E35" s="1060"/>
      <c r="F35" s="1060"/>
      <c r="G35" s="1060"/>
      <c r="H35" s="1060"/>
      <c r="I35" s="199"/>
      <c r="J35" s="199"/>
      <c r="K35" s="199"/>
      <c r="L35" s="199"/>
    </row>
    <row r="36" spans="1:30" ht="49.5" customHeight="1">
      <c r="A36" s="196"/>
      <c r="B36" s="196"/>
      <c r="C36" s="1060" t="s">
        <v>609</v>
      </c>
      <c r="D36" s="1060"/>
      <c r="E36" s="1060"/>
      <c r="F36" s="1060"/>
      <c r="G36" s="1060"/>
      <c r="H36" s="1060"/>
      <c r="I36" s="199"/>
      <c r="J36" s="199"/>
      <c r="K36" s="199"/>
      <c r="L36" s="199"/>
    </row>
    <row r="37" spans="1:30" ht="18" customHeight="1">
      <c r="A37" s="196"/>
      <c r="B37" s="196"/>
      <c r="C37" s="1056" t="s">
        <v>610</v>
      </c>
      <c r="D37" s="1056"/>
      <c r="E37" s="1056"/>
      <c r="F37" s="1056"/>
      <c r="G37" s="1056"/>
      <c r="H37" s="1056"/>
      <c r="I37" s="199"/>
      <c r="J37" s="199"/>
      <c r="K37" s="199"/>
      <c r="L37" s="199"/>
    </row>
    <row r="38" spans="1:30" ht="32.5" customHeight="1">
      <c r="A38" s="196"/>
      <c r="B38" s="196"/>
      <c r="C38" s="1067" t="s">
        <v>1191</v>
      </c>
      <c r="D38" s="1067"/>
      <c r="E38" s="1067"/>
      <c r="F38" s="1067"/>
      <c r="G38" s="1067"/>
      <c r="H38" s="1067"/>
      <c r="I38" s="199"/>
      <c r="J38" s="199"/>
      <c r="K38" s="199"/>
      <c r="L38" s="199"/>
    </row>
    <row r="39" spans="1:30" ht="33" customHeight="1">
      <c r="A39" s="196"/>
      <c r="B39" s="196"/>
      <c r="C39" s="1067" t="s">
        <v>611</v>
      </c>
      <c r="D39" s="1067"/>
      <c r="E39" s="1067"/>
      <c r="F39" s="1067"/>
      <c r="G39" s="1067"/>
      <c r="H39" s="1067"/>
      <c r="I39" s="199"/>
      <c r="J39" s="199"/>
      <c r="K39" s="199"/>
      <c r="L39" s="199"/>
    </row>
    <row r="40" spans="1:30" ht="38.25" customHeight="1">
      <c r="A40" s="196"/>
      <c r="B40" s="196"/>
      <c r="C40" s="1060" t="s">
        <v>612</v>
      </c>
      <c r="D40" s="1060"/>
      <c r="E40" s="1060"/>
      <c r="F40" s="1060"/>
      <c r="G40" s="1060"/>
      <c r="H40" s="1060"/>
      <c r="I40" s="199"/>
      <c r="J40" s="199"/>
      <c r="K40" s="199"/>
      <c r="L40" s="199"/>
    </row>
    <row r="41" spans="1:30" ht="18" customHeight="1">
      <c r="A41" s="196"/>
      <c r="B41" s="196" t="s">
        <v>652</v>
      </c>
      <c r="C41" s="1061" t="s">
        <v>614</v>
      </c>
      <c r="D41" s="1061"/>
      <c r="E41" s="1061"/>
      <c r="F41" s="1061"/>
      <c r="G41" s="1061"/>
      <c r="H41" s="1061"/>
      <c r="I41" s="199"/>
      <c r="J41" s="199"/>
      <c r="K41" s="199"/>
      <c r="L41" s="199"/>
    </row>
    <row r="42" spans="1:30" ht="20.5" customHeight="1">
      <c r="A42" s="196"/>
      <c r="B42" s="196"/>
      <c r="C42" s="1060" t="s">
        <v>615</v>
      </c>
      <c r="D42" s="1060"/>
      <c r="E42" s="1060"/>
      <c r="F42" s="1060"/>
      <c r="G42" s="1060"/>
      <c r="H42" s="1060"/>
      <c r="I42" s="1069"/>
      <c r="J42" s="1069"/>
      <c r="K42" s="1069"/>
      <c r="L42" s="1069"/>
      <c r="M42" s="1069"/>
      <c r="N42" s="1069"/>
      <c r="O42" s="1069"/>
      <c r="P42" s="1069"/>
      <c r="Q42" s="1069"/>
      <c r="R42" s="1069"/>
      <c r="S42" s="1069"/>
      <c r="T42" s="1069"/>
      <c r="U42" s="1069"/>
      <c r="V42" s="1069"/>
      <c r="W42" s="1069"/>
      <c r="X42" s="1069"/>
      <c r="Y42" s="1069"/>
      <c r="Z42" s="1069"/>
      <c r="AA42" s="1069"/>
      <c r="AB42" s="1069"/>
      <c r="AC42" s="1069"/>
      <c r="AD42" s="1069"/>
    </row>
    <row r="43" spans="1:30" ht="8.25" customHeight="1">
      <c r="A43" s="196"/>
      <c r="B43" s="196"/>
      <c r="C43" s="204"/>
      <c r="D43" s="204"/>
      <c r="E43" s="204"/>
      <c r="F43" s="204"/>
      <c r="G43" s="204"/>
      <c r="H43" s="204"/>
      <c r="I43" s="199"/>
      <c r="J43" s="199"/>
      <c r="K43" s="199"/>
      <c r="L43" s="199"/>
    </row>
    <row r="44" spans="1:30" ht="18" customHeight="1">
      <c r="A44" s="196">
        <v>2.2000000000000002</v>
      </c>
      <c r="B44" s="1061" t="s">
        <v>616</v>
      </c>
      <c r="C44" s="1061"/>
      <c r="D44" s="1061"/>
      <c r="E44" s="1061"/>
      <c r="F44" s="1061"/>
      <c r="G44" s="1061"/>
      <c r="H44" s="1061"/>
      <c r="I44" s="199"/>
      <c r="J44" s="199"/>
      <c r="K44" s="199"/>
      <c r="L44" s="199"/>
    </row>
    <row r="45" spans="1:30" ht="18" customHeight="1">
      <c r="A45" s="196"/>
      <c r="B45" s="196" t="s">
        <v>584</v>
      </c>
      <c r="C45" s="1061" t="s">
        <v>1193</v>
      </c>
      <c r="D45" s="1061"/>
      <c r="E45" s="1061"/>
      <c r="F45" s="1061"/>
      <c r="G45" s="1061"/>
      <c r="H45" s="1061"/>
      <c r="I45" s="199"/>
      <c r="J45" s="199"/>
      <c r="K45" s="199"/>
      <c r="L45" s="199"/>
    </row>
    <row r="46" spans="1:30" ht="18" customHeight="1">
      <c r="A46" s="196"/>
      <c r="B46" s="197" t="s">
        <v>443</v>
      </c>
      <c r="C46" s="1061" t="s">
        <v>617</v>
      </c>
      <c r="D46" s="1061"/>
      <c r="E46" s="1061"/>
      <c r="F46" s="1061"/>
      <c r="G46" s="1061"/>
      <c r="H46" s="1061"/>
      <c r="I46" s="199"/>
      <c r="J46" s="199"/>
      <c r="K46" s="199"/>
      <c r="L46" s="199"/>
    </row>
    <row r="47" spans="1:30" ht="35.25" customHeight="1">
      <c r="A47" s="196"/>
      <c r="B47" s="196"/>
      <c r="C47" s="1060" t="s">
        <v>618</v>
      </c>
      <c r="D47" s="1060"/>
      <c r="E47" s="1060"/>
      <c r="F47" s="1060"/>
      <c r="G47" s="1060"/>
      <c r="H47" s="1060"/>
      <c r="I47" s="199"/>
      <c r="J47" s="199"/>
      <c r="K47" s="199"/>
      <c r="L47" s="199"/>
    </row>
    <row r="48" spans="1:30" ht="34.5" customHeight="1">
      <c r="A48" s="196"/>
      <c r="B48" s="196"/>
      <c r="C48" s="1060" t="s">
        <v>619</v>
      </c>
      <c r="D48" s="1060"/>
      <c r="E48" s="1060"/>
      <c r="F48" s="1060"/>
      <c r="G48" s="1060"/>
      <c r="H48" s="1060"/>
      <c r="I48" s="199"/>
      <c r="J48" s="199"/>
      <c r="K48" s="199"/>
      <c r="L48" s="199"/>
    </row>
    <row r="49" spans="1:12" ht="18" customHeight="1">
      <c r="A49" s="196"/>
      <c r="B49" s="197" t="s">
        <v>586</v>
      </c>
      <c r="C49" s="1061" t="s">
        <v>620</v>
      </c>
      <c r="D49" s="1061"/>
      <c r="E49" s="1061"/>
      <c r="F49" s="1061"/>
      <c r="G49" s="1061"/>
      <c r="H49" s="1061"/>
      <c r="I49" s="199"/>
      <c r="J49" s="199"/>
      <c r="K49" s="199"/>
      <c r="L49" s="199"/>
    </row>
    <row r="50" spans="1:12" ht="68.25" customHeight="1">
      <c r="A50" s="196"/>
      <c r="B50" s="196"/>
      <c r="C50" s="1060" t="s">
        <v>621</v>
      </c>
      <c r="D50" s="1060"/>
      <c r="E50" s="1060"/>
      <c r="F50" s="1060"/>
      <c r="G50" s="1060"/>
      <c r="H50" s="1060"/>
      <c r="I50" s="199"/>
      <c r="J50" s="199"/>
      <c r="K50" s="199"/>
      <c r="L50" s="199"/>
    </row>
    <row r="51" spans="1:12" ht="18" customHeight="1">
      <c r="A51" s="196"/>
      <c r="B51" s="197" t="s">
        <v>622</v>
      </c>
      <c r="C51" s="202" t="s">
        <v>623</v>
      </c>
      <c r="D51" s="202"/>
      <c r="E51" s="202"/>
      <c r="F51" s="202"/>
      <c r="G51" s="202"/>
      <c r="I51" s="199"/>
      <c r="J51" s="199"/>
      <c r="K51" s="199"/>
      <c r="L51" s="199"/>
    </row>
    <row r="52" spans="1:12" ht="112.5" customHeight="1">
      <c r="A52" s="196"/>
      <c r="B52" s="196"/>
      <c r="C52" s="1060" t="s">
        <v>624</v>
      </c>
      <c r="D52" s="1060"/>
      <c r="E52" s="1060"/>
      <c r="F52" s="1060"/>
      <c r="G52" s="1060"/>
      <c r="H52" s="1060"/>
      <c r="I52" s="199"/>
      <c r="J52" s="199"/>
      <c r="K52" s="199"/>
      <c r="L52" s="199"/>
    </row>
    <row r="53" spans="1:12" ht="17">
      <c r="A53" s="196"/>
      <c r="B53" s="197" t="s">
        <v>625</v>
      </c>
      <c r="C53" s="205" t="s">
        <v>492</v>
      </c>
      <c r="D53" s="205"/>
      <c r="E53" s="205"/>
      <c r="F53" s="205"/>
      <c r="G53" s="205"/>
      <c r="H53" s="205"/>
      <c r="I53" s="199"/>
      <c r="J53" s="199"/>
      <c r="K53" s="199"/>
      <c r="L53" s="199"/>
    </row>
    <row r="54" spans="1:12" ht="32.5" customHeight="1">
      <c r="A54" s="196"/>
      <c r="B54" s="196"/>
      <c r="C54" s="1060" t="s">
        <v>626</v>
      </c>
      <c r="D54" s="1060"/>
      <c r="E54" s="1060"/>
      <c r="F54" s="1060"/>
      <c r="G54" s="1060"/>
      <c r="H54" s="1060"/>
      <c r="I54" s="199"/>
      <c r="J54" s="199"/>
      <c r="K54" s="199"/>
      <c r="L54" s="199"/>
    </row>
    <row r="55" spans="1:12" ht="9" customHeight="1">
      <c r="A55" s="196"/>
      <c r="B55" s="196"/>
      <c r="C55" s="198"/>
      <c r="D55" s="198"/>
      <c r="E55" s="198"/>
      <c r="F55" s="198"/>
      <c r="G55" s="198"/>
      <c r="H55" s="198"/>
      <c r="I55" s="199"/>
      <c r="J55" s="199"/>
      <c r="K55" s="199"/>
      <c r="L55" s="199"/>
    </row>
    <row r="56" spans="1:12" ht="15" customHeight="1">
      <c r="A56" s="196"/>
      <c r="B56" s="197" t="s">
        <v>627</v>
      </c>
      <c r="C56" s="205" t="s">
        <v>628</v>
      </c>
      <c r="D56" s="205"/>
      <c r="E56" s="205"/>
      <c r="F56" s="205"/>
      <c r="G56" s="205"/>
      <c r="H56" s="205"/>
      <c r="I56" s="199"/>
      <c r="J56" s="199"/>
      <c r="K56" s="199"/>
      <c r="L56" s="199"/>
    </row>
    <row r="57" spans="1:12" ht="23.25" customHeight="1">
      <c r="A57" s="196"/>
      <c r="B57" s="196"/>
      <c r="C57" s="1060" t="s">
        <v>629</v>
      </c>
      <c r="D57" s="1060"/>
      <c r="E57" s="1060"/>
      <c r="F57" s="1060"/>
      <c r="G57" s="1060"/>
      <c r="H57" s="1060"/>
      <c r="I57" s="199"/>
      <c r="J57" s="199"/>
      <c r="K57" s="199"/>
      <c r="L57" s="199"/>
    </row>
    <row r="58" spans="1:12" ht="23.25" customHeight="1">
      <c r="A58" s="196"/>
      <c r="B58" s="196"/>
      <c r="C58" s="198"/>
      <c r="D58" s="198"/>
      <c r="E58" s="198"/>
      <c r="F58" s="198"/>
      <c r="G58" s="198"/>
      <c r="H58" s="198"/>
      <c r="I58" s="199"/>
      <c r="J58" s="199"/>
      <c r="K58" s="199"/>
      <c r="L58" s="199"/>
    </row>
    <row r="59" spans="1:12" ht="18" customHeight="1">
      <c r="A59" s="196"/>
      <c r="B59" s="196" t="s">
        <v>588</v>
      </c>
      <c r="C59" s="1061" t="s">
        <v>630</v>
      </c>
      <c r="D59" s="1061"/>
      <c r="E59" s="1061"/>
      <c r="F59" s="1061"/>
      <c r="G59" s="1061"/>
      <c r="H59" s="1061"/>
      <c r="I59" s="199"/>
      <c r="J59" s="199"/>
      <c r="K59" s="199"/>
      <c r="L59" s="199"/>
    </row>
    <row r="60" spans="1:12" ht="18" customHeight="1">
      <c r="A60" s="196"/>
      <c r="B60" s="197" t="s">
        <v>443</v>
      </c>
      <c r="C60" s="202" t="s">
        <v>631</v>
      </c>
      <c r="D60" s="204"/>
      <c r="E60" s="204"/>
      <c r="F60" s="204"/>
      <c r="G60" s="204"/>
      <c r="H60" s="204"/>
      <c r="I60" s="199"/>
      <c r="J60" s="199"/>
      <c r="K60" s="199"/>
      <c r="L60" s="199"/>
    </row>
    <row r="61" spans="1:12" ht="55.5" customHeight="1">
      <c r="A61" s="196"/>
      <c r="B61" s="196"/>
      <c r="C61" s="1060" t="s">
        <v>632</v>
      </c>
      <c r="D61" s="1060"/>
      <c r="E61" s="1060"/>
      <c r="F61" s="1060"/>
      <c r="G61" s="1060"/>
      <c r="H61" s="1060"/>
      <c r="I61" s="206"/>
      <c r="J61" s="199"/>
      <c r="K61" s="199"/>
      <c r="L61" s="199"/>
    </row>
    <row r="62" spans="1:12" ht="98.5" customHeight="1">
      <c r="A62" s="196"/>
      <c r="B62" s="196"/>
      <c r="C62" s="1068" t="s">
        <v>633</v>
      </c>
      <c r="D62" s="1068"/>
      <c r="E62" s="1068"/>
      <c r="F62" s="1068"/>
      <c r="G62" s="1068"/>
      <c r="H62" s="1068"/>
      <c r="I62" s="206"/>
      <c r="J62" s="199"/>
      <c r="K62" s="199"/>
      <c r="L62" s="199"/>
    </row>
    <row r="63" spans="1:12" ht="36.75" customHeight="1">
      <c r="A63" s="196"/>
      <c r="B63" s="196"/>
      <c r="C63" s="1060" t="s">
        <v>634</v>
      </c>
      <c r="D63" s="1060"/>
      <c r="E63" s="1060"/>
      <c r="F63" s="1060"/>
      <c r="G63" s="1060"/>
      <c r="H63" s="1060"/>
      <c r="I63" s="199"/>
      <c r="J63" s="199"/>
      <c r="K63" s="199"/>
      <c r="L63" s="199"/>
    </row>
    <row r="64" spans="1:12" ht="61" customHeight="1">
      <c r="A64" s="207"/>
      <c r="B64" s="207"/>
      <c r="C64" s="1060" t="s">
        <v>635</v>
      </c>
      <c r="D64" s="1060"/>
      <c r="E64" s="1060"/>
      <c r="F64" s="1060"/>
      <c r="G64" s="1060"/>
      <c r="H64" s="1060"/>
      <c r="I64" s="208"/>
      <c r="J64" s="208"/>
      <c r="K64" s="208"/>
      <c r="L64" s="208"/>
    </row>
    <row r="65" spans="1:12" ht="67" customHeight="1">
      <c r="A65" s="196"/>
      <c r="B65" s="196"/>
      <c r="C65" s="1060" t="s">
        <v>636</v>
      </c>
      <c r="D65" s="1060"/>
      <c r="E65" s="1060"/>
      <c r="F65" s="1060"/>
      <c r="G65" s="1060"/>
      <c r="H65" s="1060"/>
      <c r="I65" s="199"/>
      <c r="J65" s="199"/>
      <c r="K65" s="199"/>
      <c r="L65" s="199"/>
    </row>
    <row r="66" spans="1:12" ht="51.75" customHeight="1">
      <c r="A66" s="196"/>
      <c r="B66" s="196"/>
      <c r="C66" s="1060" t="s">
        <v>637</v>
      </c>
      <c r="D66" s="1060"/>
      <c r="E66" s="1060"/>
      <c r="F66" s="1060"/>
      <c r="G66" s="1060"/>
      <c r="H66" s="1060"/>
      <c r="I66" s="199"/>
      <c r="J66" s="199"/>
      <c r="K66" s="199"/>
      <c r="L66" s="199"/>
    </row>
    <row r="67" spans="1:12" ht="69" customHeight="1">
      <c r="A67" s="196"/>
      <c r="B67" s="196"/>
      <c r="C67" s="1060" t="s">
        <v>638</v>
      </c>
      <c r="D67" s="1060"/>
      <c r="E67" s="1060"/>
      <c r="F67" s="1060"/>
      <c r="G67" s="1060"/>
      <c r="H67" s="1060"/>
      <c r="I67" s="199"/>
      <c r="J67" s="199"/>
      <c r="K67" s="199"/>
      <c r="L67" s="199"/>
    </row>
    <row r="68" spans="1:12" ht="36.75" customHeight="1">
      <c r="A68" s="196"/>
      <c r="B68" s="196"/>
      <c r="C68" s="1060" t="s">
        <v>639</v>
      </c>
      <c r="D68" s="1060"/>
      <c r="E68" s="1060"/>
      <c r="F68" s="1060"/>
      <c r="G68" s="1060"/>
      <c r="H68" s="1060"/>
      <c r="I68" s="199"/>
      <c r="J68" s="199"/>
      <c r="K68" s="199"/>
      <c r="L68" s="199"/>
    </row>
    <row r="69" spans="1:12" ht="4.5" customHeight="1">
      <c r="A69" s="196"/>
      <c r="B69" s="196"/>
      <c r="C69" s="204"/>
      <c r="D69" s="204"/>
      <c r="E69" s="204"/>
      <c r="F69" s="204"/>
      <c r="G69" s="204"/>
      <c r="H69" s="198"/>
      <c r="I69" s="199"/>
      <c r="J69" s="199"/>
      <c r="K69" s="199"/>
      <c r="L69" s="199"/>
    </row>
    <row r="70" spans="1:12" ht="18" customHeight="1">
      <c r="A70" s="200"/>
      <c r="B70" s="197" t="s">
        <v>586</v>
      </c>
      <c r="C70" s="202" t="s">
        <v>640</v>
      </c>
      <c r="D70" s="204"/>
      <c r="E70" s="204"/>
      <c r="F70" s="204"/>
      <c r="G70" s="204"/>
      <c r="H70" s="204"/>
      <c r="I70" s="209"/>
      <c r="J70" s="209"/>
      <c r="K70" s="209"/>
      <c r="L70" s="209"/>
    </row>
    <row r="71" spans="1:12" ht="83.25" customHeight="1">
      <c r="A71" s="196"/>
      <c r="B71" s="210"/>
      <c r="C71" s="1060" t="s">
        <v>641</v>
      </c>
      <c r="D71" s="1060"/>
      <c r="E71" s="1060"/>
      <c r="F71" s="1060"/>
      <c r="G71" s="1060"/>
      <c r="H71" s="1060"/>
      <c r="I71" s="199"/>
      <c r="J71" s="199"/>
      <c r="K71" s="199"/>
      <c r="L71" s="199"/>
    </row>
    <row r="72" spans="1:12" ht="19.5" customHeight="1">
      <c r="A72" s="196"/>
      <c r="B72" s="197" t="s">
        <v>622</v>
      </c>
      <c r="C72" s="202" t="s">
        <v>642</v>
      </c>
      <c r="D72" s="204"/>
      <c r="E72" s="204"/>
      <c r="F72" s="204"/>
      <c r="G72" s="204"/>
      <c r="H72" s="204"/>
      <c r="I72" s="199"/>
      <c r="J72" s="199"/>
      <c r="K72" s="199"/>
      <c r="L72" s="199"/>
    </row>
    <row r="73" spans="1:12" ht="67.5" customHeight="1">
      <c r="A73" s="196"/>
      <c r="B73" s="197"/>
      <c r="C73" s="1060" t="s">
        <v>643</v>
      </c>
      <c r="D73" s="1060"/>
      <c r="E73" s="1060"/>
      <c r="F73" s="1060"/>
      <c r="G73" s="1060"/>
      <c r="H73" s="1060"/>
      <c r="I73" s="199"/>
      <c r="J73" s="199"/>
      <c r="K73" s="199"/>
      <c r="L73" s="199"/>
    </row>
    <row r="74" spans="1:12" ht="35.25" customHeight="1">
      <c r="A74" s="196"/>
      <c r="B74" s="196"/>
      <c r="C74" s="1060" t="s">
        <v>644</v>
      </c>
      <c r="D74" s="1060"/>
      <c r="E74" s="1060"/>
      <c r="F74" s="1060"/>
      <c r="G74" s="1060"/>
      <c r="H74" s="1060"/>
      <c r="I74" s="199"/>
      <c r="J74" s="199"/>
      <c r="K74" s="199"/>
      <c r="L74" s="199"/>
    </row>
    <row r="75" spans="1:12" ht="0.75" customHeight="1">
      <c r="A75" s="196"/>
      <c r="B75" s="196"/>
      <c r="C75" s="204"/>
      <c r="D75" s="204"/>
      <c r="E75" s="204"/>
      <c r="F75" s="204"/>
      <c r="G75" s="204"/>
      <c r="H75" s="198"/>
      <c r="I75" s="199"/>
      <c r="J75" s="199"/>
      <c r="K75" s="199"/>
      <c r="L75" s="199"/>
    </row>
    <row r="76" spans="1:12" ht="19.5" customHeight="1">
      <c r="A76" s="196"/>
      <c r="B76" s="197" t="s">
        <v>625</v>
      </c>
      <c r="C76" s="202" t="s">
        <v>645</v>
      </c>
      <c r="D76" s="204"/>
      <c r="E76" s="204"/>
      <c r="F76" s="204"/>
      <c r="G76" s="204"/>
      <c r="H76" s="204"/>
      <c r="I76" s="199"/>
      <c r="J76" s="199"/>
      <c r="K76" s="199"/>
      <c r="L76" s="199"/>
    </row>
    <row r="77" spans="1:12" ht="64.5" customHeight="1">
      <c r="A77" s="196"/>
      <c r="B77" s="196"/>
      <c r="C77" s="1060" t="s">
        <v>646</v>
      </c>
      <c r="D77" s="1060"/>
      <c r="E77" s="1060"/>
      <c r="F77" s="1060"/>
      <c r="G77" s="1060"/>
      <c r="H77" s="1060"/>
      <c r="I77" s="199"/>
      <c r="J77" s="199"/>
      <c r="K77" s="199"/>
      <c r="L77" s="199"/>
    </row>
    <row r="78" spans="1:12" ht="229" customHeight="1">
      <c r="A78" s="196"/>
      <c r="B78" s="196"/>
      <c r="C78" s="1060" t="s">
        <v>1190</v>
      </c>
      <c r="D78" s="1060"/>
      <c r="E78" s="1060"/>
      <c r="F78" s="1060"/>
      <c r="G78" s="1060"/>
      <c r="H78" s="1060"/>
      <c r="I78" s="199"/>
      <c r="J78" s="199"/>
      <c r="K78" s="199"/>
      <c r="L78" s="199"/>
    </row>
    <row r="79" spans="1:12" ht="4.5" customHeight="1">
      <c r="A79" s="196"/>
      <c r="B79" s="196"/>
      <c r="C79" s="204"/>
      <c r="D79" s="204"/>
      <c r="E79" s="204"/>
      <c r="F79" s="204"/>
      <c r="G79" s="204"/>
      <c r="H79" s="198"/>
      <c r="I79" s="199"/>
      <c r="J79" s="199"/>
      <c r="K79" s="199"/>
      <c r="L79" s="199"/>
    </row>
    <row r="80" spans="1:12" ht="18" customHeight="1">
      <c r="A80" s="196"/>
      <c r="B80" s="196" t="s">
        <v>597</v>
      </c>
      <c r="C80" s="1061" t="s">
        <v>83</v>
      </c>
      <c r="D80" s="1061"/>
      <c r="E80" s="1061"/>
      <c r="F80" s="1061"/>
      <c r="G80" s="1061"/>
      <c r="H80" s="1061"/>
      <c r="I80" s="199"/>
      <c r="J80" s="199"/>
      <c r="K80" s="199"/>
      <c r="L80" s="199"/>
    </row>
    <row r="81" spans="1:12" ht="36" customHeight="1">
      <c r="A81" s="196"/>
      <c r="B81" s="196"/>
      <c r="C81" s="1067" t="s">
        <v>647</v>
      </c>
      <c r="D81" s="1067"/>
      <c r="E81" s="1067"/>
      <c r="F81" s="1067"/>
      <c r="G81" s="1067"/>
      <c r="H81" s="1067"/>
      <c r="I81" s="199"/>
      <c r="J81" s="199"/>
      <c r="K81" s="199"/>
      <c r="L81" s="199"/>
    </row>
    <row r="82" spans="1:12" ht="133" customHeight="1">
      <c r="A82" s="196"/>
      <c r="B82" s="196"/>
      <c r="C82" s="1060" t="s">
        <v>648</v>
      </c>
      <c r="D82" s="1060"/>
      <c r="E82" s="1060"/>
      <c r="F82" s="1060"/>
      <c r="G82" s="1060"/>
      <c r="H82" s="1060"/>
      <c r="I82" s="199"/>
      <c r="J82" s="199"/>
      <c r="K82" s="199"/>
      <c r="L82" s="199"/>
    </row>
    <row r="83" spans="1:12" ht="49.5" customHeight="1">
      <c r="A83" s="196"/>
      <c r="B83" s="196"/>
      <c r="C83" s="1060" t="s">
        <v>649</v>
      </c>
      <c r="D83" s="1060"/>
      <c r="E83" s="1060"/>
      <c r="F83" s="1060"/>
      <c r="G83" s="1060"/>
      <c r="H83" s="1060"/>
      <c r="I83" s="199"/>
      <c r="J83" s="199"/>
      <c r="K83" s="199"/>
      <c r="L83" s="199"/>
    </row>
    <row r="84" spans="1:12" ht="36.75" customHeight="1">
      <c r="A84" s="196"/>
      <c r="B84" s="196"/>
      <c r="C84" s="1057" t="s">
        <v>1127</v>
      </c>
      <c r="D84" s="1060"/>
      <c r="E84" s="1060"/>
      <c r="F84" s="1060"/>
      <c r="G84" s="1060"/>
      <c r="H84" s="1060"/>
      <c r="I84" s="199"/>
      <c r="J84" s="199"/>
      <c r="K84" s="199"/>
      <c r="L84" s="199"/>
    </row>
    <row r="85" spans="1:12" ht="50.25" customHeight="1">
      <c r="A85" s="196"/>
      <c r="B85" s="196"/>
      <c r="C85" s="1060" t="s">
        <v>650</v>
      </c>
      <c r="D85" s="1060"/>
      <c r="E85" s="1060"/>
      <c r="F85" s="1060"/>
      <c r="G85" s="1060"/>
      <c r="H85" s="1060"/>
      <c r="I85" s="199"/>
      <c r="J85" s="199"/>
      <c r="K85" s="199"/>
      <c r="L85" s="199"/>
    </row>
    <row r="86" spans="1:12" ht="50.25" customHeight="1">
      <c r="A86" s="196"/>
      <c r="B86" s="196"/>
      <c r="C86" s="1060" t="s">
        <v>651</v>
      </c>
      <c r="D86" s="1060"/>
      <c r="E86" s="1060"/>
      <c r="F86" s="1060"/>
      <c r="G86" s="1060"/>
      <c r="H86" s="1060"/>
      <c r="I86" s="199"/>
      <c r="J86" s="199"/>
      <c r="K86" s="199"/>
      <c r="L86" s="199"/>
    </row>
    <row r="87" spans="1:12" ht="19.5" customHeight="1">
      <c r="A87" s="196"/>
      <c r="B87" s="196"/>
      <c r="C87" s="1056" t="s">
        <v>1439</v>
      </c>
      <c r="D87" s="1056"/>
      <c r="E87" s="1056"/>
      <c r="F87" s="1056"/>
      <c r="G87" s="1056"/>
      <c r="H87" s="1056"/>
      <c r="I87" s="199"/>
      <c r="J87" s="199"/>
      <c r="K87" s="199"/>
      <c r="L87" s="199"/>
    </row>
    <row r="88" spans="1:12">
      <c r="A88" s="196"/>
      <c r="B88" s="196"/>
      <c r="C88" s="198"/>
      <c r="D88" s="198"/>
      <c r="E88" s="198"/>
      <c r="F88" s="198"/>
      <c r="G88" s="198"/>
      <c r="H88" s="198"/>
      <c r="I88" s="199"/>
      <c r="J88" s="199"/>
      <c r="K88" s="199"/>
      <c r="L88" s="199"/>
    </row>
    <row r="89" spans="1:12" ht="18" customHeight="1">
      <c r="A89" s="196"/>
      <c r="B89" s="196" t="s">
        <v>652</v>
      </c>
      <c r="C89" s="1061" t="s">
        <v>653</v>
      </c>
      <c r="D89" s="1061"/>
      <c r="E89" s="1061"/>
      <c r="F89" s="1061"/>
      <c r="G89" s="1061"/>
      <c r="H89" s="1061"/>
      <c r="I89" s="199"/>
      <c r="J89" s="199"/>
      <c r="K89" s="199"/>
      <c r="L89" s="199"/>
    </row>
    <row r="90" spans="1:12" ht="33.75" customHeight="1">
      <c r="A90" s="196"/>
      <c r="B90" s="196"/>
      <c r="C90" s="1060" t="s">
        <v>654</v>
      </c>
      <c r="D90" s="1060"/>
      <c r="E90" s="1060"/>
      <c r="F90" s="1060"/>
      <c r="G90" s="1060"/>
      <c r="H90" s="1060"/>
      <c r="I90" s="199"/>
      <c r="J90" s="199"/>
      <c r="K90" s="199"/>
      <c r="L90" s="199"/>
    </row>
    <row r="91" spans="1:12" ht="21" customHeight="1">
      <c r="A91" s="196"/>
      <c r="B91" s="196"/>
      <c r="C91" s="1061" t="s">
        <v>655</v>
      </c>
      <c r="D91" s="1061"/>
      <c r="E91" s="1061"/>
      <c r="F91" s="1061"/>
      <c r="G91" s="1061"/>
      <c r="H91" s="1061"/>
      <c r="I91" s="199"/>
      <c r="J91" s="199"/>
      <c r="K91" s="199"/>
      <c r="L91" s="199"/>
    </row>
    <row r="92" spans="1:12" ht="19.5" customHeight="1">
      <c r="A92" s="196"/>
      <c r="B92" s="196"/>
      <c r="C92" s="1066" t="s">
        <v>656</v>
      </c>
      <c r="D92" s="1066"/>
      <c r="E92" s="1066"/>
      <c r="F92" s="1066"/>
      <c r="G92" s="1066"/>
      <c r="H92" s="1066"/>
      <c r="I92" s="199"/>
      <c r="J92" s="199"/>
      <c r="K92" s="199"/>
      <c r="L92" s="199"/>
    </row>
    <row r="93" spans="1:12" ht="81.75" customHeight="1">
      <c r="A93" s="196"/>
      <c r="B93" s="196"/>
      <c r="C93" s="1060" t="s">
        <v>657</v>
      </c>
      <c r="D93" s="1060"/>
      <c r="E93" s="1060"/>
      <c r="F93" s="1060"/>
      <c r="G93" s="1060"/>
      <c r="H93" s="1060"/>
      <c r="I93" s="199"/>
      <c r="J93" s="199"/>
      <c r="K93" s="199"/>
      <c r="L93" s="199"/>
    </row>
    <row r="94" spans="1:12" ht="18" customHeight="1">
      <c r="A94" s="196"/>
      <c r="B94" s="196"/>
      <c r="C94" s="1066" t="s">
        <v>658</v>
      </c>
      <c r="D94" s="1066"/>
      <c r="E94" s="1066"/>
      <c r="F94" s="1066"/>
      <c r="G94" s="1066"/>
      <c r="H94" s="1066"/>
      <c r="I94" s="199"/>
      <c r="J94" s="199"/>
      <c r="K94" s="199"/>
      <c r="L94" s="199"/>
    </row>
    <row r="95" spans="1:12" ht="18" customHeight="1">
      <c r="A95" s="196"/>
      <c r="B95" s="196"/>
      <c r="C95" s="1056" t="s">
        <v>659</v>
      </c>
      <c r="D95" s="1056"/>
      <c r="E95" s="1056"/>
      <c r="F95" s="1056"/>
      <c r="G95" s="1056"/>
      <c r="H95" s="1056"/>
      <c r="I95" s="199"/>
      <c r="J95" s="199"/>
      <c r="K95" s="199"/>
      <c r="L95" s="199"/>
    </row>
    <row r="96" spans="1:12" ht="18" customHeight="1">
      <c r="A96" s="196"/>
      <c r="B96" s="196"/>
      <c r="C96" s="1061" t="s">
        <v>660</v>
      </c>
      <c r="D96" s="1061"/>
      <c r="E96" s="1061"/>
      <c r="F96" s="1061"/>
      <c r="G96" s="1061"/>
      <c r="H96" s="1061"/>
      <c r="I96" s="199"/>
      <c r="J96" s="199"/>
      <c r="K96" s="199"/>
      <c r="L96" s="199"/>
    </row>
    <row r="97" spans="1:12" ht="18" customHeight="1">
      <c r="A97" s="196"/>
      <c r="B97" s="196"/>
      <c r="C97" s="1056" t="s">
        <v>661</v>
      </c>
      <c r="D97" s="1056"/>
      <c r="E97" s="1056"/>
      <c r="F97" s="1056"/>
      <c r="G97" s="1056"/>
      <c r="H97" s="1056"/>
      <c r="I97" s="199"/>
      <c r="J97" s="199"/>
      <c r="K97" s="199"/>
      <c r="L97" s="199"/>
    </row>
    <row r="98" spans="1:12" ht="19.5" customHeight="1">
      <c r="A98" s="196"/>
      <c r="B98" s="197" t="s">
        <v>443</v>
      </c>
      <c r="C98" s="1056" t="s">
        <v>662</v>
      </c>
      <c r="D98" s="1056"/>
      <c r="E98" s="1056"/>
      <c r="F98" s="1056"/>
      <c r="G98" s="1056"/>
      <c r="H98" s="1056"/>
      <c r="I98" s="199"/>
      <c r="J98" s="199"/>
      <c r="K98" s="199"/>
      <c r="L98" s="199"/>
    </row>
    <row r="99" spans="1:12" ht="32.25" customHeight="1">
      <c r="A99" s="196"/>
      <c r="B99" s="197" t="s">
        <v>586</v>
      </c>
      <c r="C99" s="1060" t="s">
        <v>663</v>
      </c>
      <c r="D99" s="1060"/>
      <c r="E99" s="1060"/>
      <c r="F99" s="1060"/>
      <c r="G99" s="1060"/>
      <c r="H99" s="1060"/>
      <c r="I99" s="199"/>
      <c r="J99" s="199"/>
      <c r="K99" s="199"/>
      <c r="L99" s="199"/>
    </row>
    <row r="100" spans="1:12" ht="6" customHeight="1">
      <c r="A100" s="196"/>
      <c r="B100" s="196"/>
      <c r="C100" s="197"/>
      <c r="D100" s="197"/>
      <c r="E100" s="197"/>
      <c r="F100" s="197"/>
      <c r="G100" s="197"/>
      <c r="H100" s="203" t="s">
        <v>664</v>
      </c>
      <c r="I100" s="199"/>
      <c r="J100" s="199"/>
      <c r="K100" s="199"/>
      <c r="L100" s="199"/>
    </row>
    <row r="101" spans="1:12" ht="84.75" customHeight="1">
      <c r="A101" s="196"/>
      <c r="B101" s="196"/>
      <c r="C101" s="1060" t="s">
        <v>665</v>
      </c>
      <c r="D101" s="1060"/>
      <c r="E101" s="1060"/>
      <c r="F101" s="1060"/>
      <c r="G101" s="1060"/>
      <c r="H101" s="1060"/>
      <c r="I101" s="199"/>
      <c r="J101" s="199"/>
      <c r="K101" s="199"/>
      <c r="L101" s="199"/>
    </row>
    <row r="102" spans="1:12" ht="18" customHeight="1">
      <c r="A102" s="196"/>
      <c r="B102" s="196"/>
      <c r="C102" s="1064" t="s">
        <v>666</v>
      </c>
      <c r="D102" s="1064"/>
      <c r="E102" s="1064"/>
      <c r="F102" s="1064"/>
      <c r="G102" s="1064"/>
      <c r="H102" s="1064"/>
      <c r="I102" s="199"/>
      <c r="J102" s="199"/>
      <c r="K102" s="199"/>
      <c r="L102" s="199"/>
    </row>
    <row r="103" spans="1:12" ht="18" customHeight="1">
      <c r="A103" s="196"/>
      <c r="B103" s="196"/>
      <c r="C103" s="1065" t="s">
        <v>667</v>
      </c>
      <c r="D103" s="1065"/>
      <c r="E103" s="1065"/>
      <c r="F103" s="1065"/>
      <c r="G103" s="1065"/>
      <c r="H103" s="1065"/>
      <c r="I103" s="199"/>
      <c r="J103" s="199"/>
      <c r="K103" s="199"/>
      <c r="L103" s="199"/>
    </row>
    <row r="104" spans="1:12" ht="17">
      <c r="A104" s="196"/>
      <c r="B104" s="200" t="s">
        <v>443</v>
      </c>
      <c r="C104" s="1056" t="s">
        <v>668</v>
      </c>
      <c r="D104" s="1056"/>
      <c r="E104" s="1056"/>
      <c r="F104" s="1056"/>
      <c r="G104" s="1056"/>
      <c r="H104" s="1056"/>
      <c r="I104" s="199"/>
      <c r="J104" s="199"/>
      <c r="K104" s="199"/>
      <c r="L104" s="199"/>
    </row>
    <row r="105" spans="1:12" ht="16.5" customHeight="1">
      <c r="A105" s="196"/>
      <c r="B105" s="200" t="s">
        <v>586</v>
      </c>
      <c r="C105" s="1056" t="s">
        <v>669</v>
      </c>
      <c r="D105" s="1056"/>
      <c r="E105" s="1056"/>
      <c r="F105" s="1056"/>
      <c r="G105" s="1056"/>
      <c r="H105" s="1056"/>
      <c r="I105" s="199"/>
      <c r="J105" s="199"/>
      <c r="K105" s="199"/>
      <c r="L105" s="199"/>
    </row>
    <row r="106" spans="1:12" ht="94.5" customHeight="1">
      <c r="A106" s="196"/>
      <c r="B106" s="196"/>
      <c r="C106" s="1060" t="s">
        <v>670</v>
      </c>
      <c r="D106" s="1060"/>
      <c r="E106" s="1060"/>
      <c r="F106" s="1060"/>
      <c r="G106" s="1060"/>
      <c r="H106" s="1060"/>
      <c r="I106" s="199"/>
      <c r="J106" s="199"/>
      <c r="K106" s="199"/>
      <c r="L106" s="199"/>
    </row>
    <row r="107" spans="1:12" ht="18" customHeight="1">
      <c r="A107" s="196"/>
      <c r="B107" s="196"/>
      <c r="C107" s="1061" t="s">
        <v>671</v>
      </c>
      <c r="D107" s="1061"/>
      <c r="E107" s="1061"/>
      <c r="F107" s="1061"/>
      <c r="G107" s="1061"/>
      <c r="H107" s="1061"/>
      <c r="I107" s="199"/>
      <c r="J107" s="199"/>
      <c r="K107" s="199"/>
      <c r="L107" s="199"/>
    </row>
    <row r="108" spans="1:12" ht="35.25" customHeight="1">
      <c r="A108" s="196"/>
      <c r="B108" s="196"/>
      <c r="C108" s="1060" t="s">
        <v>672</v>
      </c>
      <c r="D108" s="1060"/>
      <c r="E108" s="1060"/>
      <c r="F108" s="1060"/>
      <c r="G108" s="1060"/>
      <c r="H108" s="1060"/>
      <c r="I108" s="199"/>
      <c r="J108" s="199"/>
      <c r="K108" s="199"/>
      <c r="L108" s="199"/>
    </row>
    <row r="109" spans="1:12" ht="83.25" customHeight="1">
      <c r="A109" s="196"/>
      <c r="B109" s="196"/>
      <c r="C109" s="1060" t="s">
        <v>673</v>
      </c>
      <c r="D109" s="1060"/>
      <c r="E109" s="1060"/>
      <c r="F109" s="1060"/>
      <c r="G109" s="1060"/>
      <c r="H109" s="1060"/>
      <c r="I109" s="199"/>
      <c r="J109" s="199"/>
      <c r="K109" s="199"/>
      <c r="L109" s="199"/>
    </row>
    <row r="110" spans="1:12" ht="18" customHeight="1">
      <c r="A110" s="196"/>
      <c r="B110" s="196"/>
      <c r="C110" s="1061" t="s">
        <v>674</v>
      </c>
      <c r="D110" s="1061"/>
      <c r="E110" s="1061"/>
      <c r="F110" s="1061"/>
      <c r="G110" s="1061"/>
      <c r="H110" s="1061"/>
      <c r="I110" s="199"/>
      <c r="J110" s="199"/>
      <c r="K110" s="199"/>
      <c r="L110" s="199"/>
    </row>
    <row r="111" spans="1:12" ht="38.25" customHeight="1">
      <c r="A111" s="196"/>
      <c r="B111" s="196"/>
      <c r="C111" s="1060" t="s">
        <v>675</v>
      </c>
      <c r="D111" s="1060"/>
      <c r="E111" s="1060"/>
      <c r="F111" s="1060"/>
      <c r="G111" s="1060"/>
      <c r="H111" s="1060"/>
      <c r="I111" s="199"/>
      <c r="J111" s="199"/>
      <c r="K111" s="199"/>
      <c r="L111" s="199"/>
    </row>
    <row r="112" spans="1:12" ht="21.75" customHeight="1">
      <c r="A112" s="196"/>
      <c r="B112" s="197" t="s">
        <v>443</v>
      </c>
      <c r="C112" s="1056" t="s">
        <v>676</v>
      </c>
      <c r="D112" s="1056"/>
      <c r="E112" s="1056"/>
      <c r="F112" s="1056"/>
      <c r="G112" s="1056"/>
      <c r="H112" s="1056"/>
      <c r="I112" s="199"/>
      <c r="J112" s="199"/>
      <c r="K112" s="199"/>
      <c r="L112" s="199"/>
    </row>
    <row r="113" spans="1:12" ht="63.75" customHeight="1">
      <c r="A113" s="196"/>
      <c r="B113" s="197" t="s">
        <v>586</v>
      </c>
      <c r="C113" s="1060" t="s">
        <v>677</v>
      </c>
      <c r="D113" s="1060"/>
      <c r="E113" s="1060"/>
      <c r="F113" s="1060"/>
      <c r="G113" s="1060"/>
      <c r="H113" s="1060"/>
      <c r="I113" s="199"/>
      <c r="J113" s="199"/>
      <c r="K113" s="199"/>
      <c r="L113" s="199"/>
    </row>
    <row r="114" spans="1:12" ht="131.25" customHeight="1">
      <c r="A114" s="196"/>
      <c r="B114" s="196"/>
      <c r="C114" s="1060" t="s">
        <v>678</v>
      </c>
      <c r="D114" s="1060"/>
      <c r="E114" s="1060"/>
      <c r="F114" s="1060"/>
      <c r="G114" s="1060"/>
      <c r="H114" s="1060"/>
      <c r="I114" s="199"/>
      <c r="J114" s="199"/>
      <c r="K114" s="199"/>
      <c r="L114" s="199"/>
    </row>
    <row r="115" spans="1:12" ht="18" customHeight="1">
      <c r="A115" s="196"/>
      <c r="B115" s="196"/>
      <c r="C115" s="1061" t="s">
        <v>679</v>
      </c>
      <c r="D115" s="1061"/>
      <c r="E115" s="1061"/>
      <c r="F115" s="1061"/>
      <c r="G115" s="1061"/>
      <c r="H115" s="1061"/>
      <c r="I115" s="199"/>
      <c r="J115" s="199"/>
      <c r="K115" s="199"/>
      <c r="L115" s="199"/>
    </row>
    <row r="116" spans="1:12" ht="65.25" customHeight="1">
      <c r="A116" s="196"/>
      <c r="B116" s="196"/>
      <c r="C116" s="1060" t="s">
        <v>680</v>
      </c>
      <c r="D116" s="1060"/>
      <c r="E116" s="1060"/>
      <c r="F116" s="1060"/>
      <c r="G116" s="1060"/>
      <c r="H116" s="1060"/>
      <c r="I116" s="199"/>
      <c r="J116" s="199"/>
      <c r="K116" s="199"/>
      <c r="L116" s="199"/>
    </row>
    <row r="117" spans="1:12" ht="56.25" customHeight="1">
      <c r="A117" s="196"/>
      <c r="B117" s="196"/>
      <c r="C117" s="1060" t="s">
        <v>681</v>
      </c>
      <c r="D117" s="1060"/>
      <c r="E117" s="1060"/>
      <c r="F117" s="1060"/>
      <c r="G117" s="1060"/>
      <c r="H117" s="1060"/>
      <c r="I117" s="199"/>
      <c r="J117" s="199"/>
      <c r="K117" s="199"/>
      <c r="L117" s="199"/>
    </row>
    <row r="118" spans="1:12" ht="98.25" customHeight="1">
      <c r="A118" s="196"/>
      <c r="B118" s="196"/>
      <c r="C118" s="1060" t="s">
        <v>682</v>
      </c>
      <c r="D118" s="1060"/>
      <c r="E118" s="1060"/>
      <c r="F118" s="1060"/>
      <c r="G118" s="1060"/>
      <c r="H118" s="1060"/>
      <c r="I118" s="199"/>
      <c r="J118" s="199"/>
      <c r="K118" s="199"/>
      <c r="L118" s="199"/>
    </row>
    <row r="119" spans="1:12" ht="52.5" customHeight="1">
      <c r="A119" s="196"/>
      <c r="B119" s="196"/>
      <c r="C119" s="1060" t="s">
        <v>683</v>
      </c>
      <c r="D119" s="1060"/>
      <c r="E119" s="1060"/>
      <c r="F119" s="1060"/>
      <c r="G119" s="1060"/>
      <c r="H119" s="1060"/>
      <c r="I119" s="199"/>
      <c r="J119" s="199"/>
      <c r="K119" s="199"/>
      <c r="L119" s="199"/>
    </row>
    <row r="120" spans="1:12" ht="36" customHeight="1">
      <c r="A120" s="196"/>
      <c r="B120" s="196"/>
      <c r="C120" s="1060" t="s">
        <v>684</v>
      </c>
      <c r="D120" s="1060"/>
      <c r="E120" s="1060"/>
      <c r="F120" s="1060"/>
      <c r="G120" s="1060"/>
      <c r="H120" s="1060"/>
      <c r="I120" s="199"/>
      <c r="J120" s="199"/>
      <c r="K120" s="199"/>
      <c r="L120" s="199"/>
    </row>
    <row r="121" spans="1:12" ht="50.25" customHeight="1">
      <c r="A121" s="196"/>
      <c r="B121" s="196"/>
      <c r="C121" s="1060" t="s">
        <v>685</v>
      </c>
      <c r="D121" s="1060"/>
      <c r="E121" s="1060"/>
      <c r="F121" s="1060"/>
      <c r="G121" s="1060"/>
      <c r="H121" s="1060"/>
      <c r="I121" s="199"/>
      <c r="J121" s="199"/>
      <c r="K121" s="199"/>
      <c r="L121" s="199"/>
    </row>
    <row r="122" spans="1:12" ht="48.75" customHeight="1">
      <c r="A122" s="196"/>
      <c r="B122" s="197" t="s">
        <v>443</v>
      </c>
      <c r="C122" s="1056" t="s">
        <v>686</v>
      </c>
      <c r="D122" s="1056"/>
      <c r="E122" s="1056"/>
      <c r="F122" s="1056"/>
      <c r="G122" s="1056"/>
      <c r="H122" s="1056"/>
      <c r="I122" s="199"/>
      <c r="J122" s="199"/>
      <c r="K122" s="199"/>
      <c r="L122" s="199"/>
    </row>
    <row r="123" spans="1:12" ht="39" customHeight="1">
      <c r="A123" s="196"/>
      <c r="B123" s="197" t="s">
        <v>586</v>
      </c>
      <c r="C123" s="1060" t="s">
        <v>687</v>
      </c>
      <c r="D123" s="1060"/>
      <c r="E123" s="1060"/>
      <c r="F123" s="1060"/>
      <c r="G123" s="1060"/>
      <c r="H123" s="1060"/>
      <c r="I123" s="199"/>
      <c r="J123" s="199"/>
      <c r="K123" s="199"/>
      <c r="L123" s="199"/>
    </row>
    <row r="124" spans="1:12" ht="42" customHeight="1">
      <c r="A124" s="196"/>
      <c r="B124" s="197" t="s">
        <v>622</v>
      </c>
      <c r="C124" s="1060" t="s">
        <v>688</v>
      </c>
      <c r="D124" s="1060"/>
      <c r="E124" s="1060"/>
      <c r="F124" s="1060"/>
      <c r="G124" s="1060"/>
      <c r="H124" s="1060"/>
      <c r="I124" s="199"/>
      <c r="J124" s="199"/>
      <c r="K124" s="199"/>
      <c r="L124" s="199"/>
    </row>
    <row r="125" spans="1:12" ht="7.5" hidden="1" customHeight="1">
      <c r="A125" s="196"/>
      <c r="B125" s="196"/>
      <c r="C125" s="200"/>
      <c r="D125" s="200"/>
      <c r="E125" s="200"/>
      <c r="F125" s="200"/>
      <c r="G125" s="200"/>
      <c r="H125" s="203" t="s">
        <v>664</v>
      </c>
      <c r="I125" s="199"/>
      <c r="J125" s="199"/>
      <c r="K125" s="199"/>
      <c r="L125" s="199"/>
    </row>
    <row r="126" spans="1:12" ht="37.5" customHeight="1">
      <c r="A126" s="196"/>
      <c r="B126" s="196"/>
      <c r="C126" s="1060" t="s">
        <v>689</v>
      </c>
      <c r="D126" s="1060"/>
      <c r="E126" s="1060"/>
      <c r="F126" s="1060"/>
      <c r="G126" s="1060"/>
      <c r="H126" s="1060"/>
      <c r="I126" s="199"/>
      <c r="J126" s="199"/>
      <c r="K126" s="199"/>
      <c r="L126" s="199"/>
    </row>
    <row r="127" spans="1:12">
      <c r="A127" s="196"/>
      <c r="B127" s="196"/>
      <c r="C127" s="1061" t="s">
        <v>690</v>
      </c>
      <c r="D127" s="1061"/>
      <c r="E127" s="1061"/>
      <c r="F127" s="1061"/>
      <c r="G127" s="1061"/>
      <c r="H127" s="1061"/>
      <c r="I127" s="199"/>
      <c r="J127" s="199"/>
      <c r="K127" s="199"/>
      <c r="L127" s="199"/>
    </row>
    <row r="128" spans="1:12" ht="50.25" customHeight="1">
      <c r="A128" s="196"/>
      <c r="B128" s="196"/>
      <c r="C128" s="1060" t="s">
        <v>691</v>
      </c>
      <c r="D128" s="1060"/>
      <c r="E128" s="1060"/>
      <c r="F128" s="1060"/>
      <c r="G128" s="1060"/>
      <c r="H128" s="1060"/>
      <c r="I128" s="199"/>
      <c r="J128" s="199"/>
      <c r="K128" s="199"/>
      <c r="L128" s="199"/>
    </row>
    <row r="129" spans="1:12" ht="37.5" customHeight="1">
      <c r="A129" s="196"/>
      <c r="B129" s="196"/>
      <c r="C129" s="1060" t="s">
        <v>692</v>
      </c>
      <c r="D129" s="1060"/>
      <c r="E129" s="1060"/>
      <c r="F129" s="1060"/>
      <c r="G129" s="1060"/>
      <c r="H129" s="1060"/>
      <c r="I129" s="199"/>
      <c r="J129" s="199"/>
      <c r="K129" s="199"/>
      <c r="L129" s="199"/>
    </row>
    <row r="130" spans="1:12" ht="36.75" customHeight="1">
      <c r="A130" s="196"/>
      <c r="B130" s="196"/>
      <c r="C130" s="1060" t="s">
        <v>693</v>
      </c>
      <c r="D130" s="1060"/>
      <c r="E130" s="1060"/>
      <c r="F130" s="1060"/>
      <c r="G130" s="1060"/>
      <c r="H130" s="1060"/>
      <c r="I130" s="199"/>
      <c r="J130" s="199"/>
      <c r="K130" s="199"/>
      <c r="L130" s="199"/>
    </row>
    <row r="131" spans="1:12" ht="21" customHeight="1">
      <c r="A131" s="196"/>
      <c r="B131" s="196"/>
      <c r="C131" s="1056" t="s">
        <v>694</v>
      </c>
      <c r="D131" s="1056"/>
      <c r="E131" s="1056"/>
      <c r="F131" s="1056"/>
      <c r="G131" s="1056"/>
      <c r="H131" s="1056"/>
      <c r="I131" s="199"/>
      <c r="J131" s="199"/>
      <c r="K131" s="199"/>
      <c r="L131" s="199"/>
    </row>
    <row r="132" spans="1:12" ht="19.5" customHeight="1">
      <c r="A132" s="196"/>
      <c r="B132" s="196"/>
      <c r="C132" s="1061" t="s">
        <v>695</v>
      </c>
      <c r="D132" s="1061"/>
      <c r="E132" s="1061"/>
      <c r="F132" s="1061"/>
      <c r="G132" s="1061"/>
      <c r="H132" s="1061"/>
      <c r="I132" s="199"/>
      <c r="J132" s="199"/>
      <c r="K132" s="199"/>
      <c r="L132" s="199"/>
    </row>
    <row r="133" spans="1:12" ht="98.25" customHeight="1">
      <c r="A133" s="196"/>
      <c r="B133" s="196"/>
      <c r="C133" s="1060" t="s">
        <v>696</v>
      </c>
      <c r="D133" s="1060"/>
      <c r="E133" s="1060"/>
      <c r="F133" s="1060"/>
      <c r="G133" s="1060"/>
      <c r="H133" s="1060"/>
      <c r="I133" s="199"/>
      <c r="J133" s="199"/>
      <c r="K133" s="199"/>
      <c r="L133" s="199"/>
    </row>
    <row r="134" spans="1:12" ht="18" customHeight="1">
      <c r="A134" s="196"/>
      <c r="B134" s="196"/>
      <c r="C134" s="1061" t="s">
        <v>697</v>
      </c>
      <c r="D134" s="1061"/>
      <c r="E134" s="1061"/>
      <c r="F134" s="1061"/>
      <c r="G134" s="1061"/>
      <c r="H134" s="1061"/>
      <c r="I134" s="199"/>
      <c r="J134" s="199"/>
      <c r="K134" s="199"/>
      <c r="L134" s="199"/>
    </row>
    <row r="135" spans="1:12" ht="99.75" customHeight="1">
      <c r="A135" s="196"/>
      <c r="B135" s="196"/>
      <c r="C135" s="1060" t="s">
        <v>698</v>
      </c>
      <c r="D135" s="1060"/>
      <c r="E135" s="1060"/>
      <c r="F135" s="1060"/>
      <c r="G135" s="1060"/>
      <c r="H135" s="1060"/>
      <c r="I135" s="199"/>
      <c r="J135" s="199"/>
      <c r="K135" s="199"/>
      <c r="L135" s="199"/>
    </row>
    <row r="136" spans="1:12" ht="18" customHeight="1">
      <c r="A136" s="196"/>
      <c r="B136" s="196"/>
      <c r="C136" s="1061" t="s">
        <v>699</v>
      </c>
      <c r="D136" s="1061"/>
      <c r="E136" s="1061"/>
      <c r="F136" s="1061"/>
      <c r="G136" s="1061"/>
      <c r="H136" s="1061"/>
      <c r="I136" s="199"/>
      <c r="J136" s="199"/>
      <c r="K136" s="199"/>
      <c r="L136" s="199"/>
    </row>
    <row r="137" spans="1:12" ht="54" customHeight="1">
      <c r="A137" s="196"/>
      <c r="B137" s="196"/>
      <c r="C137" s="1060" t="s">
        <v>700</v>
      </c>
      <c r="D137" s="1060"/>
      <c r="E137" s="1060"/>
      <c r="F137" s="1060"/>
      <c r="G137" s="1060"/>
      <c r="H137" s="1060"/>
      <c r="I137" s="199"/>
      <c r="J137" s="199"/>
      <c r="K137" s="199"/>
      <c r="L137" s="199"/>
    </row>
    <row r="138" spans="1:12" ht="33" customHeight="1">
      <c r="A138" s="196"/>
      <c r="B138" s="196"/>
      <c r="C138" s="1060" t="s">
        <v>701</v>
      </c>
      <c r="D138" s="1060"/>
      <c r="E138" s="1060"/>
      <c r="F138" s="1060"/>
      <c r="G138" s="1060"/>
      <c r="H138" s="1060"/>
      <c r="I138" s="199"/>
      <c r="J138" s="199"/>
      <c r="K138" s="199"/>
      <c r="L138" s="199"/>
    </row>
    <row r="139" spans="1:12" ht="18" customHeight="1">
      <c r="A139" s="196"/>
      <c r="B139" s="196"/>
      <c r="C139" s="1061" t="s">
        <v>702</v>
      </c>
      <c r="D139" s="1061"/>
      <c r="E139" s="1061"/>
      <c r="F139" s="1061"/>
      <c r="G139" s="1061"/>
      <c r="H139" s="1061"/>
      <c r="I139" s="199"/>
      <c r="J139" s="199"/>
      <c r="K139" s="199"/>
      <c r="L139" s="199"/>
    </row>
    <row r="140" spans="1:12" ht="85.5" customHeight="1">
      <c r="A140" s="196"/>
      <c r="B140" s="196"/>
      <c r="C140" s="1060" t="s">
        <v>703</v>
      </c>
      <c r="D140" s="1060"/>
      <c r="E140" s="1060"/>
      <c r="F140" s="1060"/>
      <c r="G140" s="1060"/>
      <c r="H140" s="1060"/>
      <c r="I140" s="199"/>
      <c r="J140" s="199"/>
      <c r="K140" s="199"/>
      <c r="L140" s="199"/>
    </row>
    <row r="141" spans="1:12" ht="18" customHeight="1">
      <c r="A141" s="196"/>
      <c r="B141" s="196"/>
      <c r="C141" s="1064" t="s">
        <v>704</v>
      </c>
      <c r="D141" s="1064"/>
      <c r="E141" s="1064"/>
      <c r="F141" s="1064"/>
      <c r="G141" s="1064"/>
      <c r="H141" s="1064"/>
      <c r="I141" s="199"/>
      <c r="J141" s="199"/>
      <c r="K141" s="199"/>
      <c r="L141" s="199"/>
    </row>
    <row r="142" spans="1:12" ht="33.75" customHeight="1">
      <c r="A142" s="196"/>
      <c r="B142" s="196"/>
      <c r="C142" s="1060" t="s">
        <v>705</v>
      </c>
      <c r="D142" s="1060"/>
      <c r="E142" s="1060"/>
      <c r="F142" s="1060"/>
      <c r="G142" s="1060"/>
      <c r="H142" s="1060"/>
      <c r="I142" s="199"/>
      <c r="J142" s="199"/>
      <c r="K142" s="199"/>
      <c r="L142" s="199"/>
    </row>
    <row r="143" spans="1:12" ht="27.75" customHeight="1">
      <c r="A143" s="196"/>
      <c r="B143" s="196"/>
      <c r="C143" s="1056" t="s">
        <v>1720</v>
      </c>
      <c r="D143" s="1056"/>
      <c r="E143" s="1056"/>
      <c r="F143" s="1056"/>
      <c r="G143" s="1056"/>
      <c r="H143" s="1056"/>
      <c r="I143" s="199"/>
      <c r="J143" s="199"/>
      <c r="K143" s="199"/>
      <c r="L143" s="199"/>
    </row>
    <row r="144" spans="1:12" ht="27.75" customHeight="1">
      <c r="A144" s="196"/>
      <c r="B144" s="196"/>
      <c r="C144" s="204"/>
      <c r="D144" s="204"/>
      <c r="E144" s="204"/>
      <c r="F144" s="204"/>
      <c r="G144" s="204"/>
      <c r="H144" s="204"/>
      <c r="I144" s="199"/>
      <c r="J144" s="199"/>
      <c r="K144" s="199"/>
      <c r="L144" s="199"/>
    </row>
    <row r="145" spans="1:12" ht="18" customHeight="1">
      <c r="A145" s="196"/>
      <c r="B145" s="196" t="s">
        <v>613</v>
      </c>
      <c r="C145" s="1061" t="s">
        <v>149</v>
      </c>
      <c r="D145" s="1061"/>
      <c r="E145" s="1061"/>
      <c r="F145" s="1061"/>
      <c r="G145" s="1061"/>
      <c r="H145" s="1061"/>
      <c r="I145" s="199"/>
      <c r="J145" s="199"/>
      <c r="K145" s="199"/>
      <c r="L145" s="199"/>
    </row>
    <row r="146" spans="1:12" ht="36" customHeight="1">
      <c r="A146" s="196"/>
      <c r="B146" s="196"/>
      <c r="C146" s="1060" t="s">
        <v>706</v>
      </c>
      <c r="D146" s="1060"/>
      <c r="E146" s="1060"/>
      <c r="F146" s="1060"/>
      <c r="G146" s="1060"/>
      <c r="H146" s="1060"/>
      <c r="I146" s="199"/>
      <c r="J146" s="199"/>
      <c r="K146" s="199"/>
      <c r="L146" s="199"/>
    </row>
    <row r="147" spans="1:12" ht="43.5" customHeight="1">
      <c r="A147" s="196"/>
      <c r="B147" s="196"/>
      <c r="C147" s="1056" t="s">
        <v>707</v>
      </c>
      <c r="D147" s="1056"/>
      <c r="E147" s="1056"/>
      <c r="F147" s="1056"/>
      <c r="G147" s="1056"/>
      <c r="H147" s="1056"/>
      <c r="I147" s="199"/>
      <c r="J147" s="199"/>
      <c r="K147" s="199"/>
      <c r="L147" s="199"/>
    </row>
    <row r="148" spans="1:12" s="201" customFormat="1" ht="18" customHeight="1">
      <c r="A148" s="196"/>
      <c r="B148" s="196" t="s">
        <v>708</v>
      </c>
      <c r="C148" s="212" t="s">
        <v>709</v>
      </c>
      <c r="D148" s="212"/>
      <c r="E148" s="212"/>
      <c r="F148" s="212"/>
      <c r="G148" s="212"/>
      <c r="H148" s="204"/>
      <c r="I148" s="199"/>
      <c r="J148" s="199"/>
      <c r="K148" s="199"/>
      <c r="L148" s="199"/>
    </row>
    <row r="149" spans="1:12" ht="95.25" customHeight="1">
      <c r="A149" s="196"/>
      <c r="B149" s="196"/>
      <c r="C149" s="1060" t="s">
        <v>710</v>
      </c>
      <c r="D149" s="1060"/>
      <c r="E149" s="1060"/>
      <c r="F149" s="1060"/>
      <c r="G149" s="1060"/>
      <c r="H149" s="1060"/>
      <c r="I149" s="199"/>
      <c r="J149" s="199"/>
      <c r="K149" s="199"/>
      <c r="L149" s="199"/>
    </row>
    <row r="150" spans="1:12" ht="18" customHeight="1">
      <c r="A150" s="196"/>
      <c r="B150" s="196" t="s">
        <v>711</v>
      </c>
      <c r="C150" s="1061" t="s">
        <v>712</v>
      </c>
      <c r="D150" s="1061"/>
      <c r="E150" s="1061"/>
      <c r="F150" s="1061"/>
      <c r="G150" s="1061"/>
      <c r="H150" s="1061"/>
      <c r="I150" s="199"/>
      <c r="J150" s="199"/>
      <c r="K150" s="199"/>
      <c r="L150" s="199"/>
    </row>
    <row r="151" spans="1:12" ht="116.25" customHeight="1">
      <c r="A151" s="196"/>
      <c r="B151" s="196"/>
      <c r="C151" s="1060" t="s">
        <v>713</v>
      </c>
      <c r="D151" s="1060"/>
      <c r="E151" s="1060"/>
      <c r="F151" s="1060"/>
      <c r="G151" s="1060"/>
      <c r="H151" s="1060"/>
      <c r="I151" s="199"/>
      <c r="J151" s="199"/>
      <c r="K151" s="199"/>
      <c r="L151" s="199"/>
    </row>
    <row r="152" spans="1:12" ht="81.75" customHeight="1">
      <c r="A152" s="196"/>
      <c r="B152" s="196"/>
      <c r="C152" s="1060" t="s">
        <v>714</v>
      </c>
      <c r="D152" s="1060"/>
      <c r="E152" s="1060"/>
      <c r="F152" s="1060"/>
      <c r="G152" s="1060"/>
      <c r="H152" s="1060"/>
      <c r="I152" s="199"/>
      <c r="J152" s="199"/>
      <c r="K152" s="199"/>
      <c r="L152" s="199"/>
    </row>
    <row r="153" spans="1:12" ht="34.5" customHeight="1">
      <c r="A153" s="196"/>
      <c r="B153" s="196"/>
      <c r="C153" s="1060" t="s">
        <v>715</v>
      </c>
      <c r="D153" s="1060"/>
      <c r="E153" s="1060"/>
      <c r="F153" s="1060"/>
      <c r="G153" s="1060"/>
      <c r="H153" s="1060"/>
      <c r="I153" s="199"/>
      <c r="J153" s="199"/>
      <c r="K153" s="199"/>
      <c r="L153" s="199"/>
    </row>
    <row r="154" spans="1:12" ht="33" customHeight="1">
      <c r="A154" s="196"/>
      <c r="B154" s="196"/>
      <c r="C154" s="1056" t="s">
        <v>716</v>
      </c>
      <c r="D154" s="1056"/>
      <c r="E154" s="1056"/>
      <c r="F154" s="1056"/>
      <c r="G154" s="1056"/>
      <c r="H154" s="1056"/>
      <c r="I154" s="199"/>
      <c r="J154" s="199"/>
      <c r="K154" s="199"/>
      <c r="L154" s="199"/>
    </row>
    <row r="155" spans="1:12" ht="123.75" customHeight="1">
      <c r="A155" s="196"/>
      <c r="B155" s="196"/>
      <c r="C155" s="1060" t="s">
        <v>717</v>
      </c>
      <c r="D155" s="1060"/>
      <c r="E155" s="1060"/>
      <c r="F155" s="1060"/>
      <c r="G155" s="1060"/>
      <c r="H155" s="1060"/>
      <c r="I155" s="199"/>
      <c r="J155" s="199"/>
      <c r="K155" s="199"/>
      <c r="L155" s="199"/>
    </row>
    <row r="156" spans="1:12" s="201" customFormat="1" ht="18" customHeight="1">
      <c r="A156" s="196"/>
      <c r="B156" s="196" t="s">
        <v>718</v>
      </c>
      <c r="C156" s="212" t="s">
        <v>719</v>
      </c>
      <c r="D156" s="212"/>
      <c r="E156" s="212"/>
      <c r="F156" s="212"/>
      <c r="G156" s="212"/>
      <c r="H156" s="204"/>
      <c r="I156" s="199"/>
      <c r="J156" s="199"/>
      <c r="K156" s="199"/>
      <c r="L156" s="199"/>
    </row>
    <row r="157" spans="1:12" ht="183.75" customHeight="1">
      <c r="A157" s="196"/>
      <c r="B157" s="196"/>
      <c r="C157" s="1060" t="s">
        <v>720</v>
      </c>
      <c r="D157" s="1060"/>
      <c r="E157" s="1060"/>
      <c r="F157" s="1060"/>
      <c r="G157" s="1060"/>
      <c r="H157" s="1060"/>
      <c r="I157" s="199"/>
      <c r="J157" s="199"/>
      <c r="K157" s="199"/>
      <c r="L157" s="199"/>
    </row>
    <row r="158" spans="1:12" ht="18" customHeight="1">
      <c r="A158" s="196"/>
      <c r="B158" s="196" t="s">
        <v>443</v>
      </c>
      <c r="C158" s="212" t="s">
        <v>135</v>
      </c>
      <c r="D158" s="212"/>
      <c r="E158" s="212"/>
      <c r="F158" s="212"/>
      <c r="G158" s="212"/>
      <c r="H158" s="204"/>
      <c r="I158" s="199"/>
      <c r="J158" s="199"/>
      <c r="K158" s="199"/>
      <c r="L158" s="199"/>
    </row>
    <row r="159" spans="1:12" ht="35.5" customHeight="1">
      <c r="A159" s="196"/>
      <c r="B159" s="196"/>
      <c r="C159" s="1056" t="s">
        <v>721</v>
      </c>
      <c r="D159" s="1056"/>
      <c r="E159" s="1056"/>
      <c r="F159" s="1056"/>
      <c r="G159" s="1056"/>
      <c r="H159" s="1056"/>
      <c r="I159" s="199"/>
      <c r="J159" s="199"/>
      <c r="K159" s="199"/>
      <c r="L159" s="199"/>
    </row>
    <row r="160" spans="1:12">
      <c r="A160" s="196"/>
      <c r="B160" s="196"/>
      <c r="C160" s="1056" t="s">
        <v>722</v>
      </c>
      <c r="D160" s="1056"/>
      <c r="E160" s="1056"/>
      <c r="F160" s="1056"/>
      <c r="G160" s="1056"/>
      <c r="H160" s="1056"/>
      <c r="I160" s="199"/>
      <c r="J160" s="199"/>
      <c r="K160" s="199"/>
      <c r="L160" s="199"/>
    </row>
    <row r="161" spans="1:12" ht="37" customHeight="1">
      <c r="A161" s="196"/>
      <c r="B161" s="197" t="s">
        <v>584</v>
      </c>
      <c r="C161" s="1060" t="s">
        <v>723</v>
      </c>
      <c r="D161" s="1060"/>
      <c r="E161" s="1060"/>
      <c r="F161" s="1060"/>
      <c r="G161" s="1060"/>
      <c r="H161" s="1060"/>
      <c r="I161" s="199"/>
      <c r="J161" s="199"/>
      <c r="K161" s="199"/>
      <c r="L161" s="199"/>
    </row>
    <row r="162" spans="1:12" ht="48.75" customHeight="1">
      <c r="A162" s="196"/>
      <c r="B162" s="200" t="s">
        <v>588</v>
      </c>
      <c r="C162" s="1060" t="s">
        <v>724</v>
      </c>
      <c r="D162" s="1060"/>
      <c r="E162" s="1060"/>
      <c r="F162" s="1060"/>
      <c r="G162" s="1060"/>
      <c r="H162" s="1060"/>
      <c r="I162" s="199"/>
      <c r="J162" s="199"/>
      <c r="K162" s="199"/>
      <c r="L162" s="199"/>
    </row>
    <row r="163" spans="1:12" ht="7.5" customHeight="1">
      <c r="A163" s="196"/>
      <c r="B163" s="196"/>
      <c r="C163" s="204"/>
      <c r="D163" s="204"/>
      <c r="E163" s="204"/>
      <c r="F163" s="204"/>
      <c r="G163" s="204"/>
      <c r="H163" s="203" t="s">
        <v>664</v>
      </c>
      <c r="I163" s="199"/>
      <c r="J163" s="199"/>
      <c r="K163" s="199"/>
      <c r="L163" s="199"/>
    </row>
    <row r="164" spans="1:12" ht="33" customHeight="1">
      <c r="A164" s="196"/>
      <c r="B164" s="196"/>
      <c r="C164" s="1060" t="s">
        <v>725</v>
      </c>
      <c r="D164" s="1060"/>
      <c r="E164" s="1060"/>
      <c r="F164" s="1060"/>
      <c r="G164" s="1060"/>
      <c r="H164" s="1060"/>
      <c r="I164" s="199"/>
      <c r="J164" s="199"/>
      <c r="K164" s="199"/>
      <c r="L164" s="199"/>
    </row>
    <row r="165" spans="1:12" ht="42" customHeight="1">
      <c r="A165" s="196"/>
      <c r="B165" s="196"/>
      <c r="C165" s="1060" t="s">
        <v>726</v>
      </c>
      <c r="D165" s="1060"/>
      <c r="E165" s="1060"/>
      <c r="F165" s="1060"/>
      <c r="G165" s="1060"/>
      <c r="H165" s="1060"/>
      <c r="I165" s="199"/>
      <c r="J165" s="199"/>
      <c r="K165" s="199"/>
      <c r="L165" s="199"/>
    </row>
    <row r="166" spans="1:12" ht="18" customHeight="1">
      <c r="A166" s="196"/>
      <c r="B166" s="196" t="s">
        <v>727</v>
      </c>
      <c r="C166" s="1061" t="s">
        <v>728</v>
      </c>
      <c r="D166" s="1061"/>
      <c r="E166" s="1061"/>
      <c r="F166" s="1061"/>
      <c r="G166" s="1061"/>
      <c r="H166" s="1061"/>
      <c r="I166" s="199"/>
      <c r="J166" s="199"/>
      <c r="K166" s="199"/>
      <c r="L166" s="199"/>
    </row>
    <row r="167" spans="1:12" ht="18" customHeight="1">
      <c r="A167" s="196"/>
      <c r="B167" s="196"/>
      <c r="C167" s="1061" t="s">
        <v>729</v>
      </c>
      <c r="D167" s="1061"/>
      <c r="E167" s="1061"/>
      <c r="F167" s="1061"/>
      <c r="G167" s="1061"/>
      <c r="H167" s="1061"/>
      <c r="I167" s="199"/>
      <c r="J167" s="199"/>
      <c r="K167" s="199"/>
      <c r="L167" s="199"/>
    </row>
    <row r="168" spans="1:12" ht="48.75" customHeight="1">
      <c r="A168" s="196"/>
      <c r="B168" s="196"/>
      <c r="C168" s="1060" t="s">
        <v>1128</v>
      </c>
      <c r="D168" s="1060"/>
      <c r="E168" s="1060"/>
      <c r="F168" s="1060"/>
      <c r="G168" s="1060"/>
      <c r="H168" s="1060"/>
      <c r="I168" s="199"/>
      <c r="J168" s="199"/>
      <c r="K168" s="199"/>
      <c r="L168" s="199"/>
    </row>
    <row r="169" spans="1:12" ht="81" customHeight="1">
      <c r="A169" s="196"/>
      <c r="B169" s="196"/>
      <c r="C169" s="1060" t="s">
        <v>730</v>
      </c>
      <c r="D169" s="1060"/>
      <c r="E169" s="1060"/>
      <c r="F169" s="1060"/>
      <c r="G169" s="1060"/>
      <c r="H169" s="1060"/>
      <c r="I169" s="199"/>
      <c r="J169" s="199"/>
      <c r="K169" s="199"/>
      <c r="L169" s="199"/>
    </row>
    <row r="170" spans="1:12">
      <c r="A170" s="196"/>
      <c r="B170" s="196"/>
      <c r="C170" s="1061" t="s">
        <v>731</v>
      </c>
      <c r="D170" s="1061"/>
      <c r="E170" s="1061"/>
      <c r="F170" s="1061"/>
      <c r="G170" s="1061"/>
      <c r="H170" s="1061"/>
      <c r="I170" s="199"/>
      <c r="J170" s="199"/>
      <c r="K170" s="199"/>
      <c r="L170" s="199"/>
    </row>
    <row r="171" spans="1:12" ht="63.75" customHeight="1">
      <c r="A171" s="196"/>
      <c r="B171" s="196"/>
      <c r="C171" s="1060" t="s">
        <v>732</v>
      </c>
      <c r="D171" s="1060"/>
      <c r="E171" s="1060"/>
      <c r="F171" s="1060"/>
      <c r="G171" s="1060"/>
      <c r="H171" s="1060"/>
      <c r="I171" s="199"/>
      <c r="J171" s="199"/>
      <c r="K171" s="199"/>
      <c r="L171" s="199"/>
    </row>
    <row r="172" spans="1:12" ht="65.25" customHeight="1">
      <c r="A172" s="196"/>
      <c r="B172" s="196"/>
      <c r="C172" s="1060" t="s">
        <v>733</v>
      </c>
      <c r="D172" s="1060"/>
      <c r="E172" s="1060"/>
      <c r="F172" s="1060"/>
      <c r="G172" s="1060"/>
      <c r="H172" s="1060"/>
      <c r="I172" s="199"/>
      <c r="J172" s="199"/>
      <c r="K172" s="199"/>
      <c r="L172" s="199"/>
    </row>
    <row r="173" spans="1:12" ht="66.75" customHeight="1">
      <c r="A173" s="196"/>
      <c r="B173" s="196"/>
      <c r="C173" s="1060" t="s">
        <v>734</v>
      </c>
      <c r="D173" s="1060"/>
      <c r="E173" s="1060"/>
      <c r="F173" s="1060"/>
      <c r="G173" s="1060"/>
      <c r="H173" s="1060"/>
      <c r="I173" s="199"/>
      <c r="J173" s="199"/>
      <c r="K173" s="199"/>
      <c r="L173" s="199"/>
    </row>
    <row r="174" spans="1:12" ht="48.75" customHeight="1">
      <c r="A174" s="196"/>
      <c r="B174" s="196"/>
      <c r="C174" s="1060" t="s">
        <v>735</v>
      </c>
      <c r="D174" s="1060"/>
      <c r="E174" s="1060"/>
      <c r="F174" s="1060"/>
      <c r="G174" s="1060"/>
      <c r="H174" s="1060"/>
      <c r="I174" s="199"/>
      <c r="J174" s="199"/>
      <c r="K174" s="199"/>
      <c r="L174" s="199"/>
    </row>
    <row r="175" spans="1:12" ht="51" customHeight="1">
      <c r="A175" s="196"/>
      <c r="B175" s="196"/>
      <c r="C175" s="1060" t="s">
        <v>736</v>
      </c>
      <c r="D175" s="1060"/>
      <c r="E175" s="1060"/>
      <c r="F175" s="1060"/>
      <c r="G175" s="1060"/>
      <c r="H175" s="1060"/>
      <c r="I175" s="199"/>
      <c r="J175" s="199"/>
      <c r="K175" s="199"/>
      <c r="L175" s="199"/>
    </row>
    <row r="176" spans="1:12" ht="33.75" customHeight="1">
      <c r="A176" s="196"/>
      <c r="B176" s="196"/>
      <c r="C176" s="1060" t="s">
        <v>737</v>
      </c>
      <c r="D176" s="1060"/>
      <c r="E176" s="1060"/>
      <c r="F176" s="1060"/>
      <c r="G176" s="1060"/>
      <c r="H176" s="1060"/>
      <c r="I176" s="199"/>
      <c r="J176" s="199"/>
      <c r="K176" s="199"/>
      <c r="L176" s="199"/>
    </row>
    <row r="177" spans="1:12" ht="70.5" customHeight="1">
      <c r="A177" s="196"/>
      <c r="B177" s="196"/>
      <c r="C177" s="1060" t="s">
        <v>738</v>
      </c>
      <c r="D177" s="1060"/>
      <c r="E177" s="1060"/>
      <c r="F177" s="1060"/>
      <c r="G177" s="1060"/>
      <c r="H177" s="1060"/>
      <c r="I177" s="199"/>
      <c r="J177" s="199"/>
      <c r="K177" s="199"/>
      <c r="L177" s="199"/>
    </row>
    <row r="178" spans="1:12" ht="17">
      <c r="A178" s="196"/>
      <c r="B178" s="196" t="s">
        <v>739</v>
      </c>
      <c r="C178" s="1061" t="s">
        <v>740</v>
      </c>
      <c r="D178" s="1061"/>
      <c r="E178" s="1061"/>
      <c r="F178" s="1061"/>
      <c r="G178" s="1061"/>
      <c r="H178" s="1061"/>
      <c r="I178" s="199"/>
      <c r="J178" s="199"/>
      <c r="K178" s="199"/>
      <c r="L178" s="199"/>
    </row>
    <row r="179" spans="1:12" ht="17">
      <c r="A179" s="196"/>
      <c r="B179" s="196"/>
      <c r="C179" s="202" t="s">
        <v>741</v>
      </c>
      <c r="D179" s="202"/>
      <c r="E179" s="202"/>
      <c r="F179" s="202"/>
      <c r="G179" s="202"/>
      <c r="H179" s="205"/>
      <c r="I179" s="199"/>
      <c r="J179" s="199"/>
      <c r="K179" s="199"/>
      <c r="L179" s="199"/>
    </row>
    <row r="180" spans="1:12" ht="66" customHeight="1">
      <c r="A180" s="196"/>
      <c r="B180" s="196"/>
      <c r="C180" s="1060" t="s">
        <v>742</v>
      </c>
      <c r="D180" s="1060"/>
      <c r="E180" s="1060"/>
      <c r="F180" s="1060"/>
      <c r="G180" s="1060"/>
      <c r="H180" s="1060"/>
      <c r="I180" s="199"/>
      <c r="J180" s="199"/>
      <c r="K180" s="199"/>
      <c r="L180" s="199"/>
    </row>
    <row r="181" spans="1:12">
      <c r="A181" s="196"/>
      <c r="B181" s="196"/>
      <c r="C181" s="1061" t="s">
        <v>743</v>
      </c>
      <c r="D181" s="1061"/>
      <c r="E181" s="1061"/>
      <c r="F181" s="1061"/>
      <c r="G181" s="1061"/>
      <c r="H181" s="1061"/>
      <c r="I181" s="199"/>
      <c r="J181" s="199"/>
      <c r="K181" s="199"/>
      <c r="L181" s="199"/>
    </row>
    <row r="182" spans="1:12" ht="85" customHeight="1">
      <c r="A182" s="196"/>
      <c r="B182" s="196"/>
      <c r="C182" s="1060" t="s">
        <v>744</v>
      </c>
      <c r="D182" s="1060"/>
      <c r="E182" s="1060"/>
      <c r="F182" s="1060"/>
      <c r="G182" s="1060"/>
      <c r="H182" s="1060"/>
      <c r="I182" s="199"/>
      <c r="J182" s="199"/>
      <c r="K182" s="199"/>
      <c r="L182" s="199"/>
    </row>
    <row r="183" spans="1:12">
      <c r="A183" s="196"/>
      <c r="B183" s="196"/>
      <c r="C183" s="198"/>
      <c r="D183" s="198"/>
      <c r="E183" s="198"/>
      <c r="F183" s="198"/>
      <c r="G183" s="198"/>
      <c r="H183" s="198"/>
      <c r="I183" s="199"/>
      <c r="J183" s="199"/>
      <c r="K183" s="199"/>
      <c r="L183" s="199"/>
    </row>
    <row r="184" spans="1:12" ht="18" customHeight="1">
      <c r="A184" s="196"/>
      <c r="B184" s="196"/>
      <c r="C184" s="202" t="s">
        <v>745</v>
      </c>
      <c r="D184" s="202"/>
      <c r="E184" s="202"/>
      <c r="F184" s="202"/>
      <c r="G184" s="202"/>
      <c r="H184" s="205"/>
      <c r="I184" s="199"/>
      <c r="J184" s="199"/>
      <c r="K184" s="199"/>
      <c r="L184" s="199"/>
    </row>
    <row r="185" spans="1:12" ht="17">
      <c r="A185" s="196"/>
      <c r="B185" s="196"/>
      <c r="C185" s="205" t="s">
        <v>746</v>
      </c>
      <c r="D185" s="205"/>
      <c r="E185" s="205"/>
      <c r="F185" s="205"/>
      <c r="G185" s="205"/>
      <c r="H185" s="213"/>
      <c r="I185" s="199"/>
      <c r="J185" s="199"/>
      <c r="K185" s="199"/>
      <c r="L185" s="199"/>
    </row>
    <row r="186" spans="1:12" ht="98.25" customHeight="1">
      <c r="A186" s="196"/>
      <c r="B186" s="196"/>
      <c r="C186" s="1060" t="s">
        <v>747</v>
      </c>
      <c r="D186" s="1060"/>
      <c r="E186" s="1060"/>
      <c r="F186" s="1060"/>
      <c r="G186" s="1060"/>
      <c r="H186" s="1060"/>
      <c r="I186" s="199"/>
      <c r="J186" s="199"/>
      <c r="K186" s="199"/>
      <c r="L186" s="199"/>
    </row>
    <row r="187" spans="1:12" ht="18.75" customHeight="1">
      <c r="A187" s="196"/>
      <c r="B187" s="196"/>
      <c r="C187" s="205" t="s">
        <v>748</v>
      </c>
      <c r="D187" s="205"/>
      <c r="E187" s="205"/>
      <c r="F187" s="205"/>
      <c r="G187" s="205"/>
      <c r="H187" s="205"/>
      <c r="I187" s="199"/>
      <c r="J187" s="199"/>
      <c r="K187" s="199"/>
      <c r="L187" s="199"/>
    </row>
    <row r="188" spans="1:12" ht="21" customHeight="1">
      <c r="A188" s="196"/>
      <c r="B188" s="196"/>
      <c r="C188" s="1061" t="s">
        <v>749</v>
      </c>
      <c r="D188" s="1061"/>
      <c r="E188" s="1061"/>
      <c r="F188" s="1061"/>
      <c r="G188" s="1061"/>
      <c r="H188" s="1061"/>
      <c r="I188" s="199"/>
      <c r="J188" s="199"/>
      <c r="K188" s="199"/>
      <c r="L188" s="199"/>
    </row>
    <row r="189" spans="1:12" ht="58" customHeight="1">
      <c r="A189" s="196"/>
      <c r="B189" s="196"/>
      <c r="C189" s="1060" t="s">
        <v>1202</v>
      </c>
      <c r="D189" s="1060"/>
      <c r="E189" s="1060"/>
      <c r="F189" s="1060"/>
      <c r="G189" s="1060"/>
      <c r="H189" s="1060"/>
      <c r="I189" s="199"/>
      <c r="J189" s="199"/>
      <c r="K189" s="199"/>
      <c r="L189" s="199"/>
    </row>
    <row r="190" spans="1:12" ht="81.75" customHeight="1">
      <c r="A190" s="196"/>
      <c r="B190" s="196"/>
      <c r="C190" s="1060" t="s">
        <v>750</v>
      </c>
      <c r="D190" s="1060"/>
      <c r="E190" s="1060"/>
      <c r="F190" s="1060"/>
      <c r="G190" s="1060"/>
      <c r="H190" s="1060"/>
      <c r="I190" s="199"/>
      <c r="J190" s="199"/>
      <c r="K190" s="199"/>
      <c r="L190" s="199"/>
    </row>
    <row r="191" spans="1:12" ht="48.75" customHeight="1">
      <c r="A191" s="196"/>
      <c r="B191" s="196"/>
      <c r="C191" s="1060" t="s">
        <v>751</v>
      </c>
      <c r="D191" s="1060"/>
      <c r="E191" s="1060"/>
      <c r="F191" s="1060"/>
      <c r="G191" s="1060"/>
      <c r="H191" s="1060"/>
      <c r="I191" s="199"/>
      <c r="J191" s="199"/>
      <c r="K191" s="199"/>
      <c r="L191" s="199"/>
    </row>
    <row r="192" spans="1:12" ht="64.5" customHeight="1">
      <c r="A192" s="196"/>
      <c r="B192" s="196"/>
      <c r="C192" s="1060" t="s">
        <v>752</v>
      </c>
      <c r="D192" s="1060"/>
      <c r="E192" s="1060"/>
      <c r="F192" s="1060"/>
      <c r="G192" s="1060"/>
      <c r="H192" s="1060"/>
      <c r="I192" s="199"/>
      <c r="J192" s="199"/>
      <c r="K192" s="199"/>
      <c r="L192" s="199"/>
    </row>
    <row r="193" spans="1:12" ht="18" customHeight="1">
      <c r="A193" s="196"/>
      <c r="B193" s="196"/>
      <c r="C193" s="1064" t="s">
        <v>753</v>
      </c>
      <c r="D193" s="1064"/>
      <c r="E193" s="1064"/>
      <c r="F193" s="1064"/>
      <c r="G193" s="1064"/>
      <c r="H193" s="1064"/>
      <c r="I193" s="199"/>
      <c r="J193" s="199"/>
      <c r="K193" s="199"/>
      <c r="L193" s="199"/>
    </row>
    <row r="194" spans="1:12" ht="89.25" customHeight="1">
      <c r="A194" s="196"/>
      <c r="B194" s="196"/>
      <c r="C194" s="1060" t="s">
        <v>754</v>
      </c>
      <c r="D194" s="1060"/>
      <c r="E194" s="1060"/>
      <c r="F194" s="1060"/>
      <c r="G194" s="1060"/>
      <c r="H194" s="1060"/>
      <c r="I194" s="199"/>
      <c r="J194" s="199"/>
      <c r="K194" s="199"/>
      <c r="L194" s="199"/>
    </row>
    <row r="195" spans="1:12" s="201" customFormat="1" ht="18.75" customHeight="1">
      <c r="A195" s="196"/>
      <c r="B195" s="196" t="s">
        <v>755</v>
      </c>
      <c r="C195" s="1063" t="s">
        <v>756</v>
      </c>
      <c r="D195" s="1063"/>
      <c r="E195" s="1063"/>
      <c r="F195" s="1063"/>
      <c r="G195" s="1063"/>
      <c r="H195" s="1063"/>
      <c r="I195" s="199"/>
      <c r="J195" s="199"/>
      <c r="K195" s="199"/>
      <c r="L195" s="199"/>
    </row>
    <row r="196" spans="1:12" ht="17.25" customHeight="1">
      <c r="A196" s="196"/>
      <c r="B196" s="196"/>
      <c r="C196" s="1056" t="s">
        <v>757</v>
      </c>
      <c r="D196" s="1056"/>
      <c r="E196" s="1056"/>
      <c r="F196" s="1056"/>
      <c r="G196" s="1056"/>
      <c r="H196" s="1056"/>
      <c r="I196" s="199"/>
      <c r="J196" s="199"/>
      <c r="K196" s="199"/>
      <c r="L196" s="199"/>
    </row>
    <row r="197" spans="1:12" ht="127.5" customHeight="1">
      <c r="A197" s="196"/>
      <c r="B197" s="196"/>
      <c r="C197" s="1060" t="s">
        <v>758</v>
      </c>
      <c r="D197" s="1060"/>
      <c r="E197" s="1060"/>
      <c r="F197" s="1060"/>
      <c r="G197" s="1060"/>
      <c r="H197" s="1060"/>
      <c r="I197" s="199"/>
      <c r="J197" s="199"/>
      <c r="K197" s="199"/>
      <c r="L197" s="199"/>
    </row>
    <row r="198" spans="1:12" ht="64.5" customHeight="1">
      <c r="A198" s="196"/>
      <c r="B198" s="196"/>
      <c r="C198" s="1060" t="s">
        <v>397</v>
      </c>
      <c r="D198" s="1060"/>
      <c r="E198" s="1060"/>
      <c r="F198" s="1060"/>
      <c r="G198" s="1060"/>
      <c r="H198" s="1060"/>
      <c r="I198" s="199"/>
      <c r="J198" s="199"/>
      <c r="K198" s="199"/>
      <c r="L198" s="199"/>
    </row>
    <row r="199" spans="1:12" ht="41.25" customHeight="1">
      <c r="A199" s="196"/>
      <c r="B199" s="196"/>
      <c r="C199" s="1056" t="s">
        <v>759</v>
      </c>
      <c r="D199" s="1056"/>
      <c r="E199" s="1056"/>
      <c r="F199" s="1056"/>
      <c r="G199" s="1056"/>
      <c r="H199" s="1056"/>
      <c r="I199" s="199"/>
      <c r="J199" s="199"/>
      <c r="K199" s="199"/>
      <c r="L199" s="199"/>
    </row>
    <row r="200" spans="1:12" ht="16.5" customHeight="1">
      <c r="A200" s="196"/>
      <c r="B200" s="196" t="s">
        <v>760</v>
      </c>
      <c r="C200" s="1061" t="s">
        <v>761</v>
      </c>
      <c r="D200" s="1061"/>
      <c r="E200" s="1061"/>
      <c r="F200" s="1061"/>
      <c r="G200" s="1061"/>
      <c r="H200" s="1061"/>
      <c r="I200" s="199"/>
      <c r="J200" s="199"/>
      <c r="K200" s="199"/>
      <c r="L200" s="199"/>
    </row>
    <row r="201" spans="1:12" ht="87.75" customHeight="1">
      <c r="A201" s="196"/>
      <c r="B201" s="196"/>
      <c r="C201" s="1060" t="s">
        <v>762</v>
      </c>
      <c r="D201" s="1060"/>
      <c r="E201" s="1060"/>
      <c r="F201" s="1060"/>
      <c r="G201" s="1060"/>
      <c r="H201" s="1060"/>
      <c r="I201" s="199"/>
      <c r="J201" s="199"/>
      <c r="K201" s="199"/>
      <c r="L201" s="199"/>
    </row>
    <row r="202" spans="1:12" ht="213.75" customHeight="1">
      <c r="A202" s="196"/>
      <c r="B202" s="196"/>
      <c r="C202" s="1060" t="s">
        <v>1129</v>
      </c>
      <c r="D202" s="1060"/>
      <c r="E202" s="1060"/>
      <c r="F202" s="1060"/>
      <c r="G202" s="1060"/>
      <c r="H202" s="1060"/>
      <c r="I202" s="199"/>
      <c r="J202" s="199"/>
      <c r="K202" s="199"/>
      <c r="L202" s="199"/>
    </row>
    <row r="203" spans="1:12" ht="17">
      <c r="A203" s="196"/>
      <c r="B203" s="196" t="s">
        <v>763</v>
      </c>
      <c r="C203" s="1062" t="s">
        <v>49</v>
      </c>
      <c r="D203" s="1062"/>
      <c r="E203" s="1062"/>
      <c r="F203" s="1062"/>
      <c r="G203" s="1062"/>
      <c r="H203" s="1062"/>
      <c r="I203" s="199"/>
      <c r="J203" s="199"/>
      <c r="K203" s="199"/>
      <c r="L203" s="199"/>
    </row>
    <row r="204" spans="1:12" ht="82.5" customHeight="1">
      <c r="A204" s="196"/>
      <c r="B204" s="196"/>
      <c r="C204" s="1060" t="s">
        <v>764</v>
      </c>
      <c r="D204" s="1060"/>
      <c r="E204" s="1060"/>
      <c r="F204" s="1060"/>
      <c r="G204" s="1060"/>
      <c r="H204" s="1060"/>
      <c r="I204" s="199"/>
      <c r="J204" s="199"/>
      <c r="K204" s="199"/>
      <c r="L204" s="199"/>
    </row>
    <row r="205" spans="1:12" ht="17">
      <c r="A205" s="196"/>
      <c r="B205" s="196" t="s">
        <v>765</v>
      </c>
      <c r="C205" s="1061" t="s">
        <v>766</v>
      </c>
      <c r="D205" s="1061"/>
      <c r="E205" s="1061"/>
      <c r="F205" s="1061"/>
      <c r="G205" s="1061"/>
      <c r="H205" s="1061"/>
      <c r="I205" s="199"/>
      <c r="J205" s="199"/>
      <c r="K205" s="199"/>
      <c r="L205" s="199"/>
    </row>
    <row r="206" spans="1:12" ht="51.75" customHeight="1">
      <c r="A206" s="196"/>
      <c r="B206" s="196"/>
      <c r="C206" s="1060" t="s">
        <v>767</v>
      </c>
      <c r="D206" s="1060"/>
      <c r="E206" s="1060"/>
      <c r="F206" s="1060"/>
      <c r="G206" s="1060"/>
      <c r="H206" s="1060"/>
      <c r="I206" s="199"/>
      <c r="J206" s="199"/>
      <c r="K206" s="199"/>
      <c r="L206" s="199"/>
    </row>
    <row r="207" spans="1:12" ht="48.75" customHeight="1">
      <c r="A207" s="196"/>
      <c r="B207" s="196"/>
      <c r="C207" s="1060" t="s">
        <v>768</v>
      </c>
      <c r="D207" s="1060"/>
      <c r="E207" s="1060"/>
      <c r="F207" s="1060"/>
      <c r="G207" s="1060"/>
      <c r="H207" s="1060"/>
      <c r="I207" s="199"/>
      <c r="J207" s="199"/>
      <c r="K207" s="199"/>
      <c r="L207" s="199"/>
    </row>
    <row r="208" spans="1:12" ht="39" customHeight="1">
      <c r="A208" s="196"/>
      <c r="B208" s="196"/>
      <c r="C208" s="1060" t="s">
        <v>769</v>
      </c>
      <c r="D208" s="1060"/>
      <c r="E208" s="1060"/>
      <c r="F208" s="1060"/>
      <c r="G208" s="1060"/>
      <c r="H208" s="1060"/>
      <c r="I208" s="199"/>
      <c r="J208" s="199"/>
      <c r="K208" s="199"/>
      <c r="L208" s="199"/>
    </row>
    <row r="209" spans="1:12" s="201" customFormat="1" ht="17">
      <c r="A209" s="196"/>
      <c r="B209" s="196" t="s">
        <v>770</v>
      </c>
      <c r="C209" s="1061" t="s">
        <v>396</v>
      </c>
      <c r="D209" s="1061"/>
      <c r="E209" s="1061"/>
      <c r="F209" s="1061"/>
      <c r="G209" s="1061"/>
      <c r="H209" s="1061"/>
      <c r="I209" s="199"/>
      <c r="J209" s="199"/>
      <c r="K209" s="199"/>
      <c r="L209" s="199"/>
    </row>
    <row r="210" spans="1:12" ht="22" customHeight="1">
      <c r="A210" s="196"/>
      <c r="B210" s="196"/>
      <c r="C210" s="214" t="s">
        <v>771</v>
      </c>
      <c r="D210" s="214"/>
      <c r="E210" s="214"/>
      <c r="F210" s="214"/>
      <c r="G210" s="214"/>
      <c r="H210" s="198"/>
      <c r="I210" s="199"/>
      <c r="J210" s="199"/>
      <c r="K210" s="199"/>
      <c r="L210" s="199"/>
    </row>
    <row r="211" spans="1:12" ht="409.5" customHeight="1">
      <c r="A211" s="196"/>
      <c r="B211" s="196"/>
      <c r="C211" s="1060" t="s">
        <v>1462</v>
      </c>
      <c r="D211" s="1060"/>
      <c r="E211" s="1060"/>
      <c r="F211" s="1060"/>
      <c r="G211" s="1060"/>
      <c r="H211" s="1060"/>
      <c r="I211" s="199"/>
      <c r="J211" s="199"/>
      <c r="K211" s="199"/>
      <c r="L211" s="199"/>
    </row>
    <row r="212" spans="1:12" ht="18" customHeight="1">
      <c r="A212" s="196"/>
      <c r="B212" s="196"/>
      <c r="C212" s="214" t="s">
        <v>773</v>
      </c>
      <c r="D212" s="214"/>
      <c r="E212" s="214"/>
      <c r="F212" s="214"/>
      <c r="G212" s="214"/>
      <c r="H212" s="214"/>
      <c r="I212" s="199"/>
      <c r="J212" s="199"/>
      <c r="K212" s="199"/>
      <c r="L212" s="199"/>
    </row>
    <row r="213" spans="1:12" ht="85" customHeight="1">
      <c r="A213" s="196"/>
      <c r="B213" s="196"/>
      <c r="C213" s="1060" t="s">
        <v>774</v>
      </c>
      <c r="D213" s="1060"/>
      <c r="E213" s="1060"/>
      <c r="F213" s="1060"/>
      <c r="G213" s="1060"/>
      <c r="H213" s="1060"/>
      <c r="I213" s="199"/>
      <c r="J213" s="199"/>
      <c r="K213" s="199"/>
      <c r="L213" s="199"/>
    </row>
    <row r="214" spans="1:12" ht="17">
      <c r="A214" s="196"/>
      <c r="B214" s="196" t="s">
        <v>775</v>
      </c>
      <c r="C214" s="1061" t="s">
        <v>540</v>
      </c>
      <c r="D214" s="1061"/>
      <c r="E214" s="1061"/>
      <c r="F214" s="1061"/>
      <c r="G214" s="1061"/>
      <c r="H214" s="1061"/>
      <c r="I214" s="199"/>
      <c r="J214" s="199"/>
      <c r="K214" s="199"/>
      <c r="L214" s="199"/>
    </row>
    <row r="215" spans="1:12" ht="87" customHeight="1">
      <c r="A215" s="196"/>
      <c r="B215" s="196"/>
      <c r="C215" s="1060" t="s">
        <v>1087</v>
      </c>
      <c r="D215" s="1060"/>
      <c r="E215" s="1060"/>
      <c r="F215" s="1060"/>
      <c r="G215" s="1060"/>
      <c r="H215" s="1060"/>
      <c r="I215" s="199"/>
      <c r="J215" s="199"/>
      <c r="K215" s="199"/>
      <c r="L215" s="199"/>
    </row>
    <row r="216" spans="1:12" ht="17">
      <c r="A216" s="196"/>
      <c r="B216" s="196" t="s">
        <v>776</v>
      </c>
      <c r="C216" s="1061" t="s">
        <v>777</v>
      </c>
      <c r="D216" s="1061"/>
      <c r="E216" s="1061"/>
      <c r="F216" s="1061"/>
      <c r="G216" s="1061"/>
      <c r="H216" s="1061"/>
      <c r="I216" s="199"/>
      <c r="J216" s="199"/>
      <c r="K216" s="199"/>
      <c r="L216" s="199"/>
    </row>
    <row r="217" spans="1:12" ht="51.75" customHeight="1">
      <c r="A217" s="196"/>
      <c r="B217" s="196"/>
      <c r="C217" s="1056" t="s">
        <v>778</v>
      </c>
      <c r="D217" s="1056"/>
      <c r="E217" s="1056"/>
      <c r="F217" s="1056"/>
      <c r="G217" s="1056"/>
      <c r="H217" s="1056"/>
      <c r="I217" s="199"/>
      <c r="J217" s="199"/>
      <c r="K217" s="199"/>
      <c r="L217" s="199"/>
    </row>
    <row r="218" spans="1:12" ht="2.25" customHeight="1">
      <c r="A218" s="196"/>
      <c r="B218" s="196"/>
      <c r="C218" s="198"/>
      <c r="D218" s="198"/>
      <c r="E218" s="198"/>
      <c r="F218" s="198"/>
      <c r="G218" s="198"/>
      <c r="H218" s="198"/>
      <c r="I218" s="199"/>
      <c r="J218" s="199"/>
      <c r="K218" s="199"/>
      <c r="L218" s="199"/>
    </row>
    <row r="219" spans="1:12" ht="17" hidden="1">
      <c r="B219" s="196" t="s">
        <v>779</v>
      </c>
      <c r="C219" s="191" t="s">
        <v>780</v>
      </c>
      <c r="D219" s="191"/>
      <c r="E219" s="191"/>
      <c r="F219" s="191"/>
      <c r="G219" s="191"/>
      <c r="H219" s="191"/>
    </row>
    <row r="220" spans="1:12" hidden="1">
      <c r="C220" s="191" t="s">
        <v>781</v>
      </c>
      <c r="D220" s="191"/>
      <c r="E220" s="191"/>
      <c r="F220" s="191"/>
      <c r="G220" s="191"/>
      <c r="H220" s="191"/>
    </row>
    <row r="221" spans="1:12" ht="78.75" hidden="1" customHeight="1">
      <c r="C221" s="1057" t="s">
        <v>782</v>
      </c>
      <c r="D221" s="1057"/>
      <c r="E221" s="1057"/>
      <c r="F221" s="1057"/>
      <c r="G221" s="1057"/>
      <c r="H221" s="1057"/>
    </row>
    <row r="222" spans="1:12" ht="18.75" hidden="1" customHeight="1">
      <c r="A222" s="195"/>
      <c r="B222" s="195"/>
      <c r="C222" s="1058" t="s">
        <v>783</v>
      </c>
      <c r="D222" s="1058"/>
      <c r="E222" s="1058"/>
      <c r="F222" s="1058"/>
      <c r="G222" s="1058"/>
      <c r="H222" s="1058"/>
    </row>
    <row r="223" spans="1:12" ht="61.5" hidden="1" customHeight="1">
      <c r="A223" s="195"/>
      <c r="B223" s="195"/>
      <c r="C223" s="1057" t="s">
        <v>784</v>
      </c>
      <c r="D223" s="1057"/>
      <c r="E223" s="1057"/>
      <c r="F223" s="1057"/>
      <c r="G223" s="1057"/>
      <c r="H223" s="1057"/>
    </row>
    <row r="224" spans="1:12" ht="15" customHeight="1">
      <c r="A224" s="195"/>
      <c r="B224" s="195"/>
      <c r="C224" s="1055"/>
      <c r="D224" s="1055"/>
      <c r="E224" s="1055"/>
      <c r="F224" s="1055"/>
      <c r="G224" s="1055"/>
      <c r="H224" s="1055"/>
    </row>
    <row r="225" spans="1:8" ht="11.25" customHeight="1">
      <c r="A225" s="195"/>
      <c r="B225" s="195"/>
      <c r="C225" s="211"/>
      <c r="D225" s="211"/>
      <c r="E225" s="211"/>
      <c r="F225" s="211"/>
      <c r="G225" s="211"/>
      <c r="H225" s="211"/>
    </row>
    <row r="226" spans="1:8">
      <c r="A226" s="1071" t="s">
        <v>1463</v>
      </c>
      <c r="B226" s="1071"/>
      <c r="C226" s="1071"/>
      <c r="D226" s="1071"/>
      <c r="E226" s="1071"/>
      <c r="F226" s="1071"/>
      <c r="G226" s="1071"/>
      <c r="H226" s="1071"/>
    </row>
  </sheetData>
  <mergeCells count="187">
    <mergeCell ref="A226:H226"/>
    <mergeCell ref="B7:H7"/>
    <mergeCell ref="C8:H8"/>
    <mergeCell ref="C9:H9"/>
    <mergeCell ref="C10:H10"/>
    <mergeCell ref="C12:H12"/>
    <mergeCell ref="C13:H13"/>
    <mergeCell ref="C22:H22"/>
    <mergeCell ref="C23:H23"/>
    <mergeCell ref="C25:H25"/>
    <mergeCell ref="C26:H26"/>
    <mergeCell ref="C27:H27"/>
    <mergeCell ref="C28:H28"/>
    <mergeCell ref="C14:H14"/>
    <mergeCell ref="C15:H15"/>
    <mergeCell ref="C16:H16"/>
    <mergeCell ref="C17:H17"/>
    <mergeCell ref="C19:H19"/>
    <mergeCell ref="C20:H20"/>
    <mergeCell ref="C35:H35"/>
    <mergeCell ref="C36:H36"/>
    <mergeCell ref="C37:H37"/>
    <mergeCell ref="C38:H38"/>
    <mergeCell ref="C39:H39"/>
    <mergeCell ref="C40:H40"/>
    <mergeCell ref="C29:H29"/>
    <mergeCell ref="C30:H30"/>
    <mergeCell ref="C31:H31"/>
    <mergeCell ref="C32:H32"/>
    <mergeCell ref="C33:H33"/>
    <mergeCell ref="C34:H34"/>
    <mergeCell ref="C46:H46"/>
    <mergeCell ref="C47:H47"/>
    <mergeCell ref="C48:H48"/>
    <mergeCell ref="C49:H49"/>
    <mergeCell ref="C50:H50"/>
    <mergeCell ref="C52:H52"/>
    <mergeCell ref="C41:H41"/>
    <mergeCell ref="C42:H42"/>
    <mergeCell ref="I42:AD42"/>
    <mergeCell ref="B44:H44"/>
    <mergeCell ref="C45:H45"/>
    <mergeCell ref="C64:H64"/>
    <mergeCell ref="C65:H65"/>
    <mergeCell ref="C66:H66"/>
    <mergeCell ref="C67:H67"/>
    <mergeCell ref="C68:H68"/>
    <mergeCell ref="C71:H71"/>
    <mergeCell ref="C54:H54"/>
    <mergeCell ref="C57:H57"/>
    <mergeCell ref="C59:H59"/>
    <mergeCell ref="C61:H61"/>
    <mergeCell ref="C62:H62"/>
    <mergeCell ref="C63:H63"/>
    <mergeCell ref="C83:H83"/>
    <mergeCell ref="C85:H85"/>
    <mergeCell ref="C86:H86"/>
    <mergeCell ref="C89:H89"/>
    <mergeCell ref="C90:H90"/>
    <mergeCell ref="C91:H91"/>
    <mergeCell ref="C73:H73"/>
    <mergeCell ref="C74:H74"/>
    <mergeCell ref="C77:H77"/>
    <mergeCell ref="C80:H80"/>
    <mergeCell ref="C81:H81"/>
    <mergeCell ref="C82:H82"/>
    <mergeCell ref="C78:H78"/>
    <mergeCell ref="C84:H84"/>
    <mergeCell ref="C87:H87"/>
    <mergeCell ref="C98:H98"/>
    <mergeCell ref="C99:H99"/>
    <mergeCell ref="C101:H101"/>
    <mergeCell ref="C102:H102"/>
    <mergeCell ref="C103:H103"/>
    <mergeCell ref="C104:H104"/>
    <mergeCell ref="C92:H92"/>
    <mergeCell ref="C93:H93"/>
    <mergeCell ref="C94:H94"/>
    <mergeCell ref="C95:H95"/>
    <mergeCell ref="C96:H96"/>
    <mergeCell ref="C97:H97"/>
    <mergeCell ref="C111:H111"/>
    <mergeCell ref="C112:H112"/>
    <mergeCell ref="C113:H113"/>
    <mergeCell ref="C114:H114"/>
    <mergeCell ref="C115:H115"/>
    <mergeCell ref="C116:H116"/>
    <mergeCell ref="C105:H105"/>
    <mergeCell ref="C106:H106"/>
    <mergeCell ref="C107:H107"/>
    <mergeCell ref="C108:H108"/>
    <mergeCell ref="C109:H109"/>
    <mergeCell ref="C110:H110"/>
    <mergeCell ref="C123:H123"/>
    <mergeCell ref="C124:H124"/>
    <mergeCell ref="C126:H126"/>
    <mergeCell ref="C127:H127"/>
    <mergeCell ref="C128:H128"/>
    <mergeCell ref="C129:H129"/>
    <mergeCell ref="C117:H117"/>
    <mergeCell ref="C118:H118"/>
    <mergeCell ref="C119:H119"/>
    <mergeCell ref="C120:H120"/>
    <mergeCell ref="C121:H121"/>
    <mergeCell ref="C122:H122"/>
    <mergeCell ref="C136:H136"/>
    <mergeCell ref="C137:H137"/>
    <mergeCell ref="C138:H138"/>
    <mergeCell ref="C139:H139"/>
    <mergeCell ref="C140:H140"/>
    <mergeCell ref="C141:H141"/>
    <mergeCell ref="C130:H130"/>
    <mergeCell ref="C131:H131"/>
    <mergeCell ref="C132:H132"/>
    <mergeCell ref="C133:H133"/>
    <mergeCell ref="C134:H134"/>
    <mergeCell ref="C135:H135"/>
    <mergeCell ref="C150:H150"/>
    <mergeCell ref="C151:H151"/>
    <mergeCell ref="C152:H152"/>
    <mergeCell ref="C153:H153"/>
    <mergeCell ref="C154:H154"/>
    <mergeCell ref="C155:H155"/>
    <mergeCell ref="C142:H142"/>
    <mergeCell ref="C143:H143"/>
    <mergeCell ref="C145:H145"/>
    <mergeCell ref="C146:H146"/>
    <mergeCell ref="C147:H147"/>
    <mergeCell ref="C149:H149"/>
    <mergeCell ref="C165:H165"/>
    <mergeCell ref="C166:H166"/>
    <mergeCell ref="C167:H167"/>
    <mergeCell ref="C168:H168"/>
    <mergeCell ref="C169:H169"/>
    <mergeCell ref="C170:H170"/>
    <mergeCell ref="C157:H157"/>
    <mergeCell ref="C159:H159"/>
    <mergeCell ref="C160:H160"/>
    <mergeCell ref="C161:H161"/>
    <mergeCell ref="C162:H162"/>
    <mergeCell ref="C164:H164"/>
    <mergeCell ref="C177:H177"/>
    <mergeCell ref="C178:H178"/>
    <mergeCell ref="C180:H180"/>
    <mergeCell ref="C181:H181"/>
    <mergeCell ref="C182:H182"/>
    <mergeCell ref="C186:H186"/>
    <mergeCell ref="C171:H171"/>
    <mergeCell ref="C172:H172"/>
    <mergeCell ref="C173:H173"/>
    <mergeCell ref="C174:H174"/>
    <mergeCell ref="C175:H175"/>
    <mergeCell ref="C176:H176"/>
    <mergeCell ref="C196:H196"/>
    <mergeCell ref="C197:H197"/>
    <mergeCell ref="C198:H198"/>
    <mergeCell ref="C199:H199"/>
    <mergeCell ref="C188:H188"/>
    <mergeCell ref="C189:H189"/>
    <mergeCell ref="C190:H190"/>
    <mergeCell ref="C191:H191"/>
    <mergeCell ref="C192:H192"/>
    <mergeCell ref="C193:H193"/>
    <mergeCell ref="C224:H224"/>
    <mergeCell ref="C217:H217"/>
    <mergeCell ref="C221:H221"/>
    <mergeCell ref="C222:H222"/>
    <mergeCell ref="C223:H223"/>
    <mergeCell ref="B5:H5"/>
    <mergeCell ref="C6:H6"/>
    <mergeCell ref="C213:H213"/>
    <mergeCell ref="C214:H214"/>
    <mergeCell ref="C215:H215"/>
    <mergeCell ref="C216:H216"/>
    <mergeCell ref="C206:H206"/>
    <mergeCell ref="C207:H207"/>
    <mergeCell ref="C208:H208"/>
    <mergeCell ref="C209:H209"/>
    <mergeCell ref="C211:H211"/>
    <mergeCell ref="C200:H200"/>
    <mergeCell ref="C201:H201"/>
    <mergeCell ref="C202:H202"/>
    <mergeCell ref="C203:H203"/>
    <mergeCell ref="C204:H204"/>
    <mergeCell ref="C205:H205"/>
    <mergeCell ref="C194:H194"/>
    <mergeCell ref="C195:H195"/>
  </mergeCells>
  <pageMargins left="0.35433070866141736" right="0.6692913385826772" top="0.39370078740157483" bottom="0.19685039370078741" header="7.874015748031496E-2" footer="7.874015748031496E-2"/>
  <pageSetup paperSize="9" scale="66" fitToHeight="0" orientation="portrait" blackAndWhite="1" r:id="rId1"/>
  <rowBreaks count="5" manualBreakCount="5">
    <brk id="135" max="7" man="1"/>
    <brk id="155" max="7" man="1"/>
    <brk id="177" max="7" man="1"/>
    <brk id="199" max="7" man="1"/>
    <brk id="211" max="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7">
    <tabColor rgb="FF92D050"/>
    <pageSetUpPr fitToPage="1"/>
  </sheetPr>
  <dimension ref="A1:R91"/>
  <sheetViews>
    <sheetView showGridLines="0" view="pageBreakPreview" zoomScaleNormal="90" zoomScaleSheetLayoutView="100" workbookViewId="0">
      <selection activeCell="B13" sqref="B13:O91"/>
    </sheetView>
  </sheetViews>
  <sheetFormatPr baseColWidth="10" defaultColWidth="8.83203125" defaultRowHeight="14"/>
  <cols>
    <col min="1" max="1" width="43" style="160" customWidth="1"/>
    <col min="2" max="2" width="14" style="160" bestFit="1" customWidth="1"/>
    <col min="3" max="3" width="15.5" style="160" hidden="1" customWidth="1"/>
    <col min="4" max="4" width="13" style="160" bestFit="1" customWidth="1"/>
    <col min="5" max="5" width="13.5" style="160" bestFit="1" customWidth="1"/>
    <col min="6" max="6" width="12" style="160" bestFit="1" customWidth="1"/>
    <col min="7" max="7" width="14.5" style="168" bestFit="1" customWidth="1"/>
    <col min="8" max="8" width="12.5" style="160" bestFit="1" customWidth="1"/>
    <col min="9" max="9" width="13.6640625" style="160" bestFit="1" customWidth="1"/>
    <col min="10" max="10" width="13.5" style="160" bestFit="1" customWidth="1"/>
    <col min="11" max="11" width="12" style="160" bestFit="1" customWidth="1"/>
    <col min="12" max="13" width="14.5" style="168" bestFit="1" customWidth="1"/>
    <col min="14" max="14" width="14.5" style="160" bestFit="1" customWidth="1"/>
    <col min="15" max="15" width="12.6640625" style="160" bestFit="1" customWidth="1"/>
    <col min="16" max="17" width="14.6640625" style="160" bestFit="1" customWidth="1"/>
    <col min="18" max="18" width="14.5" style="160" bestFit="1" customWidth="1"/>
    <col min="19" max="255" width="9.1640625" style="160"/>
    <col min="256" max="256" width="5.5" style="160" customWidth="1"/>
    <col min="257" max="257" width="67.5" style="160" customWidth="1"/>
    <col min="258" max="259" width="12.1640625" style="160" customWidth="1"/>
    <col min="260" max="260" width="13.83203125" style="160" customWidth="1"/>
    <col min="261" max="261" width="12.83203125" style="160" customWidth="1"/>
    <col min="262" max="262" width="15.83203125" style="160" bestFit="1" customWidth="1"/>
    <col min="263" max="263" width="13" style="160" bestFit="1" customWidth="1"/>
    <col min="264" max="264" width="9" style="160" bestFit="1" customWidth="1"/>
    <col min="265" max="265" width="15.5" style="160" bestFit="1" customWidth="1"/>
    <col min="266" max="266" width="12.5" style="160" bestFit="1" customWidth="1"/>
    <col min="267" max="269" width="15.83203125" style="160" bestFit="1" customWidth="1"/>
    <col min="270" max="271" width="9.1640625" style="160"/>
    <col min="272" max="272" width="12.6640625" style="160" bestFit="1" customWidth="1"/>
    <col min="273" max="511" width="9.1640625" style="160"/>
    <col min="512" max="512" width="5.5" style="160" customWidth="1"/>
    <col min="513" max="513" width="67.5" style="160" customWidth="1"/>
    <col min="514" max="515" width="12.1640625" style="160" customWidth="1"/>
    <col min="516" max="516" width="13.83203125" style="160" customWidth="1"/>
    <col min="517" max="517" width="12.83203125" style="160" customWidth="1"/>
    <col min="518" max="518" width="15.83203125" style="160" bestFit="1" customWidth="1"/>
    <col min="519" max="519" width="13" style="160" bestFit="1" customWidth="1"/>
    <col min="520" max="520" width="9" style="160" bestFit="1" customWidth="1"/>
    <col min="521" max="521" width="15.5" style="160" bestFit="1" customWidth="1"/>
    <col min="522" max="522" width="12.5" style="160" bestFit="1" customWidth="1"/>
    <col min="523" max="525" width="15.83203125" style="160" bestFit="1" customWidth="1"/>
    <col min="526" max="527" width="9.1640625" style="160"/>
    <col min="528" max="528" width="12.6640625" style="160" bestFit="1" customWidth="1"/>
    <col min="529" max="767" width="9.1640625" style="160"/>
    <col min="768" max="768" width="5.5" style="160" customWidth="1"/>
    <col min="769" max="769" width="67.5" style="160" customWidth="1"/>
    <col min="770" max="771" width="12.1640625" style="160" customWidth="1"/>
    <col min="772" max="772" width="13.83203125" style="160" customWidth="1"/>
    <col min="773" max="773" width="12.83203125" style="160" customWidth="1"/>
    <col min="774" max="774" width="15.83203125" style="160" bestFit="1" customWidth="1"/>
    <col min="775" max="775" width="13" style="160" bestFit="1" customWidth="1"/>
    <col min="776" max="776" width="9" style="160" bestFit="1" customWidth="1"/>
    <col min="777" max="777" width="15.5" style="160" bestFit="1" customWidth="1"/>
    <col min="778" max="778" width="12.5" style="160" bestFit="1" customWidth="1"/>
    <col min="779" max="781" width="15.83203125" style="160" bestFit="1" customWidth="1"/>
    <col min="782" max="783" width="9.1640625" style="160"/>
    <col min="784" max="784" width="12.6640625" style="160" bestFit="1" customWidth="1"/>
    <col min="785" max="1023" width="9.1640625" style="160"/>
    <col min="1024" max="1024" width="5.5" style="160" customWidth="1"/>
    <col min="1025" max="1025" width="67.5" style="160" customWidth="1"/>
    <col min="1026" max="1027" width="12.1640625" style="160" customWidth="1"/>
    <col min="1028" max="1028" width="13.83203125" style="160" customWidth="1"/>
    <col min="1029" max="1029" width="12.83203125" style="160" customWidth="1"/>
    <col min="1030" max="1030" width="15.83203125" style="160" bestFit="1" customWidth="1"/>
    <col min="1031" max="1031" width="13" style="160" bestFit="1" customWidth="1"/>
    <col min="1032" max="1032" width="9" style="160" bestFit="1" customWidth="1"/>
    <col min="1033" max="1033" width="15.5" style="160" bestFit="1" customWidth="1"/>
    <col min="1034" max="1034" width="12.5" style="160" bestFit="1" customWidth="1"/>
    <col min="1035" max="1037" width="15.83203125" style="160" bestFit="1" customWidth="1"/>
    <col min="1038" max="1039" width="9.1640625" style="160"/>
    <col min="1040" max="1040" width="12.6640625" style="160" bestFit="1" customWidth="1"/>
    <col min="1041" max="1279" width="9.1640625" style="160"/>
    <col min="1280" max="1280" width="5.5" style="160" customWidth="1"/>
    <col min="1281" max="1281" width="67.5" style="160" customWidth="1"/>
    <col min="1282" max="1283" width="12.1640625" style="160" customWidth="1"/>
    <col min="1284" max="1284" width="13.83203125" style="160" customWidth="1"/>
    <col min="1285" max="1285" width="12.83203125" style="160" customWidth="1"/>
    <col min="1286" max="1286" width="15.83203125" style="160" bestFit="1" customWidth="1"/>
    <col min="1287" max="1287" width="13" style="160" bestFit="1" customWidth="1"/>
    <col min="1288" max="1288" width="9" style="160" bestFit="1" customWidth="1"/>
    <col min="1289" max="1289" width="15.5" style="160" bestFit="1" customWidth="1"/>
    <col min="1290" max="1290" width="12.5" style="160" bestFit="1" customWidth="1"/>
    <col min="1291" max="1293" width="15.83203125" style="160" bestFit="1" customWidth="1"/>
    <col min="1294" max="1295" width="9.1640625" style="160"/>
    <col min="1296" max="1296" width="12.6640625" style="160" bestFit="1" customWidth="1"/>
    <col min="1297" max="1535" width="9.1640625" style="160"/>
    <col min="1536" max="1536" width="5.5" style="160" customWidth="1"/>
    <col min="1537" max="1537" width="67.5" style="160" customWidth="1"/>
    <col min="1538" max="1539" width="12.1640625" style="160" customWidth="1"/>
    <col min="1540" max="1540" width="13.83203125" style="160" customWidth="1"/>
    <col min="1541" max="1541" width="12.83203125" style="160" customWidth="1"/>
    <col min="1542" max="1542" width="15.83203125" style="160" bestFit="1" customWidth="1"/>
    <col min="1543" max="1543" width="13" style="160" bestFit="1" customWidth="1"/>
    <col min="1544" max="1544" width="9" style="160" bestFit="1" customWidth="1"/>
    <col min="1545" max="1545" width="15.5" style="160" bestFit="1" customWidth="1"/>
    <col min="1546" max="1546" width="12.5" style="160" bestFit="1" customWidth="1"/>
    <col min="1547" max="1549" width="15.83203125" style="160" bestFit="1" customWidth="1"/>
    <col min="1550" max="1551" width="9.1640625" style="160"/>
    <col min="1552" max="1552" width="12.6640625" style="160" bestFit="1" customWidth="1"/>
    <col min="1553" max="1791" width="9.1640625" style="160"/>
    <col min="1792" max="1792" width="5.5" style="160" customWidth="1"/>
    <col min="1793" max="1793" width="67.5" style="160" customWidth="1"/>
    <col min="1794" max="1795" width="12.1640625" style="160" customWidth="1"/>
    <col min="1796" max="1796" width="13.83203125" style="160" customWidth="1"/>
    <col min="1797" max="1797" width="12.83203125" style="160" customWidth="1"/>
    <col min="1798" max="1798" width="15.83203125" style="160" bestFit="1" customWidth="1"/>
    <col min="1799" max="1799" width="13" style="160" bestFit="1" customWidth="1"/>
    <col min="1800" max="1800" width="9" style="160" bestFit="1" customWidth="1"/>
    <col min="1801" max="1801" width="15.5" style="160" bestFit="1" customWidth="1"/>
    <col min="1802" max="1802" width="12.5" style="160" bestFit="1" customWidth="1"/>
    <col min="1803" max="1805" width="15.83203125" style="160" bestFit="1" customWidth="1"/>
    <col min="1806" max="1807" width="9.1640625" style="160"/>
    <col min="1808" max="1808" width="12.6640625" style="160" bestFit="1" customWidth="1"/>
    <col min="1809" max="2047" width="9.1640625" style="160"/>
    <col min="2048" max="2048" width="5.5" style="160" customWidth="1"/>
    <col min="2049" max="2049" width="67.5" style="160" customWidth="1"/>
    <col min="2050" max="2051" width="12.1640625" style="160" customWidth="1"/>
    <col min="2052" max="2052" width="13.83203125" style="160" customWidth="1"/>
    <col min="2053" max="2053" width="12.83203125" style="160" customWidth="1"/>
    <col min="2054" max="2054" width="15.83203125" style="160" bestFit="1" customWidth="1"/>
    <col min="2055" max="2055" width="13" style="160" bestFit="1" customWidth="1"/>
    <col min="2056" max="2056" width="9" style="160" bestFit="1" customWidth="1"/>
    <col min="2057" max="2057" width="15.5" style="160" bestFit="1" customWidth="1"/>
    <col min="2058" max="2058" width="12.5" style="160" bestFit="1" customWidth="1"/>
    <col min="2059" max="2061" width="15.83203125" style="160" bestFit="1" customWidth="1"/>
    <col min="2062" max="2063" width="9.1640625" style="160"/>
    <col min="2064" max="2064" width="12.6640625" style="160" bestFit="1" customWidth="1"/>
    <col min="2065" max="2303" width="9.1640625" style="160"/>
    <col min="2304" max="2304" width="5.5" style="160" customWidth="1"/>
    <col min="2305" max="2305" width="67.5" style="160" customWidth="1"/>
    <col min="2306" max="2307" width="12.1640625" style="160" customWidth="1"/>
    <col min="2308" max="2308" width="13.83203125" style="160" customWidth="1"/>
    <col min="2309" max="2309" width="12.83203125" style="160" customWidth="1"/>
    <col min="2310" max="2310" width="15.83203125" style="160" bestFit="1" customWidth="1"/>
    <col min="2311" max="2311" width="13" style="160" bestFit="1" customWidth="1"/>
    <col min="2312" max="2312" width="9" style="160" bestFit="1" customWidth="1"/>
    <col min="2313" max="2313" width="15.5" style="160" bestFit="1" customWidth="1"/>
    <col min="2314" max="2314" width="12.5" style="160" bestFit="1" customWidth="1"/>
    <col min="2315" max="2317" width="15.83203125" style="160" bestFit="1" customWidth="1"/>
    <col min="2318" max="2319" width="9.1640625" style="160"/>
    <col min="2320" max="2320" width="12.6640625" style="160" bestFit="1" customWidth="1"/>
    <col min="2321" max="2559" width="9.1640625" style="160"/>
    <col min="2560" max="2560" width="5.5" style="160" customWidth="1"/>
    <col min="2561" max="2561" width="67.5" style="160" customWidth="1"/>
    <col min="2562" max="2563" width="12.1640625" style="160" customWidth="1"/>
    <col min="2564" max="2564" width="13.83203125" style="160" customWidth="1"/>
    <col min="2565" max="2565" width="12.83203125" style="160" customWidth="1"/>
    <col min="2566" max="2566" width="15.83203125" style="160" bestFit="1" customWidth="1"/>
    <col min="2567" max="2567" width="13" style="160" bestFit="1" customWidth="1"/>
    <col min="2568" max="2568" width="9" style="160" bestFit="1" customWidth="1"/>
    <col min="2569" max="2569" width="15.5" style="160" bestFit="1" customWidth="1"/>
    <col min="2570" max="2570" width="12.5" style="160" bestFit="1" customWidth="1"/>
    <col min="2571" max="2573" width="15.83203125" style="160" bestFit="1" customWidth="1"/>
    <col min="2574" max="2575" width="9.1640625" style="160"/>
    <col min="2576" max="2576" width="12.6640625" style="160" bestFit="1" customWidth="1"/>
    <col min="2577" max="2815" width="9.1640625" style="160"/>
    <col min="2816" max="2816" width="5.5" style="160" customWidth="1"/>
    <col min="2817" max="2817" width="67.5" style="160" customWidth="1"/>
    <col min="2818" max="2819" width="12.1640625" style="160" customWidth="1"/>
    <col min="2820" max="2820" width="13.83203125" style="160" customWidth="1"/>
    <col min="2821" max="2821" width="12.83203125" style="160" customWidth="1"/>
    <col min="2822" max="2822" width="15.83203125" style="160" bestFit="1" customWidth="1"/>
    <col min="2823" max="2823" width="13" style="160" bestFit="1" customWidth="1"/>
    <col min="2824" max="2824" width="9" style="160" bestFit="1" customWidth="1"/>
    <col min="2825" max="2825" width="15.5" style="160" bestFit="1" customWidth="1"/>
    <col min="2826" max="2826" width="12.5" style="160" bestFit="1" customWidth="1"/>
    <col min="2827" max="2829" width="15.83203125" style="160" bestFit="1" customWidth="1"/>
    <col min="2830" max="2831" width="9.1640625" style="160"/>
    <col min="2832" max="2832" width="12.6640625" style="160" bestFit="1" customWidth="1"/>
    <col min="2833" max="3071" width="9.1640625" style="160"/>
    <col min="3072" max="3072" width="5.5" style="160" customWidth="1"/>
    <col min="3073" max="3073" width="67.5" style="160" customWidth="1"/>
    <col min="3074" max="3075" width="12.1640625" style="160" customWidth="1"/>
    <col min="3076" max="3076" width="13.83203125" style="160" customWidth="1"/>
    <col min="3077" max="3077" width="12.83203125" style="160" customWidth="1"/>
    <col min="3078" max="3078" width="15.83203125" style="160" bestFit="1" customWidth="1"/>
    <col min="3079" max="3079" width="13" style="160" bestFit="1" customWidth="1"/>
    <col min="3080" max="3080" width="9" style="160" bestFit="1" customWidth="1"/>
    <col min="3081" max="3081" width="15.5" style="160" bestFit="1" customWidth="1"/>
    <col min="3082" max="3082" width="12.5" style="160" bestFit="1" customWidth="1"/>
    <col min="3083" max="3085" width="15.83203125" style="160" bestFit="1" customWidth="1"/>
    <col min="3086" max="3087" width="9.1640625" style="160"/>
    <col min="3088" max="3088" width="12.6640625" style="160" bestFit="1" customWidth="1"/>
    <col min="3089" max="3327" width="9.1640625" style="160"/>
    <col min="3328" max="3328" width="5.5" style="160" customWidth="1"/>
    <col min="3329" max="3329" width="67.5" style="160" customWidth="1"/>
    <col min="3330" max="3331" width="12.1640625" style="160" customWidth="1"/>
    <col min="3332" max="3332" width="13.83203125" style="160" customWidth="1"/>
    <col min="3333" max="3333" width="12.83203125" style="160" customWidth="1"/>
    <col min="3334" max="3334" width="15.83203125" style="160" bestFit="1" customWidth="1"/>
    <col min="3335" max="3335" width="13" style="160" bestFit="1" customWidth="1"/>
    <col min="3336" max="3336" width="9" style="160" bestFit="1" customWidth="1"/>
    <col min="3337" max="3337" width="15.5" style="160" bestFit="1" customWidth="1"/>
    <col min="3338" max="3338" width="12.5" style="160" bestFit="1" customWidth="1"/>
    <col min="3339" max="3341" width="15.83203125" style="160" bestFit="1" customWidth="1"/>
    <col min="3342" max="3343" width="9.1640625" style="160"/>
    <col min="3344" max="3344" width="12.6640625" style="160" bestFit="1" customWidth="1"/>
    <col min="3345" max="3583" width="9.1640625" style="160"/>
    <col min="3584" max="3584" width="5.5" style="160" customWidth="1"/>
    <col min="3585" max="3585" width="67.5" style="160" customWidth="1"/>
    <col min="3586" max="3587" width="12.1640625" style="160" customWidth="1"/>
    <col min="3588" max="3588" width="13.83203125" style="160" customWidth="1"/>
    <col min="3589" max="3589" width="12.83203125" style="160" customWidth="1"/>
    <col min="3590" max="3590" width="15.83203125" style="160" bestFit="1" customWidth="1"/>
    <col min="3591" max="3591" width="13" style="160" bestFit="1" customWidth="1"/>
    <col min="3592" max="3592" width="9" style="160" bestFit="1" customWidth="1"/>
    <col min="3593" max="3593" width="15.5" style="160" bestFit="1" customWidth="1"/>
    <col min="3594" max="3594" width="12.5" style="160" bestFit="1" customWidth="1"/>
    <col min="3595" max="3597" width="15.83203125" style="160" bestFit="1" customWidth="1"/>
    <col min="3598" max="3599" width="9.1640625" style="160"/>
    <col min="3600" max="3600" width="12.6640625" style="160" bestFit="1" customWidth="1"/>
    <col min="3601" max="3839" width="9.1640625" style="160"/>
    <col min="3840" max="3840" width="5.5" style="160" customWidth="1"/>
    <col min="3841" max="3841" width="67.5" style="160" customWidth="1"/>
    <col min="3842" max="3843" width="12.1640625" style="160" customWidth="1"/>
    <col min="3844" max="3844" width="13.83203125" style="160" customWidth="1"/>
    <col min="3845" max="3845" width="12.83203125" style="160" customWidth="1"/>
    <col min="3846" max="3846" width="15.83203125" style="160" bestFit="1" customWidth="1"/>
    <col min="3847" max="3847" width="13" style="160" bestFit="1" customWidth="1"/>
    <col min="3848" max="3848" width="9" style="160" bestFit="1" customWidth="1"/>
    <col min="3849" max="3849" width="15.5" style="160" bestFit="1" customWidth="1"/>
    <col min="3850" max="3850" width="12.5" style="160" bestFit="1" customWidth="1"/>
    <col min="3851" max="3853" width="15.83203125" style="160" bestFit="1" customWidth="1"/>
    <col min="3854" max="3855" width="9.1640625" style="160"/>
    <col min="3856" max="3856" width="12.6640625" style="160" bestFit="1" customWidth="1"/>
    <col min="3857" max="4095" width="9.1640625" style="160"/>
    <col min="4096" max="4096" width="5.5" style="160" customWidth="1"/>
    <col min="4097" max="4097" width="67.5" style="160" customWidth="1"/>
    <col min="4098" max="4099" width="12.1640625" style="160" customWidth="1"/>
    <col min="4100" max="4100" width="13.83203125" style="160" customWidth="1"/>
    <col min="4101" max="4101" width="12.83203125" style="160" customWidth="1"/>
    <col min="4102" max="4102" width="15.83203125" style="160" bestFit="1" customWidth="1"/>
    <col min="4103" max="4103" width="13" style="160" bestFit="1" customWidth="1"/>
    <col min="4104" max="4104" width="9" style="160" bestFit="1" customWidth="1"/>
    <col min="4105" max="4105" width="15.5" style="160" bestFit="1" customWidth="1"/>
    <col min="4106" max="4106" width="12.5" style="160" bestFit="1" customWidth="1"/>
    <col min="4107" max="4109" width="15.83203125" style="160" bestFit="1" customWidth="1"/>
    <col min="4110" max="4111" width="9.1640625" style="160"/>
    <col min="4112" max="4112" width="12.6640625" style="160" bestFit="1" customWidth="1"/>
    <col min="4113" max="4351" width="9.1640625" style="160"/>
    <col min="4352" max="4352" width="5.5" style="160" customWidth="1"/>
    <col min="4353" max="4353" width="67.5" style="160" customWidth="1"/>
    <col min="4354" max="4355" width="12.1640625" style="160" customWidth="1"/>
    <col min="4356" max="4356" width="13.83203125" style="160" customWidth="1"/>
    <col min="4357" max="4357" width="12.83203125" style="160" customWidth="1"/>
    <col min="4358" max="4358" width="15.83203125" style="160" bestFit="1" customWidth="1"/>
    <col min="4359" max="4359" width="13" style="160" bestFit="1" customWidth="1"/>
    <col min="4360" max="4360" width="9" style="160" bestFit="1" customWidth="1"/>
    <col min="4361" max="4361" width="15.5" style="160" bestFit="1" customWidth="1"/>
    <col min="4362" max="4362" width="12.5" style="160" bestFit="1" customWidth="1"/>
    <col min="4363" max="4365" width="15.83203125" style="160" bestFit="1" customWidth="1"/>
    <col min="4366" max="4367" width="9.1640625" style="160"/>
    <col min="4368" max="4368" width="12.6640625" style="160" bestFit="1" customWidth="1"/>
    <col min="4369" max="4607" width="9.1640625" style="160"/>
    <col min="4608" max="4608" width="5.5" style="160" customWidth="1"/>
    <col min="4609" max="4609" width="67.5" style="160" customWidth="1"/>
    <col min="4610" max="4611" width="12.1640625" style="160" customWidth="1"/>
    <col min="4612" max="4612" width="13.83203125" style="160" customWidth="1"/>
    <col min="4613" max="4613" width="12.83203125" style="160" customWidth="1"/>
    <col min="4614" max="4614" width="15.83203125" style="160" bestFit="1" customWidth="1"/>
    <col min="4615" max="4615" width="13" style="160" bestFit="1" customWidth="1"/>
    <col min="4616" max="4616" width="9" style="160" bestFit="1" customWidth="1"/>
    <col min="4617" max="4617" width="15.5" style="160" bestFit="1" customWidth="1"/>
    <col min="4618" max="4618" width="12.5" style="160" bestFit="1" customWidth="1"/>
    <col min="4619" max="4621" width="15.83203125" style="160" bestFit="1" customWidth="1"/>
    <col min="4622" max="4623" width="9.1640625" style="160"/>
    <col min="4624" max="4624" width="12.6640625" style="160" bestFit="1" customWidth="1"/>
    <col min="4625" max="4863" width="9.1640625" style="160"/>
    <col min="4864" max="4864" width="5.5" style="160" customWidth="1"/>
    <col min="4865" max="4865" width="67.5" style="160" customWidth="1"/>
    <col min="4866" max="4867" width="12.1640625" style="160" customWidth="1"/>
    <col min="4868" max="4868" width="13.83203125" style="160" customWidth="1"/>
    <col min="4869" max="4869" width="12.83203125" style="160" customWidth="1"/>
    <col min="4870" max="4870" width="15.83203125" style="160" bestFit="1" customWidth="1"/>
    <col min="4871" max="4871" width="13" style="160" bestFit="1" customWidth="1"/>
    <col min="4872" max="4872" width="9" style="160" bestFit="1" customWidth="1"/>
    <col min="4873" max="4873" width="15.5" style="160" bestFit="1" customWidth="1"/>
    <col min="4874" max="4874" width="12.5" style="160" bestFit="1" customWidth="1"/>
    <col min="4875" max="4877" width="15.83203125" style="160" bestFit="1" customWidth="1"/>
    <col min="4878" max="4879" width="9.1640625" style="160"/>
    <col min="4880" max="4880" width="12.6640625" style="160" bestFit="1" customWidth="1"/>
    <col min="4881" max="5119" width="9.1640625" style="160"/>
    <col min="5120" max="5120" width="5.5" style="160" customWidth="1"/>
    <col min="5121" max="5121" width="67.5" style="160" customWidth="1"/>
    <col min="5122" max="5123" width="12.1640625" style="160" customWidth="1"/>
    <col min="5124" max="5124" width="13.83203125" style="160" customWidth="1"/>
    <col min="5125" max="5125" width="12.83203125" style="160" customWidth="1"/>
    <col min="5126" max="5126" width="15.83203125" style="160" bestFit="1" customWidth="1"/>
    <col min="5127" max="5127" width="13" style="160" bestFit="1" customWidth="1"/>
    <col min="5128" max="5128" width="9" style="160" bestFit="1" customWidth="1"/>
    <col min="5129" max="5129" width="15.5" style="160" bestFit="1" customWidth="1"/>
    <col min="5130" max="5130" width="12.5" style="160" bestFit="1" customWidth="1"/>
    <col min="5131" max="5133" width="15.83203125" style="160" bestFit="1" customWidth="1"/>
    <col min="5134" max="5135" width="9.1640625" style="160"/>
    <col min="5136" max="5136" width="12.6640625" style="160" bestFit="1" customWidth="1"/>
    <col min="5137" max="5375" width="9.1640625" style="160"/>
    <col min="5376" max="5376" width="5.5" style="160" customWidth="1"/>
    <col min="5377" max="5377" width="67.5" style="160" customWidth="1"/>
    <col min="5378" max="5379" width="12.1640625" style="160" customWidth="1"/>
    <col min="5380" max="5380" width="13.83203125" style="160" customWidth="1"/>
    <col min="5381" max="5381" width="12.83203125" style="160" customWidth="1"/>
    <col min="5382" max="5382" width="15.83203125" style="160" bestFit="1" customWidth="1"/>
    <col min="5383" max="5383" width="13" style="160" bestFit="1" customWidth="1"/>
    <col min="5384" max="5384" width="9" style="160" bestFit="1" customWidth="1"/>
    <col min="5385" max="5385" width="15.5" style="160" bestFit="1" customWidth="1"/>
    <col min="5386" max="5386" width="12.5" style="160" bestFit="1" customWidth="1"/>
    <col min="5387" max="5389" width="15.83203125" style="160" bestFit="1" customWidth="1"/>
    <col min="5390" max="5391" width="9.1640625" style="160"/>
    <col min="5392" max="5392" width="12.6640625" style="160" bestFit="1" customWidth="1"/>
    <col min="5393" max="5631" width="9.1640625" style="160"/>
    <col min="5632" max="5632" width="5.5" style="160" customWidth="1"/>
    <col min="5633" max="5633" width="67.5" style="160" customWidth="1"/>
    <col min="5634" max="5635" width="12.1640625" style="160" customWidth="1"/>
    <col min="5636" max="5636" width="13.83203125" style="160" customWidth="1"/>
    <col min="5637" max="5637" width="12.83203125" style="160" customWidth="1"/>
    <col min="5638" max="5638" width="15.83203125" style="160" bestFit="1" customWidth="1"/>
    <col min="5639" max="5639" width="13" style="160" bestFit="1" customWidth="1"/>
    <col min="5640" max="5640" width="9" style="160" bestFit="1" customWidth="1"/>
    <col min="5641" max="5641" width="15.5" style="160" bestFit="1" customWidth="1"/>
    <col min="5642" max="5642" width="12.5" style="160" bestFit="1" customWidth="1"/>
    <col min="5643" max="5645" width="15.83203125" style="160" bestFit="1" customWidth="1"/>
    <col min="5646" max="5647" width="9.1640625" style="160"/>
    <col min="5648" max="5648" width="12.6640625" style="160" bestFit="1" customWidth="1"/>
    <col min="5649" max="5887" width="9.1640625" style="160"/>
    <col min="5888" max="5888" width="5.5" style="160" customWidth="1"/>
    <col min="5889" max="5889" width="67.5" style="160" customWidth="1"/>
    <col min="5890" max="5891" width="12.1640625" style="160" customWidth="1"/>
    <col min="5892" max="5892" width="13.83203125" style="160" customWidth="1"/>
    <col min="5893" max="5893" width="12.83203125" style="160" customWidth="1"/>
    <col min="5894" max="5894" width="15.83203125" style="160" bestFit="1" customWidth="1"/>
    <col min="5895" max="5895" width="13" style="160" bestFit="1" customWidth="1"/>
    <col min="5896" max="5896" width="9" style="160" bestFit="1" customWidth="1"/>
    <col min="5897" max="5897" width="15.5" style="160" bestFit="1" customWidth="1"/>
    <col min="5898" max="5898" width="12.5" style="160" bestFit="1" customWidth="1"/>
    <col min="5899" max="5901" width="15.83203125" style="160" bestFit="1" customWidth="1"/>
    <col min="5902" max="5903" width="9.1640625" style="160"/>
    <col min="5904" max="5904" width="12.6640625" style="160" bestFit="1" customWidth="1"/>
    <col min="5905" max="6143" width="9.1640625" style="160"/>
    <col min="6144" max="6144" width="5.5" style="160" customWidth="1"/>
    <col min="6145" max="6145" width="67.5" style="160" customWidth="1"/>
    <col min="6146" max="6147" width="12.1640625" style="160" customWidth="1"/>
    <col min="6148" max="6148" width="13.83203125" style="160" customWidth="1"/>
    <col min="6149" max="6149" width="12.83203125" style="160" customWidth="1"/>
    <col min="6150" max="6150" width="15.83203125" style="160" bestFit="1" customWidth="1"/>
    <col min="6151" max="6151" width="13" style="160" bestFit="1" customWidth="1"/>
    <col min="6152" max="6152" width="9" style="160" bestFit="1" customWidth="1"/>
    <col min="6153" max="6153" width="15.5" style="160" bestFit="1" customWidth="1"/>
    <col min="6154" max="6154" width="12.5" style="160" bestFit="1" customWidth="1"/>
    <col min="6155" max="6157" width="15.83203125" style="160" bestFit="1" customWidth="1"/>
    <col min="6158" max="6159" width="9.1640625" style="160"/>
    <col min="6160" max="6160" width="12.6640625" style="160" bestFit="1" customWidth="1"/>
    <col min="6161" max="6399" width="9.1640625" style="160"/>
    <col min="6400" max="6400" width="5.5" style="160" customWidth="1"/>
    <col min="6401" max="6401" width="67.5" style="160" customWidth="1"/>
    <col min="6402" max="6403" width="12.1640625" style="160" customWidth="1"/>
    <col min="6404" max="6404" width="13.83203125" style="160" customWidth="1"/>
    <col min="6405" max="6405" width="12.83203125" style="160" customWidth="1"/>
    <col min="6406" max="6406" width="15.83203125" style="160" bestFit="1" customWidth="1"/>
    <col min="6407" max="6407" width="13" style="160" bestFit="1" customWidth="1"/>
    <col min="6408" max="6408" width="9" style="160" bestFit="1" customWidth="1"/>
    <col min="6409" max="6409" width="15.5" style="160" bestFit="1" customWidth="1"/>
    <col min="6410" max="6410" width="12.5" style="160" bestFit="1" customWidth="1"/>
    <col min="6411" max="6413" width="15.83203125" style="160" bestFit="1" customWidth="1"/>
    <col min="6414" max="6415" width="9.1640625" style="160"/>
    <col min="6416" max="6416" width="12.6640625" style="160" bestFit="1" customWidth="1"/>
    <col min="6417" max="6655" width="9.1640625" style="160"/>
    <col min="6656" max="6656" width="5.5" style="160" customWidth="1"/>
    <col min="6657" max="6657" width="67.5" style="160" customWidth="1"/>
    <col min="6658" max="6659" width="12.1640625" style="160" customWidth="1"/>
    <col min="6660" max="6660" width="13.83203125" style="160" customWidth="1"/>
    <col min="6661" max="6661" width="12.83203125" style="160" customWidth="1"/>
    <col min="6662" max="6662" width="15.83203125" style="160" bestFit="1" customWidth="1"/>
    <col min="6663" max="6663" width="13" style="160" bestFit="1" customWidth="1"/>
    <col min="6664" max="6664" width="9" style="160" bestFit="1" customWidth="1"/>
    <col min="6665" max="6665" width="15.5" style="160" bestFit="1" customWidth="1"/>
    <col min="6666" max="6666" width="12.5" style="160" bestFit="1" customWidth="1"/>
    <col min="6667" max="6669" width="15.83203125" style="160" bestFit="1" customWidth="1"/>
    <col min="6670" max="6671" width="9.1640625" style="160"/>
    <col min="6672" max="6672" width="12.6640625" style="160" bestFit="1" customWidth="1"/>
    <col min="6673" max="6911" width="9.1640625" style="160"/>
    <col min="6912" max="6912" width="5.5" style="160" customWidth="1"/>
    <col min="6913" max="6913" width="67.5" style="160" customWidth="1"/>
    <col min="6914" max="6915" width="12.1640625" style="160" customWidth="1"/>
    <col min="6916" max="6916" width="13.83203125" style="160" customWidth="1"/>
    <col min="6917" max="6917" width="12.83203125" style="160" customWidth="1"/>
    <col min="6918" max="6918" width="15.83203125" style="160" bestFit="1" customWidth="1"/>
    <col min="6919" max="6919" width="13" style="160" bestFit="1" customWidth="1"/>
    <col min="6920" max="6920" width="9" style="160" bestFit="1" customWidth="1"/>
    <col min="6921" max="6921" width="15.5" style="160" bestFit="1" customWidth="1"/>
    <col min="6922" max="6922" width="12.5" style="160" bestFit="1" customWidth="1"/>
    <col min="6923" max="6925" width="15.83203125" style="160" bestFit="1" customWidth="1"/>
    <col min="6926" max="6927" width="9.1640625" style="160"/>
    <col min="6928" max="6928" width="12.6640625" style="160" bestFit="1" customWidth="1"/>
    <col min="6929" max="7167" width="9.1640625" style="160"/>
    <col min="7168" max="7168" width="5.5" style="160" customWidth="1"/>
    <col min="7169" max="7169" width="67.5" style="160" customWidth="1"/>
    <col min="7170" max="7171" width="12.1640625" style="160" customWidth="1"/>
    <col min="7172" max="7172" width="13.83203125" style="160" customWidth="1"/>
    <col min="7173" max="7173" width="12.83203125" style="160" customWidth="1"/>
    <col min="7174" max="7174" width="15.83203125" style="160" bestFit="1" customWidth="1"/>
    <col min="7175" max="7175" width="13" style="160" bestFit="1" customWidth="1"/>
    <col min="7176" max="7176" width="9" style="160" bestFit="1" customWidth="1"/>
    <col min="7177" max="7177" width="15.5" style="160" bestFit="1" customWidth="1"/>
    <col min="7178" max="7178" width="12.5" style="160" bestFit="1" customWidth="1"/>
    <col min="7179" max="7181" width="15.83203125" style="160" bestFit="1" customWidth="1"/>
    <col min="7182" max="7183" width="9.1640625" style="160"/>
    <col min="7184" max="7184" width="12.6640625" style="160" bestFit="1" customWidth="1"/>
    <col min="7185" max="7423" width="9.1640625" style="160"/>
    <col min="7424" max="7424" width="5.5" style="160" customWidth="1"/>
    <col min="7425" max="7425" width="67.5" style="160" customWidth="1"/>
    <col min="7426" max="7427" width="12.1640625" style="160" customWidth="1"/>
    <col min="7428" max="7428" width="13.83203125" style="160" customWidth="1"/>
    <col min="7429" max="7429" width="12.83203125" style="160" customWidth="1"/>
    <col min="7430" max="7430" width="15.83203125" style="160" bestFit="1" customWidth="1"/>
    <col min="7431" max="7431" width="13" style="160" bestFit="1" customWidth="1"/>
    <col min="7432" max="7432" width="9" style="160" bestFit="1" customWidth="1"/>
    <col min="7433" max="7433" width="15.5" style="160" bestFit="1" customWidth="1"/>
    <col min="7434" max="7434" width="12.5" style="160" bestFit="1" customWidth="1"/>
    <col min="7435" max="7437" width="15.83203125" style="160" bestFit="1" customWidth="1"/>
    <col min="7438" max="7439" width="9.1640625" style="160"/>
    <col min="7440" max="7440" width="12.6640625" style="160" bestFit="1" customWidth="1"/>
    <col min="7441" max="7679" width="9.1640625" style="160"/>
    <col min="7680" max="7680" width="5.5" style="160" customWidth="1"/>
    <col min="7681" max="7681" width="67.5" style="160" customWidth="1"/>
    <col min="7682" max="7683" width="12.1640625" style="160" customWidth="1"/>
    <col min="7684" max="7684" width="13.83203125" style="160" customWidth="1"/>
    <col min="7685" max="7685" width="12.83203125" style="160" customWidth="1"/>
    <col min="7686" max="7686" width="15.83203125" style="160" bestFit="1" customWidth="1"/>
    <col min="7687" max="7687" width="13" style="160" bestFit="1" customWidth="1"/>
    <col min="7688" max="7688" width="9" style="160" bestFit="1" customWidth="1"/>
    <col min="7689" max="7689" width="15.5" style="160" bestFit="1" customWidth="1"/>
    <col min="7690" max="7690" width="12.5" style="160" bestFit="1" customWidth="1"/>
    <col min="7691" max="7693" width="15.83203125" style="160" bestFit="1" customWidth="1"/>
    <col min="7694" max="7695" width="9.1640625" style="160"/>
    <col min="7696" max="7696" width="12.6640625" style="160" bestFit="1" customWidth="1"/>
    <col min="7697" max="7935" width="9.1640625" style="160"/>
    <col min="7936" max="7936" width="5.5" style="160" customWidth="1"/>
    <col min="7937" max="7937" width="67.5" style="160" customWidth="1"/>
    <col min="7938" max="7939" width="12.1640625" style="160" customWidth="1"/>
    <col min="7940" max="7940" width="13.83203125" style="160" customWidth="1"/>
    <col min="7941" max="7941" width="12.83203125" style="160" customWidth="1"/>
    <col min="7942" max="7942" width="15.83203125" style="160" bestFit="1" customWidth="1"/>
    <col min="7943" max="7943" width="13" style="160" bestFit="1" customWidth="1"/>
    <col min="7944" max="7944" width="9" style="160" bestFit="1" customWidth="1"/>
    <col min="7945" max="7945" width="15.5" style="160" bestFit="1" customWidth="1"/>
    <col min="7946" max="7946" width="12.5" style="160" bestFit="1" customWidth="1"/>
    <col min="7947" max="7949" width="15.83203125" style="160" bestFit="1" customWidth="1"/>
    <col min="7950" max="7951" width="9.1640625" style="160"/>
    <col min="7952" max="7952" width="12.6640625" style="160" bestFit="1" customWidth="1"/>
    <col min="7953" max="8191" width="9.1640625" style="160"/>
    <col min="8192" max="8192" width="5.5" style="160" customWidth="1"/>
    <col min="8193" max="8193" width="67.5" style="160" customWidth="1"/>
    <col min="8194" max="8195" width="12.1640625" style="160" customWidth="1"/>
    <col min="8196" max="8196" width="13.83203125" style="160" customWidth="1"/>
    <col min="8197" max="8197" width="12.83203125" style="160" customWidth="1"/>
    <col min="8198" max="8198" width="15.83203125" style="160" bestFit="1" customWidth="1"/>
    <col min="8199" max="8199" width="13" style="160" bestFit="1" customWidth="1"/>
    <col min="8200" max="8200" width="9" style="160" bestFit="1" customWidth="1"/>
    <col min="8201" max="8201" width="15.5" style="160" bestFit="1" customWidth="1"/>
    <col min="8202" max="8202" width="12.5" style="160" bestFit="1" customWidth="1"/>
    <col min="8203" max="8205" width="15.83203125" style="160" bestFit="1" customWidth="1"/>
    <col min="8206" max="8207" width="9.1640625" style="160"/>
    <col min="8208" max="8208" width="12.6640625" style="160" bestFit="1" customWidth="1"/>
    <col min="8209" max="8447" width="9.1640625" style="160"/>
    <col min="8448" max="8448" width="5.5" style="160" customWidth="1"/>
    <col min="8449" max="8449" width="67.5" style="160" customWidth="1"/>
    <col min="8450" max="8451" width="12.1640625" style="160" customWidth="1"/>
    <col min="8452" max="8452" width="13.83203125" style="160" customWidth="1"/>
    <col min="8453" max="8453" width="12.83203125" style="160" customWidth="1"/>
    <col min="8454" max="8454" width="15.83203125" style="160" bestFit="1" customWidth="1"/>
    <col min="8455" max="8455" width="13" style="160" bestFit="1" customWidth="1"/>
    <col min="8456" max="8456" width="9" style="160" bestFit="1" customWidth="1"/>
    <col min="8457" max="8457" width="15.5" style="160" bestFit="1" customWidth="1"/>
    <col min="8458" max="8458" width="12.5" style="160" bestFit="1" customWidth="1"/>
    <col min="8459" max="8461" width="15.83203125" style="160" bestFit="1" customWidth="1"/>
    <col min="8462" max="8463" width="9.1640625" style="160"/>
    <col min="8464" max="8464" width="12.6640625" style="160" bestFit="1" customWidth="1"/>
    <col min="8465" max="8703" width="9.1640625" style="160"/>
    <col min="8704" max="8704" width="5.5" style="160" customWidth="1"/>
    <col min="8705" max="8705" width="67.5" style="160" customWidth="1"/>
    <col min="8706" max="8707" width="12.1640625" style="160" customWidth="1"/>
    <col min="8708" max="8708" width="13.83203125" style="160" customWidth="1"/>
    <col min="8709" max="8709" width="12.83203125" style="160" customWidth="1"/>
    <col min="8710" max="8710" width="15.83203125" style="160" bestFit="1" customWidth="1"/>
    <col min="8711" max="8711" width="13" style="160" bestFit="1" customWidth="1"/>
    <col min="8712" max="8712" width="9" style="160" bestFit="1" customWidth="1"/>
    <col min="8713" max="8713" width="15.5" style="160" bestFit="1" customWidth="1"/>
    <col min="8714" max="8714" width="12.5" style="160" bestFit="1" customWidth="1"/>
    <col min="8715" max="8717" width="15.83203125" style="160" bestFit="1" customWidth="1"/>
    <col min="8718" max="8719" width="9.1640625" style="160"/>
    <col min="8720" max="8720" width="12.6640625" style="160" bestFit="1" customWidth="1"/>
    <col min="8721" max="8959" width="9.1640625" style="160"/>
    <col min="8960" max="8960" width="5.5" style="160" customWidth="1"/>
    <col min="8961" max="8961" width="67.5" style="160" customWidth="1"/>
    <col min="8962" max="8963" width="12.1640625" style="160" customWidth="1"/>
    <col min="8964" max="8964" width="13.83203125" style="160" customWidth="1"/>
    <col min="8965" max="8965" width="12.83203125" style="160" customWidth="1"/>
    <col min="8966" max="8966" width="15.83203125" style="160" bestFit="1" customWidth="1"/>
    <col min="8967" max="8967" width="13" style="160" bestFit="1" customWidth="1"/>
    <col min="8968" max="8968" width="9" style="160" bestFit="1" customWidth="1"/>
    <col min="8969" max="8969" width="15.5" style="160" bestFit="1" customWidth="1"/>
    <col min="8970" max="8970" width="12.5" style="160" bestFit="1" customWidth="1"/>
    <col min="8971" max="8973" width="15.83203125" style="160" bestFit="1" customWidth="1"/>
    <col min="8974" max="8975" width="9.1640625" style="160"/>
    <col min="8976" max="8976" width="12.6640625" style="160" bestFit="1" customWidth="1"/>
    <col min="8977" max="9215" width="9.1640625" style="160"/>
    <col min="9216" max="9216" width="5.5" style="160" customWidth="1"/>
    <col min="9217" max="9217" width="67.5" style="160" customWidth="1"/>
    <col min="9218" max="9219" width="12.1640625" style="160" customWidth="1"/>
    <col min="9220" max="9220" width="13.83203125" style="160" customWidth="1"/>
    <col min="9221" max="9221" width="12.83203125" style="160" customWidth="1"/>
    <col min="9222" max="9222" width="15.83203125" style="160" bestFit="1" customWidth="1"/>
    <col min="9223" max="9223" width="13" style="160" bestFit="1" customWidth="1"/>
    <col min="9224" max="9224" width="9" style="160" bestFit="1" customWidth="1"/>
    <col min="9225" max="9225" width="15.5" style="160" bestFit="1" customWidth="1"/>
    <col min="9226" max="9226" width="12.5" style="160" bestFit="1" customWidth="1"/>
    <col min="9227" max="9229" width="15.83203125" style="160" bestFit="1" customWidth="1"/>
    <col min="9230" max="9231" width="9.1640625" style="160"/>
    <col min="9232" max="9232" width="12.6640625" style="160" bestFit="1" customWidth="1"/>
    <col min="9233" max="9471" width="9.1640625" style="160"/>
    <col min="9472" max="9472" width="5.5" style="160" customWidth="1"/>
    <col min="9473" max="9473" width="67.5" style="160" customWidth="1"/>
    <col min="9474" max="9475" width="12.1640625" style="160" customWidth="1"/>
    <col min="9476" max="9476" width="13.83203125" style="160" customWidth="1"/>
    <col min="9477" max="9477" width="12.83203125" style="160" customWidth="1"/>
    <col min="9478" max="9478" width="15.83203125" style="160" bestFit="1" customWidth="1"/>
    <col min="9479" max="9479" width="13" style="160" bestFit="1" customWidth="1"/>
    <col min="9480" max="9480" width="9" style="160" bestFit="1" customWidth="1"/>
    <col min="9481" max="9481" width="15.5" style="160" bestFit="1" customWidth="1"/>
    <col min="9482" max="9482" width="12.5" style="160" bestFit="1" customWidth="1"/>
    <col min="9483" max="9485" width="15.83203125" style="160" bestFit="1" customWidth="1"/>
    <col min="9486" max="9487" width="9.1640625" style="160"/>
    <col min="9488" max="9488" width="12.6640625" style="160" bestFit="1" customWidth="1"/>
    <col min="9489" max="9727" width="9.1640625" style="160"/>
    <col min="9728" max="9728" width="5.5" style="160" customWidth="1"/>
    <col min="9729" max="9729" width="67.5" style="160" customWidth="1"/>
    <col min="9730" max="9731" width="12.1640625" style="160" customWidth="1"/>
    <col min="9732" max="9732" width="13.83203125" style="160" customWidth="1"/>
    <col min="9733" max="9733" width="12.83203125" style="160" customWidth="1"/>
    <col min="9734" max="9734" width="15.83203125" style="160" bestFit="1" customWidth="1"/>
    <col min="9735" max="9735" width="13" style="160" bestFit="1" customWidth="1"/>
    <col min="9736" max="9736" width="9" style="160" bestFit="1" customWidth="1"/>
    <col min="9737" max="9737" width="15.5" style="160" bestFit="1" customWidth="1"/>
    <col min="9738" max="9738" width="12.5" style="160" bestFit="1" customWidth="1"/>
    <col min="9739" max="9741" width="15.83203125" style="160" bestFit="1" customWidth="1"/>
    <col min="9742" max="9743" width="9.1640625" style="160"/>
    <col min="9744" max="9744" width="12.6640625" style="160" bestFit="1" customWidth="1"/>
    <col min="9745" max="9983" width="9.1640625" style="160"/>
    <col min="9984" max="9984" width="5.5" style="160" customWidth="1"/>
    <col min="9985" max="9985" width="67.5" style="160" customWidth="1"/>
    <col min="9986" max="9987" width="12.1640625" style="160" customWidth="1"/>
    <col min="9988" max="9988" width="13.83203125" style="160" customWidth="1"/>
    <col min="9989" max="9989" width="12.83203125" style="160" customWidth="1"/>
    <col min="9990" max="9990" width="15.83203125" style="160" bestFit="1" customWidth="1"/>
    <col min="9991" max="9991" width="13" style="160" bestFit="1" customWidth="1"/>
    <col min="9992" max="9992" width="9" style="160" bestFit="1" customWidth="1"/>
    <col min="9993" max="9993" width="15.5" style="160" bestFit="1" customWidth="1"/>
    <col min="9994" max="9994" width="12.5" style="160" bestFit="1" customWidth="1"/>
    <col min="9995" max="9997" width="15.83203125" style="160" bestFit="1" customWidth="1"/>
    <col min="9998" max="9999" width="9.1640625" style="160"/>
    <col min="10000" max="10000" width="12.6640625" style="160" bestFit="1" customWidth="1"/>
    <col min="10001" max="10239" width="9.1640625" style="160"/>
    <col min="10240" max="10240" width="5.5" style="160" customWidth="1"/>
    <col min="10241" max="10241" width="67.5" style="160" customWidth="1"/>
    <col min="10242" max="10243" width="12.1640625" style="160" customWidth="1"/>
    <col min="10244" max="10244" width="13.83203125" style="160" customWidth="1"/>
    <col min="10245" max="10245" width="12.83203125" style="160" customWidth="1"/>
    <col min="10246" max="10246" width="15.83203125" style="160" bestFit="1" customWidth="1"/>
    <col min="10247" max="10247" width="13" style="160" bestFit="1" customWidth="1"/>
    <col min="10248" max="10248" width="9" style="160" bestFit="1" customWidth="1"/>
    <col min="10249" max="10249" width="15.5" style="160" bestFit="1" customWidth="1"/>
    <col min="10250" max="10250" width="12.5" style="160" bestFit="1" customWidth="1"/>
    <col min="10251" max="10253" width="15.83203125" style="160" bestFit="1" customWidth="1"/>
    <col min="10254" max="10255" width="9.1640625" style="160"/>
    <col min="10256" max="10256" width="12.6640625" style="160" bestFit="1" customWidth="1"/>
    <col min="10257" max="10495" width="9.1640625" style="160"/>
    <col min="10496" max="10496" width="5.5" style="160" customWidth="1"/>
    <col min="10497" max="10497" width="67.5" style="160" customWidth="1"/>
    <col min="10498" max="10499" width="12.1640625" style="160" customWidth="1"/>
    <col min="10500" max="10500" width="13.83203125" style="160" customWidth="1"/>
    <col min="10501" max="10501" width="12.83203125" style="160" customWidth="1"/>
    <col min="10502" max="10502" width="15.83203125" style="160" bestFit="1" customWidth="1"/>
    <col min="10503" max="10503" width="13" style="160" bestFit="1" customWidth="1"/>
    <col min="10504" max="10504" width="9" style="160" bestFit="1" customWidth="1"/>
    <col min="10505" max="10505" width="15.5" style="160" bestFit="1" customWidth="1"/>
    <col min="10506" max="10506" width="12.5" style="160" bestFit="1" customWidth="1"/>
    <col min="10507" max="10509" width="15.83203125" style="160" bestFit="1" customWidth="1"/>
    <col min="10510" max="10511" width="9.1640625" style="160"/>
    <col min="10512" max="10512" width="12.6640625" style="160" bestFit="1" customWidth="1"/>
    <col min="10513" max="10751" width="9.1640625" style="160"/>
    <col min="10752" max="10752" width="5.5" style="160" customWidth="1"/>
    <col min="10753" max="10753" width="67.5" style="160" customWidth="1"/>
    <col min="10754" max="10755" width="12.1640625" style="160" customWidth="1"/>
    <col min="10756" max="10756" width="13.83203125" style="160" customWidth="1"/>
    <col min="10757" max="10757" width="12.83203125" style="160" customWidth="1"/>
    <col min="10758" max="10758" width="15.83203125" style="160" bestFit="1" customWidth="1"/>
    <col min="10759" max="10759" width="13" style="160" bestFit="1" customWidth="1"/>
    <col min="10760" max="10760" width="9" style="160" bestFit="1" customWidth="1"/>
    <col min="10761" max="10761" width="15.5" style="160" bestFit="1" customWidth="1"/>
    <col min="10762" max="10762" width="12.5" style="160" bestFit="1" customWidth="1"/>
    <col min="10763" max="10765" width="15.83203125" style="160" bestFit="1" customWidth="1"/>
    <col min="10766" max="10767" width="9.1640625" style="160"/>
    <col min="10768" max="10768" width="12.6640625" style="160" bestFit="1" customWidth="1"/>
    <col min="10769" max="11007" width="9.1640625" style="160"/>
    <col min="11008" max="11008" width="5.5" style="160" customWidth="1"/>
    <col min="11009" max="11009" width="67.5" style="160" customWidth="1"/>
    <col min="11010" max="11011" width="12.1640625" style="160" customWidth="1"/>
    <col min="11012" max="11012" width="13.83203125" style="160" customWidth="1"/>
    <col min="11013" max="11013" width="12.83203125" style="160" customWidth="1"/>
    <col min="11014" max="11014" width="15.83203125" style="160" bestFit="1" customWidth="1"/>
    <col min="11015" max="11015" width="13" style="160" bestFit="1" customWidth="1"/>
    <col min="11016" max="11016" width="9" style="160" bestFit="1" customWidth="1"/>
    <col min="11017" max="11017" width="15.5" style="160" bestFit="1" customWidth="1"/>
    <col min="11018" max="11018" width="12.5" style="160" bestFit="1" customWidth="1"/>
    <col min="11019" max="11021" width="15.83203125" style="160" bestFit="1" customWidth="1"/>
    <col min="11022" max="11023" width="9.1640625" style="160"/>
    <col min="11024" max="11024" width="12.6640625" style="160" bestFit="1" customWidth="1"/>
    <col min="11025" max="11263" width="9.1640625" style="160"/>
    <col min="11264" max="11264" width="5.5" style="160" customWidth="1"/>
    <col min="11265" max="11265" width="67.5" style="160" customWidth="1"/>
    <col min="11266" max="11267" width="12.1640625" style="160" customWidth="1"/>
    <col min="11268" max="11268" width="13.83203125" style="160" customWidth="1"/>
    <col min="11269" max="11269" width="12.83203125" style="160" customWidth="1"/>
    <col min="11270" max="11270" width="15.83203125" style="160" bestFit="1" customWidth="1"/>
    <col min="11271" max="11271" width="13" style="160" bestFit="1" customWidth="1"/>
    <col min="11272" max="11272" width="9" style="160" bestFit="1" customWidth="1"/>
    <col min="11273" max="11273" width="15.5" style="160" bestFit="1" customWidth="1"/>
    <col min="11274" max="11274" width="12.5" style="160" bestFit="1" customWidth="1"/>
    <col min="11275" max="11277" width="15.83203125" style="160" bestFit="1" customWidth="1"/>
    <col min="11278" max="11279" width="9.1640625" style="160"/>
    <col min="11280" max="11280" width="12.6640625" style="160" bestFit="1" customWidth="1"/>
    <col min="11281" max="11519" width="9.1640625" style="160"/>
    <col min="11520" max="11520" width="5.5" style="160" customWidth="1"/>
    <col min="11521" max="11521" width="67.5" style="160" customWidth="1"/>
    <col min="11522" max="11523" width="12.1640625" style="160" customWidth="1"/>
    <col min="11524" max="11524" width="13.83203125" style="160" customWidth="1"/>
    <col min="11525" max="11525" width="12.83203125" style="160" customWidth="1"/>
    <col min="11526" max="11526" width="15.83203125" style="160" bestFit="1" customWidth="1"/>
    <col min="11527" max="11527" width="13" style="160" bestFit="1" customWidth="1"/>
    <col min="11528" max="11528" width="9" style="160" bestFit="1" customWidth="1"/>
    <col min="11529" max="11529" width="15.5" style="160" bestFit="1" customWidth="1"/>
    <col min="11530" max="11530" width="12.5" style="160" bestFit="1" customWidth="1"/>
    <col min="11531" max="11533" width="15.83203125" style="160" bestFit="1" customWidth="1"/>
    <col min="11534" max="11535" width="9.1640625" style="160"/>
    <col min="11536" max="11536" width="12.6640625" style="160" bestFit="1" customWidth="1"/>
    <col min="11537" max="11775" width="9.1640625" style="160"/>
    <col min="11776" max="11776" width="5.5" style="160" customWidth="1"/>
    <col min="11777" max="11777" width="67.5" style="160" customWidth="1"/>
    <col min="11778" max="11779" width="12.1640625" style="160" customWidth="1"/>
    <col min="11780" max="11780" width="13.83203125" style="160" customWidth="1"/>
    <col min="11781" max="11781" width="12.83203125" style="160" customWidth="1"/>
    <col min="11782" max="11782" width="15.83203125" style="160" bestFit="1" customWidth="1"/>
    <col min="11783" max="11783" width="13" style="160" bestFit="1" customWidth="1"/>
    <col min="11784" max="11784" width="9" style="160" bestFit="1" customWidth="1"/>
    <col min="11785" max="11785" width="15.5" style="160" bestFit="1" customWidth="1"/>
    <col min="11786" max="11786" width="12.5" style="160" bestFit="1" customWidth="1"/>
    <col min="11787" max="11789" width="15.83203125" style="160" bestFit="1" customWidth="1"/>
    <col min="11790" max="11791" width="9.1640625" style="160"/>
    <col min="11792" max="11792" width="12.6640625" style="160" bestFit="1" customWidth="1"/>
    <col min="11793" max="12031" width="9.1640625" style="160"/>
    <col min="12032" max="12032" width="5.5" style="160" customWidth="1"/>
    <col min="12033" max="12033" width="67.5" style="160" customWidth="1"/>
    <col min="12034" max="12035" width="12.1640625" style="160" customWidth="1"/>
    <col min="12036" max="12036" width="13.83203125" style="160" customWidth="1"/>
    <col min="12037" max="12037" width="12.83203125" style="160" customWidth="1"/>
    <col min="12038" max="12038" width="15.83203125" style="160" bestFit="1" customWidth="1"/>
    <col min="12039" max="12039" width="13" style="160" bestFit="1" customWidth="1"/>
    <col min="12040" max="12040" width="9" style="160" bestFit="1" customWidth="1"/>
    <col min="12041" max="12041" width="15.5" style="160" bestFit="1" customWidth="1"/>
    <col min="12042" max="12042" width="12.5" style="160" bestFit="1" customWidth="1"/>
    <col min="12043" max="12045" width="15.83203125" style="160" bestFit="1" customWidth="1"/>
    <col min="12046" max="12047" width="9.1640625" style="160"/>
    <col min="12048" max="12048" width="12.6640625" style="160" bestFit="1" customWidth="1"/>
    <col min="12049" max="12287" width="9.1640625" style="160"/>
    <col min="12288" max="12288" width="5.5" style="160" customWidth="1"/>
    <col min="12289" max="12289" width="67.5" style="160" customWidth="1"/>
    <col min="12290" max="12291" width="12.1640625" style="160" customWidth="1"/>
    <col min="12292" max="12292" width="13.83203125" style="160" customWidth="1"/>
    <col min="12293" max="12293" width="12.83203125" style="160" customWidth="1"/>
    <col min="12294" max="12294" width="15.83203125" style="160" bestFit="1" customWidth="1"/>
    <col min="12295" max="12295" width="13" style="160" bestFit="1" customWidth="1"/>
    <col min="12296" max="12296" width="9" style="160" bestFit="1" customWidth="1"/>
    <col min="12297" max="12297" width="15.5" style="160" bestFit="1" customWidth="1"/>
    <col min="12298" max="12298" width="12.5" style="160" bestFit="1" customWidth="1"/>
    <col min="12299" max="12301" width="15.83203125" style="160" bestFit="1" customWidth="1"/>
    <col min="12302" max="12303" width="9.1640625" style="160"/>
    <col min="12304" max="12304" width="12.6640625" style="160" bestFit="1" customWidth="1"/>
    <col min="12305" max="12543" width="9.1640625" style="160"/>
    <col min="12544" max="12544" width="5.5" style="160" customWidth="1"/>
    <col min="12545" max="12545" width="67.5" style="160" customWidth="1"/>
    <col min="12546" max="12547" width="12.1640625" style="160" customWidth="1"/>
    <col min="12548" max="12548" width="13.83203125" style="160" customWidth="1"/>
    <col min="12549" max="12549" width="12.83203125" style="160" customWidth="1"/>
    <col min="12550" max="12550" width="15.83203125" style="160" bestFit="1" customWidth="1"/>
    <col min="12551" max="12551" width="13" style="160" bestFit="1" customWidth="1"/>
    <col min="12552" max="12552" width="9" style="160" bestFit="1" customWidth="1"/>
    <col min="12553" max="12553" width="15.5" style="160" bestFit="1" customWidth="1"/>
    <col min="12554" max="12554" width="12.5" style="160" bestFit="1" customWidth="1"/>
    <col min="12555" max="12557" width="15.83203125" style="160" bestFit="1" customWidth="1"/>
    <col min="12558" max="12559" width="9.1640625" style="160"/>
    <col min="12560" max="12560" width="12.6640625" style="160" bestFit="1" customWidth="1"/>
    <col min="12561" max="12799" width="9.1640625" style="160"/>
    <col min="12800" max="12800" width="5.5" style="160" customWidth="1"/>
    <col min="12801" max="12801" width="67.5" style="160" customWidth="1"/>
    <col min="12802" max="12803" width="12.1640625" style="160" customWidth="1"/>
    <col min="12804" max="12804" width="13.83203125" style="160" customWidth="1"/>
    <col min="12805" max="12805" width="12.83203125" style="160" customWidth="1"/>
    <col min="12806" max="12806" width="15.83203125" style="160" bestFit="1" customWidth="1"/>
    <col min="12807" max="12807" width="13" style="160" bestFit="1" customWidth="1"/>
    <col min="12808" max="12808" width="9" style="160" bestFit="1" customWidth="1"/>
    <col min="12809" max="12809" width="15.5" style="160" bestFit="1" customWidth="1"/>
    <col min="12810" max="12810" width="12.5" style="160" bestFit="1" customWidth="1"/>
    <col min="12811" max="12813" width="15.83203125" style="160" bestFit="1" customWidth="1"/>
    <col min="12814" max="12815" width="9.1640625" style="160"/>
    <col min="12816" max="12816" width="12.6640625" style="160" bestFit="1" customWidth="1"/>
    <col min="12817" max="13055" width="9.1640625" style="160"/>
    <col min="13056" max="13056" width="5.5" style="160" customWidth="1"/>
    <col min="13057" max="13057" width="67.5" style="160" customWidth="1"/>
    <col min="13058" max="13059" width="12.1640625" style="160" customWidth="1"/>
    <col min="13060" max="13060" width="13.83203125" style="160" customWidth="1"/>
    <col min="13061" max="13061" width="12.83203125" style="160" customWidth="1"/>
    <col min="13062" max="13062" width="15.83203125" style="160" bestFit="1" customWidth="1"/>
    <col min="13063" max="13063" width="13" style="160" bestFit="1" customWidth="1"/>
    <col min="13064" max="13064" width="9" style="160" bestFit="1" customWidth="1"/>
    <col min="13065" max="13065" width="15.5" style="160" bestFit="1" customWidth="1"/>
    <col min="13066" max="13066" width="12.5" style="160" bestFit="1" customWidth="1"/>
    <col min="13067" max="13069" width="15.83203125" style="160" bestFit="1" customWidth="1"/>
    <col min="13070" max="13071" width="9.1640625" style="160"/>
    <col min="13072" max="13072" width="12.6640625" style="160" bestFit="1" customWidth="1"/>
    <col min="13073" max="13311" width="9.1640625" style="160"/>
    <col min="13312" max="13312" width="5.5" style="160" customWidth="1"/>
    <col min="13313" max="13313" width="67.5" style="160" customWidth="1"/>
    <col min="13314" max="13315" width="12.1640625" style="160" customWidth="1"/>
    <col min="13316" max="13316" width="13.83203125" style="160" customWidth="1"/>
    <col min="13317" max="13317" width="12.83203125" style="160" customWidth="1"/>
    <col min="13318" max="13318" width="15.83203125" style="160" bestFit="1" customWidth="1"/>
    <col min="13319" max="13319" width="13" style="160" bestFit="1" customWidth="1"/>
    <col min="13320" max="13320" width="9" style="160" bestFit="1" customWidth="1"/>
    <col min="13321" max="13321" width="15.5" style="160" bestFit="1" customWidth="1"/>
    <col min="13322" max="13322" width="12.5" style="160" bestFit="1" customWidth="1"/>
    <col min="13323" max="13325" width="15.83203125" style="160" bestFit="1" customWidth="1"/>
    <col min="13326" max="13327" width="9.1640625" style="160"/>
    <col min="13328" max="13328" width="12.6640625" style="160" bestFit="1" customWidth="1"/>
    <col min="13329" max="13567" width="9.1640625" style="160"/>
    <col min="13568" max="13568" width="5.5" style="160" customWidth="1"/>
    <col min="13569" max="13569" width="67.5" style="160" customWidth="1"/>
    <col min="13570" max="13571" width="12.1640625" style="160" customWidth="1"/>
    <col min="13572" max="13572" width="13.83203125" style="160" customWidth="1"/>
    <col min="13573" max="13573" width="12.83203125" style="160" customWidth="1"/>
    <col min="13574" max="13574" width="15.83203125" style="160" bestFit="1" customWidth="1"/>
    <col min="13575" max="13575" width="13" style="160" bestFit="1" customWidth="1"/>
    <col min="13576" max="13576" width="9" style="160" bestFit="1" customWidth="1"/>
    <col min="13577" max="13577" width="15.5" style="160" bestFit="1" customWidth="1"/>
    <col min="13578" max="13578" width="12.5" style="160" bestFit="1" customWidth="1"/>
    <col min="13579" max="13581" width="15.83203125" style="160" bestFit="1" customWidth="1"/>
    <col min="13582" max="13583" width="9.1640625" style="160"/>
    <col min="13584" max="13584" width="12.6640625" style="160" bestFit="1" customWidth="1"/>
    <col min="13585" max="13823" width="9.1640625" style="160"/>
    <col min="13824" max="13824" width="5.5" style="160" customWidth="1"/>
    <col min="13825" max="13825" width="67.5" style="160" customWidth="1"/>
    <col min="13826" max="13827" width="12.1640625" style="160" customWidth="1"/>
    <col min="13828" max="13828" width="13.83203125" style="160" customWidth="1"/>
    <col min="13829" max="13829" width="12.83203125" style="160" customWidth="1"/>
    <col min="13830" max="13830" width="15.83203125" style="160" bestFit="1" customWidth="1"/>
    <col min="13831" max="13831" width="13" style="160" bestFit="1" customWidth="1"/>
    <col min="13832" max="13832" width="9" style="160" bestFit="1" customWidth="1"/>
    <col min="13833" max="13833" width="15.5" style="160" bestFit="1" customWidth="1"/>
    <col min="13834" max="13834" width="12.5" style="160" bestFit="1" customWidth="1"/>
    <col min="13835" max="13837" width="15.83203125" style="160" bestFit="1" customWidth="1"/>
    <col min="13838" max="13839" width="9.1640625" style="160"/>
    <col min="13840" max="13840" width="12.6640625" style="160" bestFit="1" customWidth="1"/>
    <col min="13841" max="14079" width="9.1640625" style="160"/>
    <col min="14080" max="14080" width="5.5" style="160" customWidth="1"/>
    <col min="14081" max="14081" width="67.5" style="160" customWidth="1"/>
    <col min="14082" max="14083" width="12.1640625" style="160" customWidth="1"/>
    <col min="14084" max="14084" width="13.83203125" style="160" customWidth="1"/>
    <col min="14085" max="14085" width="12.83203125" style="160" customWidth="1"/>
    <col min="14086" max="14086" width="15.83203125" style="160" bestFit="1" customWidth="1"/>
    <col min="14087" max="14087" width="13" style="160" bestFit="1" customWidth="1"/>
    <col min="14088" max="14088" width="9" style="160" bestFit="1" customWidth="1"/>
    <col min="14089" max="14089" width="15.5" style="160" bestFit="1" customWidth="1"/>
    <col min="14090" max="14090" width="12.5" style="160" bestFit="1" customWidth="1"/>
    <col min="14091" max="14093" width="15.83203125" style="160" bestFit="1" customWidth="1"/>
    <col min="14094" max="14095" width="9.1640625" style="160"/>
    <col min="14096" max="14096" width="12.6640625" style="160" bestFit="1" customWidth="1"/>
    <col min="14097" max="14335" width="9.1640625" style="160"/>
    <col min="14336" max="14336" width="5.5" style="160" customWidth="1"/>
    <col min="14337" max="14337" width="67.5" style="160" customWidth="1"/>
    <col min="14338" max="14339" width="12.1640625" style="160" customWidth="1"/>
    <col min="14340" max="14340" width="13.83203125" style="160" customWidth="1"/>
    <col min="14341" max="14341" width="12.83203125" style="160" customWidth="1"/>
    <col min="14342" max="14342" width="15.83203125" style="160" bestFit="1" customWidth="1"/>
    <col min="14343" max="14343" width="13" style="160" bestFit="1" customWidth="1"/>
    <col min="14344" max="14344" width="9" style="160" bestFit="1" customWidth="1"/>
    <col min="14345" max="14345" width="15.5" style="160" bestFit="1" customWidth="1"/>
    <col min="14346" max="14346" width="12.5" style="160" bestFit="1" customWidth="1"/>
    <col min="14347" max="14349" width="15.83203125" style="160" bestFit="1" customWidth="1"/>
    <col min="14350" max="14351" width="9.1640625" style="160"/>
    <col min="14352" max="14352" width="12.6640625" style="160" bestFit="1" customWidth="1"/>
    <col min="14353" max="14591" width="9.1640625" style="160"/>
    <col min="14592" max="14592" width="5.5" style="160" customWidth="1"/>
    <col min="14593" max="14593" width="67.5" style="160" customWidth="1"/>
    <col min="14594" max="14595" width="12.1640625" style="160" customWidth="1"/>
    <col min="14596" max="14596" width="13.83203125" style="160" customWidth="1"/>
    <col min="14597" max="14597" width="12.83203125" style="160" customWidth="1"/>
    <col min="14598" max="14598" width="15.83203125" style="160" bestFit="1" customWidth="1"/>
    <col min="14599" max="14599" width="13" style="160" bestFit="1" customWidth="1"/>
    <col min="14600" max="14600" width="9" style="160" bestFit="1" customWidth="1"/>
    <col min="14601" max="14601" width="15.5" style="160" bestFit="1" customWidth="1"/>
    <col min="14602" max="14602" width="12.5" style="160" bestFit="1" customWidth="1"/>
    <col min="14603" max="14605" width="15.83203125" style="160" bestFit="1" customWidth="1"/>
    <col min="14606" max="14607" width="9.1640625" style="160"/>
    <col min="14608" max="14608" width="12.6640625" style="160" bestFit="1" customWidth="1"/>
    <col min="14609" max="14847" width="9.1640625" style="160"/>
    <col min="14848" max="14848" width="5.5" style="160" customWidth="1"/>
    <col min="14849" max="14849" width="67.5" style="160" customWidth="1"/>
    <col min="14850" max="14851" width="12.1640625" style="160" customWidth="1"/>
    <col min="14852" max="14852" width="13.83203125" style="160" customWidth="1"/>
    <col min="14853" max="14853" width="12.83203125" style="160" customWidth="1"/>
    <col min="14854" max="14854" width="15.83203125" style="160" bestFit="1" customWidth="1"/>
    <col min="14855" max="14855" width="13" style="160" bestFit="1" customWidth="1"/>
    <col min="14856" max="14856" width="9" style="160" bestFit="1" customWidth="1"/>
    <col min="14857" max="14857" width="15.5" style="160" bestFit="1" customWidth="1"/>
    <col min="14858" max="14858" width="12.5" style="160" bestFit="1" customWidth="1"/>
    <col min="14859" max="14861" width="15.83203125" style="160" bestFit="1" customWidth="1"/>
    <col min="14862" max="14863" width="9.1640625" style="160"/>
    <col min="14864" max="14864" width="12.6640625" style="160" bestFit="1" customWidth="1"/>
    <col min="14865" max="15103" width="9.1640625" style="160"/>
    <col min="15104" max="15104" width="5.5" style="160" customWidth="1"/>
    <col min="15105" max="15105" width="67.5" style="160" customWidth="1"/>
    <col min="15106" max="15107" width="12.1640625" style="160" customWidth="1"/>
    <col min="15108" max="15108" width="13.83203125" style="160" customWidth="1"/>
    <col min="15109" max="15109" width="12.83203125" style="160" customWidth="1"/>
    <col min="15110" max="15110" width="15.83203125" style="160" bestFit="1" customWidth="1"/>
    <col min="15111" max="15111" width="13" style="160" bestFit="1" customWidth="1"/>
    <col min="15112" max="15112" width="9" style="160" bestFit="1" customWidth="1"/>
    <col min="15113" max="15113" width="15.5" style="160" bestFit="1" customWidth="1"/>
    <col min="15114" max="15114" width="12.5" style="160" bestFit="1" customWidth="1"/>
    <col min="15115" max="15117" width="15.83203125" style="160" bestFit="1" customWidth="1"/>
    <col min="15118" max="15119" width="9.1640625" style="160"/>
    <col min="15120" max="15120" width="12.6640625" style="160" bestFit="1" customWidth="1"/>
    <col min="15121" max="15359" width="9.1640625" style="160"/>
    <col min="15360" max="15360" width="5.5" style="160" customWidth="1"/>
    <col min="15361" max="15361" width="67.5" style="160" customWidth="1"/>
    <col min="15362" max="15363" width="12.1640625" style="160" customWidth="1"/>
    <col min="15364" max="15364" width="13.83203125" style="160" customWidth="1"/>
    <col min="15365" max="15365" width="12.83203125" style="160" customWidth="1"/>
    <col min="15366" max="15366" width="15.83203125" style="160" bestFit="1" customWidth="1"/>
    <col min="15367" max="15367" width="13" style="160" bestFit="1" customWidth="1"/>
    <col min="15368" max="15368" width="9" style="160" bestFit="1" customWidth="1"/>
    <col min="15369" max="15369" width="15.5" style="160" bestFit="1" customWidth="1"/>
    <col min="15370" max="15370" width="12.5" style="160" bestFit="1" customWidth="1"/>
    <col min="15371" max="15373" width="15.83203125" style="160" bestFit="1" customWidth="1"/>
    <col min="15374" max="15375" width="9.1640625" style="160"/>
    <col min="15376" max="15376" width="12.6640625" style="160" bestFit="1" customWidth="1"/>
    <col min="15377" max="15615" width="9.1640625" style="160"/>
    <col min="15616" max="15616" width="5.5" style="160" customWidth="1"/>
    <col min="15617" max="15617" width="67.5" style="160" customWidth="1"/>
    <col min="15618" max="15619" width="12.1640625" style="160" customWidth="1"/>
    <col min="15620" max="15620" width="13.83203125" style="160" customWidth="1"/>
    <col min="15621" max="15621" width="12.83203125" style="160" customWidth="1"/>
    <col min="15622" max="15622" width="15.83203125" style="160" bestFit="1" customWidth="1"/>
    <col min="15623" max="15623" width="13" style="160" bestFit="1" customWidth="1"/>
    <col min="15624" max="15624" width="9" style="160" bestFit="1" customWidth="1"/>
    <col min="15625" max="15625" width="15.5" style="160" bestFit="1" customWidth="1"/>
    <col min="15626" max="15626" width="12.5" style="160" bestFit="1" customWidth="1"/>
    <col min="15627" max="15629" width="15.83203125" style="160" bestFit="1" customWidth="1"/>
    <col min="15630" max="15631" width="9.1640625" style="160"/>
    <col min="15632" max="15632" width="12.6640625" style="160" bestFit="1" customWidth="1"/>
    <col min="15633" max="15871" width="9.1640625" style="160"/>
    <col min="15872" max="15872" width="5.5" style="160" customWidth="1"/>
    <col min="15873" max="15873" width="67.5" style="160" customWidth="1"/>
    <col min="15874" max="15875" width="12.1640625" style="160" customWidth="1"/>
    <col min="15876" max="15876" width="13.83203125" style="160" customWidth="1"/>
    <col min="15877" max="15877" width="12.83203125" style="160" customWidth="1"/>
    <col min="15878" max="15878" width="15.83203125" style="160" bestFit="1" customWidth="1"/>
    <col min="15879" max="15879" width="13" style="160" bestFit="1" customWidth="1"/>
    <col min="15880" max="15880" width="9" style="160" bestFit="1" customWidth="1"/>
    <col min="15881" max="15881" width="15.5" style="160" bestFit="1" customWidth="1"/>
    <col min="15882" max="15882" width="12.5" style="160" bestFit="1" customWidth="1"/>
    <col min="15883" max="15885" width="15.83203125" style="160" bestFit="1" customWidth="1"/>
    <col min="15886" max="15887" width="9.1640625" style="160"/>
    <col min="15888" max="15888" width="12.6640625" style="160" bestFit="1" customWidth="1"/>
    <col min="15889" max="16127" width="9.1640625" style="160"/>
    <col min="16128" max="16128" width="5.5" style="160" customWidth="1"/>
    <col min="16129" max="16129" width="67.5" style="160" customWidth="1"/>
    <col min="16130" max="16131" width="12.1640625" style="160" customWidth="1"/>
    <col min="16132" max="16132" width="13.83203125" style="160" customWidth="1"/>
    <col min="16133" max="16133" width="12.83203125" style="160" customWidth="1"/>
    <col min="16134" max="16134" width="15.83203125" style="160" bestFit="1" customWidth="1"/>
    <col min="16135" max="16135" width="13" style="160" bestFit="1" customWidth="1"/>
    <col min="16136" max="16136" width="9" style="160" bestFit="1" customWidth="1"/>
    <col min="16137" max="16137" width="15.5" style="160" bestFit="1" customWidth="1"/>
    <col min="16138" max="16138" width="12.5" style="160" bestFit="1" customWidth="1"/>
    <col min="16139" max="16141" width="15.83203125" style="160" bestFit="1" customWidth="1"/>
    <col min="16142" max="16143" width="9.1640625" style="160"/>
    <col min="16144" max="16144" width="12.6640625" style="160" bestFit="1" customWidth="1"/>
    <col min="16145" max="16384" width="9.1640625" style="160"/>
  </cols>
  <sheetData>
    <row r="1" spans="1:15" s="155" customFormat="1" ht="12.75" customHeight="1">
      <c r="A1" s="223" t="str">
        <f>+BS!A1</f>
        <v>1908 E-Ventures Private Limited</v>
      </c>
      <c r="G1" s="156"/>
      <c r="L1" s="156"/>
      <c r="M1" s="156"/>
    </row>
    <row r="2" spans="1:15" s="155" customFormat="1" ht="12.75" customHeight="1">
      <c r="A2" s="223" t="s">
        <v>926</v>
      </c>
      <c r="G2" s="156"/>
      <c r="L2" s="156"/>
      <c r="M2" s="156"/>
    </row>
    <row r="3" spans="1:15" s="155" customFormat="1" ht="12.75" customHeight="1">
      <c r="A3" s="15" t="str">
        <f>BS!A3</f>
        <v>[Currency: Indian Rupees(Rs.'000)]</v>
      </c>
      <c r="G3" s="156"/>
      <c r="L3" s="156"/>
      <c r="M3" s="156"/>
    </row>
    <row r="4" spans="1:15" s="155" customFormat="1" ht="12.75" customHeight="1">
      <c r="G4" s="156"/>
      <c r="L4" s="156"/>
      <c r="M4" s="156"/>
    </row>
    <row r="5" spans="1:15" ht="12" customHeight="1">
      <c r="A5" s="157" t="s">
        <v>519</v>
      </c>
      <c r="B5" s="158"/>
      <c r="C5" s="158"/>
      <c r="D5" s="158"/>
      <c r="E5" s="158"/>
      <c r="F5" s="158"/>
      <c r="G5" s="159"/>
      <c r="H5" s="158"/>
      <c r="I5" s="158"/>
      <c r="J5" s="158"/>
      <c r="K5" s="158"/>
      <c r="L5" s="156"/>
      <c r="M5" s="156"/>
    </row>
    <row r="6" spans="1:15" ht="7.5" customHeight="1">
      <c r="A6" s="155"/>
      <c r="B6" s="161"/>
      <c r="C6" s="161"/>
      <c r="D6" s="162"/>
      <c r="E6" s="162"/>
      <c r="F6" s="162"/>
      <c r="G6" s="163"/>
      <c r="H6" s="164"/>
      <c r="I6" s="165"/>
      <c r="J6" s="164"/>
      <c r="K6" s="166"/>
      <c r="L6" s="156"/>
      <c r="M6" s="167"/>
    </row>
    <row r="7" spans="1:15" ht="15">
      <c r="A7" s="642"/>
      <c r="B7" s="1078" t="s">
        <v>70</v>
      </c>
      <c r="C7" s="1079"/>
      <c r="D7" s="1079"/>
      <c r="E7" s="1079"/>
      <c r="F7" s="1079"/>
      <c r="G7" s="1080"/>
      <c r="H7" s="1078" t="s">
        <v>71</v>
      </c>
      <c r="I7" s="1079"/>
      <c r="J7" s="1079"/>
      <c r="K7" s="1079"/>
      <c r="L7" s="1080"/>
      <c r="M7" s="644" t="s">
        <v>72</v>
      </c>
    </row>
    <row r="8" spans="1:15" s="168" customFormat="1" ht="15">
      <c r="A8" s="642" t="s">
        <v>73</v>
      </c>
      <c r="B8" s="645" t="s">
        <v>74</v>
      </c>
      <c r="C8" s="645" t="s">
        <v>75</v>
      </c>
      <c r="D8" s="645"/>
      <c r="E8" s="643"/>
      <c r="F8" s="643"/>
      <c r="G8" s="645" t="s">
        <v>74</v>
      </c>
      <c r="H8" s="645" t="s">
        <v>74</v>
      </c>
      <c r="I8" s="643" t="s">
        <v>76</v>
      </c>
      <c r="J8" s="643"/>
      <c r="K8" s="643"/>
      <c r="L8" s="645" t="s">
        <v>74</v>
      </c>
      <c r="M8" s="645" t="s">
        <v>74</v>
      </c>
    </row>
    <row r="9" spans="1:15" s="168" customFormat="1" ht="15">
      <c r="A9" s="646" t="s">
        <v>0</v>
      </c>
      <c r="B9" s="647" t="s">
        <v>1511</v>
      </c>
      <c r="C9" s="648" t="s">
        <v>77</v>
      </c>
      <c r="D9" s="649" t="s">
        <v>56</v>
      </c>
      <c r="E9" s="649" t="s">
        <v>78</v>
      </c>
      <c r="F9" s="649" t="s">
        <v>79</v>
      </c>
      <c r="G9" s="647" t="s">
        <v>1512</v>
      </c>
      <c r="H9" s="647" t="s">
        <v>1511</v>
      </c>
      <c r="I9" s="649" t="s">
        <v>80</v>
      </c>
      <c r="J9" s="649" t="s">
        <v>78</v>
      </c>
      <c r="K9" s="649" t="s">
        <v>79</v>
      </c>
      <c r="L9" s="647" t="s">
        <v>1512</v>
      </c>
      <c r="M9" s="647" t="s">
        <v>1512</v>
      </c>
    </row>
    <row r="10" spans="1:15" s="168" customFormat="1" ht="14.25" customHeight="1">
      <c r="A10" s="650"/>
      <c r="B10" s="651"/>
      <c r="C10" s="652"/>
      <c r="D10" s="652"/>
      <c r="E10" s="652"/>
      <c r="F10" s="652"/>
      <c r="G10" s="652"/>
      <c r="H10" s="653"/>
      <c r="I10" s="654"/>
      <c r="J10" s="654"/>
      <c r="K10" s="655"/>
      <c r="L10" s="655"/>
      <c r="M10" s="655"/>
    </row>
    <row r="11" spans="1:15" s="175" customFormat="1" ht="15">
      <c r="A11" s="169" t="s">
        <v>81</v>
      </c>
      <c r="B11" s="5"/>
      <c r="C11" s="170"/>
      <c r="D11" s="170"/>
      <c r="E11" s="170"/>
      <c r="F11" s="170"/>
      <c r="G11" s="171"/>
      <c r="H11" s="170"/>
      <c r="I11" s="172"/>
      <c r="J11" s="172"/>
      <c r="K11" s="173"/>
      <c r="L11" s="174"/>
      <c r="M11" s="174"/>
    </row>
    <row r="12" spans="1:15" s="175" customFormat="1" ht="9" customHeight="1">
      <c r="A12" s="169"/>
      <c r="B12" s="5"/>
      <c r="C12" s="170"/>
      <c r="D12" s="170"/>
      <c r="E12" s="170"/>
      <c r="F12" s="170"/>
      <c r="G12" s="171"/>
      <c r="H12" s="170"/>
      <c r="I12" s="172"/>
      <c r="J12" s="172"/>
      <c r="K12" s="173"/>
      <c r="L12" s="174"/>
      <c r="M12" s="174"/>
    </row>
    <row r="13" spans="1:15" s="175" customFormat="1" ht="15">
      <c r="A13" s="176" t="s">
        <v>87</v>
      </c>
      <c r="B13" s="863">
        <v>1354117</v>
      </c>
      <c r="C13" s="869"/>
      <c r="D13" s="869">
        <v>705874</v>
      </c>
      <c r="E13" s="869">
        <v>0</v>
      </c>
      <c r="F13" s="869">
        <v>169407</v>
      </c>
      <c r="G13" s="910">
        <f>ROUND(B13+D13+E13-F13-C13,0)</f>
        <v>1890584</v>
      </c>
      <c r="H13" s="869">
        <v>781244</v>
      </c>
      <c r="I13" s="863">
        <f>598163+6630</f>
        <v>604793</v>
      </c>
      <c r="J13" s="869">
        <f>6630*0</f>
        <v>0</v>
      </c>
      <c r="K13" s="863">
        <v>126639</v>
      </c>
      <c r="L13" s="865">
        <f>ROUND(H13+I13+J13-K13,0)</f>
        <v>1259398</v>
      </c>
      <c r="M13" s="865">
        <f>G13-L13</f>
        <v>631186</v>
      </c>
      <c r="N13" s="911"/>
      <c r="O13" s="911"/>
    </row>
    <row r="14" spans="1:15" s="175" customFormat="1" ht="15">
      <c r="A14" s="176"/>
      <c r="B14" s="863"/>
      <c r="C14" s="869"/>
      <c r="D14" s="869"/>
      <c r="E14" s="869"/>
      <c r="F14" s="869"/>
      <c r="G14" s="910"/>
      <c r="H14" s="869"/>
      <c r="I14" s="869"/>
      <c r="J14" s="869"/>
      <c r="K14" s="869"/>
      <c r="L14" s="865"/>
      <c r="M14" s="865"/>
      <c r="N14" s="911"/>
      <c r="O14" s="911"/>
    </row>
    <row r="15" spans="1:15" s="175" customFormat="1" ht="15">
      <c r="A15" s="176" t="s">
        <v>88</v>
      </c>
      <c r="B15" s="863">
        <v>1065072</v>
      </c>
      <c r="C15" s="863"/>
      <c r="D15" s="863">
        <v>111300</v>
      </c>
      <c r="E15" s="869">
        <v>0</v>
      </c>
      <c r="F15" s="863">
        <v>0</v>
      </c>
      <c r="G15" s="910">
        <f>ROUND(B15+D15+E15-F15-C15,0)</f>
        <v>1176372</v>
      </c>
      <c r="H15" s="869">
        <v>888571</v>
      </c>
      <c r="I15" s="869">
        <v>134972</v>
      </c>
      <c r="J15" s="869">
        <f>55507*0</f>
        <v>0</v>
      </c>
      <c r="K15" s="869">
        <v>0</v>
      </c>
      <c r="L15" s="865">
        <f>ROUND(H15+I15+J15-K15,0)</f>
        <v>1023543</v>
      </c>
      <c r="M15" s="865">
        <f>G15-L15</f>
        <v>152829</v>
      </c>
      <c r="N15" s="911"/>
      <c r="O15" s="911"/>
    </row>
    <row r="16" spans="1:15" s="175" customFormat="1" ht="15">
      <c r="A16" s="176"/>
      <c r="B16" s="863"/>
      <c r="C16" s="869"/>
      <c r="D16" s="869"/>
      <c r="E16" s="869"/>
      <c r="F16" s="869"/>
      <c r="G16" s="910"/>
      <c r="H16" s="869"/>
      <c r="I16" s="869"/>
      <c r="J16" s="869"/>
      <c r="K16" s="869"/>
      <c r="L16" s="865"/>
      <c r="M16" s="865"/>
      <c r="N16" s="911"/>
      <c r="O16" s="911"/>
    </row>
    <row r="17" spans="1:16" s="175" customFormat="1" ht="15">
      <c r="A17" s="176" t="s">
        <v>82</v>
      </c>
      <c r="B17" s="863">
        <v>187694</v>
      </c>
      <c r="C17" s="869"/>
      <c r="D17" s="912">
        <v>0</v>
      </c>
      <c r="E17" s="869">
        <v>0</v>
      </c>
      <c r="F17" s="869">
        <v>0</v>
      </c>
      <c r="G17" s="910">
        <f>ROUND(B17+D17+E17-F17-C17,0)</f>
        <v>187694</v>
      </c>
      <c r="H17" s="869">
        <v>157361</v>
      </c>
      <c r="I17" s="869">
        <v>7852</v>
      </c>
      <c r="J17" s="869">
        <v>0</v>
      </c>
      <c r="K17" s="869">
        <v>0</v>
      </c>
      <c r="L17" s="865">
        <f>ROUND(H17+I17+J17-K17,0)</f>
        <v>165213</v>
      </c>
      <c r="M17" s="865">
        <f>G17-L17</f>
        <v>22481</v>
      </c>
      <c r="N17" s="911"/>
      <c r="O17" s="911"/>
    </row>
    <row r="18" spans="1:16" s="175" customFormat="1" ht="15">
      <c r="A18" s="176"/>
      <c r="B18" s="863"/>
      <c r="C18" s="869"/>
      <c r="D18" s="869"/>
      <c r="E18" s="869"/>
      <c r="F18" s="869"/>
      <c r="G18" s="910"/>
      <c r="H18" s="869"/>
      <c r="I18" s="869"/>
      <c r="J18" s="869"/>
      <c r="K18" s="869"/>
      <c r="L18" s="865"/>
      <c r="M18" s="865"/>
      <c r="N18" s="911"/>
      <c r="O18" s="911"/>
    </row>
    <row r="19" spans="1:16" s="175" customFormat="1" ht="15">
      <c r="A19" s="176" t="s">
        <v>89</v>
      </c>
      <c r="B19" s="863">
        <v>749321</v>
      </c>
      <c r="C19" s="869"/>
      <c r="D19" s="869">
        <v>140169</v>
      </c>
      <c r="E19" s="869">
        <v>0</v>
      </c>
      <c r="F19" s="869">
        <v>0</v>
      </c>
      <c r="G19" s="910">
        <f>ROUND(B19+D19+E19-F19-C19,0)</f>
        <v>889490</v>
      </c>
      <c r="H19" s="869">
        <v>567317</v>
      </c>
      <c r="I19" s="869">
        <f>128288+11113</f>
        <v>139401</v>
      </c>
      <c r="J19" s="869">
        <f>11113*0</f>
        <v>0</v>
      </c>
      <c r="K19" s="869">
        <v>0</v>
      </c>
      <c r="L19" s="865">
        <f>ROUND(H19+I19+J19-K19,0)</f>
        <v>706718</v>
      </c>
      <c r="M19" s="865">
        <f>G19-L19</f>
        <v>182772</v>
      </c>
      <c r="N19" s="911"/>
      <c r="O19" s="911">
        <v>15906</v>
      </c>
      <c r="P19" s="175" t="s">
        <v>1026</v>
      </c>
    </row>
    <row r="20" spans="1:16" s="175" customFormat="1" ht="7.5" customHeight="1">
      <c r="A20" s="176"/>
      <c r="B20" s="863"/>
      <c r="C20" s="869"/>
      <c r="D20" s="869"/>
      <c r="E20" s="869"/>
      <c r="F20" s="869"/>
      <c r="G20" s="910"/>
      <c r="H20" s="869"/>
      <c r="I20" s="869"/>
      <c r="J20" s="869"/>
      <c r="K20" s="863"/>
      <c r="L20" s="865"/>
      <c r="M20" s="865"/>
      <c r="N20" s="911"/>
      <c r="O20" s="911"/>
    </row>
    <row r="21" spans="1:16" s="175" customFormat="1" ht="15">
      <c r="A21" s="177"/>
      <c r="B21" s="873"/>
      <c r="C21" s="913"/>
      <c r="D21" s="913"/>
      <c r="E21" s="913"/>
      <c r="F21" s="914"/>
      <c r="G21" s="915"/>
      <c r="H21" s="913"/>
      <c r="I21" s="913"/>
      <c r="J21" s="913"/>
      <c r="K21" s="873"/>
      <c r="L21" s="916"/>
      <c r="M21" s="916"/>
      <c r="N21" s="911"/>
      <c r="O21" s="911">
        <v>28000</v>
      </c>
      <c r="P21" s="175" t="s">
        <v>1026</v>
      </c>
    </row>
    <row r="22" spans="1:16" s="175" customFormat="1" ht="8.25" customHeight="1">
      <c r="A22" s="180"/>
      <c r="B22" s="917"/>
      <c r="C22" s="918"/>
      <c r="D22" s="918"/>
      <c r="E22" s="918"/>
      <c r="F22" s="919"/>
      <c r="G22" s="920"/>
      <c r="H22" s="918"/>
      <c r="I22" s="918"/>
      <c r="J22" s="918"/>
      <c r="K22" s="917"/>
      <c r="L22" s="920"/>
      <c r="M22" s="920"/>
      <c r="N22" s="911"/>
      <c r="O22" s="911"/>
    </row>
    <row r="23" spans="1:16" s="183" customFormat="1" ht="14.25" customHeight="1">
      <c r="A23" s="182" t="s">
        <v>51</v>
      </c>
      <c r="B23" s="921">
        <f t="shared" ref="B23:M23" si="0">SUM(B13:B20)</f>
        <v>3356204</v>
      </c>
      <c r="C23" s="921">
        <f t="shared" si="0"/>
        <v>0</v>
      </c>
      <c r="D23" s="921">
        <f t="shared" si="0"/>
        <v>957343</v>
      </c>
      <c r="E23" s="921">
        <f t="shared" si="0"/>
        <v>0</v>
      </c>
      <c r="F23" s="921">
        <f t="shared" si="0"/>
        <v>169407</v>
      </c>
      <c r="G23" s="921">
        <f t="shared" si="0"/>
        <v>4144140</v>
      </c>
      <c r="H23" s="921">
        <f t="shared" si="0"/>
        <v>2394493</v>
      </c>
      <c r="I23" s="921">
        <f t="shared" si="0"/>
        <v>887018</v>
      </c>
      <c r="J23" s="921">
        <f t="shared" si="0"/>
        <v>0</v>
      </c>
      <c r="K23" s="921">
        <f t="shared" si="0"/>
        <v>126639</v>
      </c>
      <c r="L23" s="921">
        <f t="shared" si="0"/>
        <v>3154872</v>
      </c>
      <c r="M23" s="921">
        <f t="shared" si="0"/>
        <v>989268</v>
      </c>
      <c r="N23" s="922"/>
      <c r="O23" s="923">
        <f>+M23+M58</f>
        <v>15634555</v>
      </c>
    </row>
    <row r="24" spans="1:16" ht="6" customHeight="1">
      <c r="A24" s="184"/>
      <c r="B24" s="924"/>
      <c r="C24" s="925"/>
      <c r="D24" s="926"/>
      <c r="E24" s="927"/>
      <c r="F24" s="926"/>
      <c r="G24" s="925"/>
      <c r="H24" s="928"/>
      <c r="I24" s="929"/>
      <c r="J24" s="930"/>
      <c r="K24" s="931"/>
      <c r="L24" s="925"/>
      <c r="M24" s="925"/>
      <c r="N24" s="923"/>
      <c r="O24" s="923"/>
    </row>
    <row r="25" spans="1:16" ht="15">
      <c r="A25" s="185"/>
      <c r="B25" s="932"/>
      <c r="C25" s="933"/>
      <c r="D25" s="934"/>
      <c r="E25" s="935"/>
      <c r="F25" s="934"/>
      <c r="G25" s="936"/>
      <c r="H25" s="937"/>
      <c r="I25" s="938"/>
      <c r="J25" s="939"/>
      <c r="K25" s="940"/>
      <c r="L25" s="936"/>
      <c r="M25" s="933"/>
      <c r="N25" s="923"/>
      <c r="O25" s="923"/>
    </row>
    <row r="26" spans="1:16" ht="15">
      <c r="A26" s="642"/>
      <c r="B26" s="1072" t="s">
        <v>70</v>
      </c>
      <c r="C26" s="1073"/>
      <c r="D26" s="1073"/>
      <c r="E26" s="1073"/>
      <c r="F26" s="1073"/>
      <c r="G26" s="1074"/>
      <c r="H26" s="1072" t="s">
        <v>71</v>
      </c>
      <c r="I26" s="1073"/>
      <c r="J26" s="1073"/>
      <c r="K26" s="1073"/>
      <c r="L26" s="1074"/>
      <c r="M26" s="942" t="s">
        <v>72</v>
      </c>
      <c r="N26" s="923"/>
      <c r="O26" s="923"/>
    </row>
    <row r="27" spans="1:16" s="168" customFormat="1" ht="15">
      <c r="A27" s="642" t="s">
        <v>73</v>
      </c>
      <c r="B27" s="943" t="s">
        <v>74</v>
      </c>
      <c r="C27" s="943" t="s">
        <v>75</v>
      </c>
      <c r="D27" s="943"/>
      <c r="E27" s="941"/>
      <c r="F27" s="941"/>
      <c r="G27" s="943" t="s">
        <v>74</v>
      </c>
      <c r="H27" s="943" t="s">
        <v>74</v>
      </c>
      <c r="I27" s="941" t="s">
        <v>76</v>
      </c>
      <c r="J27" s="941"/>
      <c r="K27" s="941"/>
      <c r="L27" s="943" t="s">
        <v>74</v>
      </c>
      <c r="M27" s="943" t="s">
        <v>74</v>
      </c>
      <c r="N27" s="944"/>
      <c r="O27" s="944"/>
    </row>
    <row r="28" spans="1:16" s="168" customFormat="1" ht="15">
      <c r="A28" s="646" t="s">
        <v>0</v>
      </c>
      <c r="B28" s="945" t="s">
        <v>1210</v>
      </c>
      <c r="C28" s="946" t="s">
        <v>77</v>
      </c>
      <c r="D28" s="947" t="s">
        <v>56</v>
      </c>
      <c r="E28" s="947" t="s">
        <v>78</v>
      </c>
      <c r="F28" s="947" t="s">
        <v>79</v>
      </c>
      <c r="G28" s="945" t="s">
        <v>1211</v>
      </c>
      <c r="H28" s="945" t="s">
        <v>1210</v>
      </c>
      <c r="I28" s="947" t="s">
        <v>80</v>
      </c>
      <c r="J28" s="947" t="s">
        <v>78</v>
      </c>
      <c r="K28" s="947" t="s">
        <v>79</v>
      </c>
      <c r="L28" s="945" t="s">
        <v>1211</v>
      </c>
      <c r="M28" s="945" t="s">
        <v>1211</v>
      </c>
      <c r="N28" s="944"/>
      <c r="O28" s="944"/>
    </row>
    <row r="29" spans="1:16" s="168" customFormat="1" ht="14.25" customHeight="1">
      <c r="A29" s="650"/>
      <c r="B29" s="924"/>
      <c r="C29" s="925"/>
      <c r="D29" s="925"/>
      <c r="E29" s="925"/>
      <c r="F29" s="925"/>
      <c r="G29" s="925"/>
      <c r="H29" s="928"/>
      <c r="I29" s="948"/>
      <c r="J29" s="948"/>
      <c r="K29" s="949"/>
      <c r="L29" s="949"/>
      <c r="M29" s="949"/>
      <c r="N29" s="944"/>
      <c r="O29" s="944"/>
    </row>
    <row r="30" spans="1:16" ht="26.25" customHeight="1">
      <c r="A30" s="186" t="s">
        <v>81</v>
      </c>
      <c r="B30" s="950"/>
      <c r="C30" s="951"/>
      <c r="D30" s="951"/>
      <c r="E30" s="951"/>
      <c r="F30" s="951"/>
      <c r="G30" s="936"/>
      <c r="H30" s="951"/>
      <c r="I30" s="952"/>
      <c r="J30" s="952"/>
      <c r="K30" s="953"/>
      <c r="L30" s="954"/>
      <c r="M30" s="954"/>
      <c r="N30" s="923"/>
      <c r="O30" s="923"/>
    </row>
    <row r="31" spans="1:16" ht="6" customHeight="1">
      <c r="A31" s="186"/>
      <c r="B31" s="950"/>
      <c r="C31" s="951"/>
      <c r="D31" s="951"/>
      <c r="E31" s="951"/>
      <c r="F31" s="951"/>
      <c r="G31" s="936"/>
      <c r="H31" s="951"/>
      <c r="I31" s="952"/>
      <c r="J31" s="952"/>
      <c r="K31" s="953"/>
      <c r="L31" s="954"/>
      <c r="M31" s="954"/>
      <c r="N31" s="923"/>
      <c r="O31" s="923"/>
    </row>
    <row r="32" spans="1:16" s="175" customFormat="1" ht="15">
      <c r="A32" s="176" t="s">
        <v>87</v>
      </c>
      <c r="B32" s="863">
        <v>803315</v>
      </c>
      <c r="C32" s="869"/>
      <c r="D32" s="869">
        <v>506281</v>
      </c>
      <c r="E32" s="869">
        <v>44521</v>
      </c>
      <c r="F32" s="869">
        <v>0</v>
      </c>
      <c r="G32" s="910">
        <f>ROUND(B32+D32+E32-F32-C32,0)</f>
        <v>1354117</v>
      </c>
      <c r="H32" s="869">
        <v>506141</v>
      </c>
      <c r="I32" s="869">
        <v>230582</v>
      </c>
      <c r="J32" s="869">
        <v>44521</v>
      </c>
      <c r="K32" s="863">
        <v>0</v>
      </c>
      <c r="L32" s="865">
        <f>ROUND(H32+I32+J32-K32,0)</f>
        <v>781244</v>
      </c>
      <c r="M32" s="865">
        <f>G32-L32</f>
        <v>572873</v>
      </c>
      <c r="N32" s="911"/>
      <c r="O32" s="911"/>
    </row>
    <row r="33" spans="1:16" s="175" customFormat="1" ht="5.25" customHeight="1">
      <c r="A33" s="176"/>
      <c r="B33" s="863"/>
      <c r="C33" s="869"/>
      <c r="D33" s="869"/>
      <c r="E33" s="869"/>
      <c r="F33" s="869"/>
      <c r="G33" s="910"/>
      <c r="H33" s="869"/>
      <c r="I33" s="869"/>
      <c r="J33" s="869"/>
      <c r="K33" s="869"/>
      <c r="L33" s="865"/>
      <c r="M33" s="865"/>
      <c r="N33" s="911"/>
      <c r="O33" s="911"/>
    </row>
    <row r="34" spans="1:16" s="175" customFormat="1" ht="15">
      <c r="A34" s="176" t="s">
        <v>88</v>
      </c>
      <c r="B34" s="863">
        <v>993947</v>
      </c>
      <c r="C34" s="863"/>
      <c r="D34" s="863">
        <v>0</v>
      </c>
      <c r="E34" s="869">
        <v>71125</v>
      </c>
      <c r="F34" s="863">
        <v>0</v>
      </c>
      <c r="G34" s="910">
        <f>ROUND(B34+D34+E34-F34-C34,0)</f>
        <v>1065072</v>
      </c>
      <c r="H34" s="869">
        <v>708852</v>
      </c>
      <c r="I34" s="869">
        <v>108594</v>
      </c>
      <c r="J34" s="869">
        <v>71125</v>
      </c>
      <c r="K34" s="869">
        <v>0</v>
      </c>
      <c r="L34" s="865">
        <f>ROUND(H34+I34+J34-K34,0)</f>
        <v>888571</v>
      </c>
      <c r="M34" s="865">
        <f>G34-L34</f>
        <v>176501</v>
      </c>
      <c r="N34" s="911"/>
      <c r="O34" s="911"/>
    </row>
    <row r="35" spans="1:16" s="175" customFormat="1" ht="6.75" customHeight="1">
      <c r="A35" s="176"/>
      <c r="B35" s="863"/>
      <c r="C35" s="869"/>
      <c r="D35" s="869"/>
      <c r="E35" s="869"/>
      <c r="F35" s="869"/>
      <c r="G35" s="910"/>
      <c r="H35" s="869"/>
      <c r="I35" s="869"/>
      <c r="J35" s="869"/>
      <c r="K35" s="869"/>
      <c r="L35" s="865"/>
      <c r="M35" s="865"/>
      <c r="N35" s="911"/>
      <c r="O35" s="911"/>
    </row>
    <row r="36" spans="1:16" s="175" customFormat="1" ht="15">
      <c r="A36" s="176" t="s">
        <v>82</v>
      </c>
      <c r="B36" s="863">
        <v>168499</v>
      </c>
      <c r="C36" s="869"/>
      <c r="D36" s="869">
        <v>0</v>
      </c>
      <c r="E36" s="869">
        <v>19195</v>
      </c>
      <c r="F36" s="869">
        <v>0</v>
      </c>
      <c r="G36" s="910">
        <f>ROUND(B36+D36+E36-F36-C36,0)</f>
        <v>187694</v>
      </c>
      <c r="H36" s="869">
        <v>127571</v>
      </c>
      <c r="I36" s="869">
        <v>10595</v>
      </c>
      <c r="J36" s="869">
        <v>19195</v>
      </c>
      <c r="K36" s="869">
        <v>0</v>
      </c>
      <c r="L36" s="865">
        <f>ROUND(H36+I36+J36-K36,0)</f>
        <v>157361</v>
      </c>
      <c r="M36" s="865">
        <f>G36-L36</f>
        <v>30333</v>
      </c>
      <c r="N36" s="911"/>
      <c r="O36" s="911"/>
    </row>
    <row r="37" spans="1:16" s="175" customFormat="1" ht="9.75" customHeight="1">
      <c r="A37" s="176"/>
      <c r="B37" s="863"/>
      <c r="C37" s="869"/>
      <c r="D37" s="869"/>
      <c r="E37" s="869"/>
      <c r="F37" s="869"/>
      <c r="G37" s="910"/>
      <c r="H37" s="869"/>
      <c r="I37" s="869"/>
      <c r="J37" s="869"/>
      <c r="K37" s="869"/>
      <c r="L37" s="865"/>
      <c r="M37" s="865"/>
      <c r="N37" s="911"/>
      <c r="O37" s="911"/>
    </row>
    <row r="38" spans="1:16" s="175" customFormat="1" ht="15">
      <c r="A38" s="176" t="s">
        <v>89</v>
      </c>
      <c r="B38" s="863">
        <v>634116</v>
      </c>
      <c r="C38" s="869"/>
      <c r="D38" s="869">
        <v>119246</v>
      </c>
      <c r="E38" s="869">
        <v>28259</v>
      </c>
      <c r="F38" s="869">
        <v>32300</v>
      </c>
      <c r="G38" s="910">
        <f>ROUND(B38+D38+E38-F38-C38,0)</f>
        <v>749321</v>
      </c>
      <c r="H38" s="869">
        <v>519061</v>
      </c>
      <c r="I38" s="869">
        <v>49732</v>
      </c>
      <c r="J38" s="869">
        <v>28259</v>
      </c>
      <c r="K38" s="869">
        <v>29735</v>
      </c>
      <c r="L38" s="865">
        <f>ROUND(H38+I38+J38-K38,0)</f>
        <v>567317</v>
      </c>
      <c r="M38" s="865">
        <f>G38-L38</f>
        <v>182004</v>
      </c>
      <c r="N38" s="911"/>
      <c r="O38" s="911">
        <v>15906</v>
      </c>
      <c r="P38" s="175" t="s">
        <v>1026</v>
      </c>
    </row>
    <row r="39" spans="1:16" s="175" customFormat="1" ht="3.75" customHeight="1">
      <c r="A39" s="176"/>
      <c r="B39" s="863"/>
      <c r="C39" s="869"/>
      <c r="D39" s="869"/>
      <c r="E39" s="869"/>
      <c r="F39" s="869"/>
      <c r="G39" s="910"/>
      <c r="H39" s="869"/>
      <c r="I39" s="869"/>
      <c r="J39" s="869"/>
      <c r="K39" s="863"/>
      <c r="L39" s="865"/>
      <c r="M39" s="865"/>
      <c r="N39" s="911"/>
      <c r="O39" s="911"/>
    </row>
    <row r="40" spans="1:16" s="175" customFormat="1" ht="11.25" customHeight="1">
      <c r="A40" s="177"/>
      <c r="B40" s="873"/>
      <c r="C40" s="913"/>
      <c r="D40" s="913"/>
      <c r="E40" s="913"/>
      <c r="F40" s="914"/>
      <c r="G40" s="915"/>
      <c r="H40" s="913"/>
      <c r="I40" s="913"/>
      <c r="J40" s="913"/>
      <c r="K40" s="873"/>
      <c r="L40" s="916"/>
      <c r="M40" s="916"/>
      <c r="N40" s="911"/>
      <c r="O40" s="911"/>
    </row>
    <row r="41" spans="1:16" s="175" customFormat="1" ht="8.25" customHeight="1">
      <c r="A41" s="180"/>
      <c r="B41" s="917"/>
      <c r="C41" s="918"/>
      <c r="D41" s="918"/>
      <c r="E41" s="918"/>
      <c r="F41" s="919"/>
      <c r="G41" s="920"/>
      <c r="H41" s="918"/>
      <c r="I41" s="918"/>
      <c r="J41" s="918"/>
      <c r="K41" s="917"/>
      <c r="L41" s="920"/>
      <c r="M41" s="920"/>
      <c r="N41" s="911"/>
      <c r="O41" s="911"/>
    </row>
    <row r="42" spans="1:16" s="183" customFormat="1" ht="12.75" customHeight="1">
      <c r="A42" s="182" t="s">
        <v>51</v>
      </c>
      <c r="B42" s="921">
        <f t="shared" ref="B42:H42" si="1">SUM(B32:B39)</f>
        <v>2599877</v>
      </c>
      <c r="C42" s="921">
        <f t="shared" si="1"/>
        <v>0</v>
      </c>
      <c r="D42" s="921">
        <f t="shared" si="1"/>
        <v>625527</v>
      </c>
      <c r="E42" s="921">
        <f t="shared" si="1"/>
        <v>163100</v>
      </c>
      <c r="F42" s="921">
        <f t="shared" si="1"/>
        <v>32300</v>
      </c>
      <c r="G42" s="921">
        <f t="shared" si="1"/>
        <v>3356204</v>
      </c>
      <c r="H42" s="921">
        <f t="shared" si="1"/>
        <v>1861625</v>
      </c>
      <c r="I42" s="921">
        <f>SUM(I32:I39)</f>
        <v>399503</v>
      </c>
      <c r="J42" s="921">
        <f>SUM(J32:J39)</f>
        <v>163100</v>
      </c>
      <c r="K42" s="921">
        <f>SUM(K32:K39)</f>
        <v>29735</v>
      </c>
      <c r="L42" s="921">
        <f>SUM(L32:L39)</f>
        <v>2394493</v>
      </c>
      <c r="M42" s="921">
        <f>SUM(M32:M39)</f>
        <v>961711</v>
      </c>
      <c r="N42" s="922"/>
      <c r="O42" s="922"/>
    </row>
    <row r="43" spans="1:16" s="175" customFormat="1" ht="4.5" customHeight="1">
      <c r="A43" s="187"/>
      <c r="B43" s="916"/>
      <c r="C43" s="915"/>
      <c r="D43" s="915"/>
      <c r="E43" s="915"/>
      <c r="F43" s="915"/>
      <c r="G43" s="915"/>
      <c r="H43" s="913"/>
      <c r="I43" s="915"/>
      <c r="J43" s="913"/>
      <c r="K43" s="873"/>
      <c r="L43" s="915"/>
      <c r="M43" s="915"/>
      <c r="N43" s="911"/>
      <c r="O43" s="911"/>
    </row>
    <row r="44" spans="1:16" s="175" customFormat="1" ht="15">
      <c r="A44" s="656"/>
      <c r="B44" s="1075" t="s">
        <v>70</v>
      </c>
      <c r="C44" s="1076"/>
      <c r="D44" s="1076"/>
      <c r="E44" s="1076"/>
      <c r="F44" s="1076"/>
      <c r="G44" s="1077"/>
      <c r="H44" s="1075" t="s">
        <v>71</v>
      </c>
      <c r="I44" s="1076"/>
      <c r="J44" s="1076"/>
      <c r="K44" s="1076"/>
      <c r="L44" s="1077"/>
      <c r="M44" s="956" t="s">
        <v>72</v>
      </c>
      <c r="N44" s="911"/>
      <c r="O44" s="911"/>
    </row>
    <row r="45" spans="1:16" s="183" customFormat="1" ht="15">
      <c r="A45" s="656" t="s">
        <v>73</v>
      </c>
      <c r="B45" s="957" t="s">
        <v>74</v>
      </c>
      <c r="C45" s="957" t="s">
        <v>75</v>
      </c>
      <c r="D45" s="955"/>
      <c r="E45" s="955"/>
      <c r="F45" s="955"/>
      <c r="G45" s="957" t="s">
        <v>74</v>
      </c>
      <c r="H45" s="957" t="s">
        <v>74</v>
      </c>
      <c r="I45" s="955" t="s">
        <v>76</v>
      </c>
      <c r="J45" s="955"/>
      <c r="K45" s="955"/>
      <c r="L45" s="957" t="s">
        <v>74</v>
      </c>
      <c r="M45" s="957" t="s">
        <v>74</v>
      </c>
      <c r="N45" s="922"/>
      <c r="O45" s="922"/>
    </row>
    <row r="46" spans="1:16" s="183" customFormat="1" ht="15">
      <c r="A46" s="657" t="s">
        <v>0</v>
      </c>
      <c r="B46" s="958" t="str">
        <f>+B9</f>
        <v>1 April 2022</v>
      </c>
      <c r="C46" s="959" t="s">
        <v>77</v>
      </c>
      <c r="D46" s="960" t="s">
        <v>56</v>
      </c>
      <c r="E46" s="960" t="s">
        <v>78</v>
      </c>
      <c r="F46" s="960" t="s">
        <v>79</v>
      </c>
      <c r="G46" s="958" t="str">
        <f>+G9</f>
        <v>31 March 2023</v>
      </c>
      <c r="H46" s="958" t="str">
        <f>+H9</f>
        <v>1 April 2022</v>
      </c>
      <c r="I46" s="960" t="s">
        <v>80</v>
      </c>
      <c r="J46" s="960" t="s">
        <v>78</v>
      </c>
      <c r="K46" s="960" t="s">
        <v>79</v>
      </c>
      <c r="L46" s="958" t="str">
        <f>+L9</f>
        <v>31 March 2023</v>
      </c>
      <c r="M46" s="958" t="str">
        <f>+M9</f>
        <v>31 March 2023</v>
      </c>
      <c r="N46" s="922"/>
      <c r="O46" s="922"/>
    </row>
    <row r="47" spans="1:16" s="183" customFormat="1" ht="14.25" customHeight="1">
      <c r="A47" s="658"/>
      <c r="B47" s="916"/>
      <c r="C47" s="915"/>
      <c r="D47" s="915"/>
      <c r="E47" s="915"/>
      <c r="F47" s="915"/>
      <c r="G47" s="915"/>
      <c r="H47" s="913"/>
      <c r="I47" s="961"/>
      <c r="J47" s="961"/>
      <c r="K47" s="962"/>
      <c r="L47" s="962"/>
      <c r="M47" s="962"/>
      <c r="N47" s="922"/>
      <c r="O47" s="922"/>
    </row>
    <row r="48" spans="1:16" s="175" customFormat="1" ht="9" customHeight="1">
      <c r="A48" s="176"/>
      <c r="B48" s="917"/>
      <c r="C48" s="917"/>
      <c r="D48" s="917"/>
      <c r="E48" s="917"/>
      <c r="F48" s="917"/>
      <c r="G48" s="963"/>
      <c r="H48" s="917"/>
      <c r="I48" s="917"/>
      <c r="J48" s="917"/>
      <c r="K48" s="917"/>
      <c r="L48" s="963"/>
      <c r="M48" s="963"/>
      <c r="N48" s="911"/>
      <c r="O48" s="911"/>
    </row>
    <row r="49" spans="1:18" s="175" customFormat="1" ht="15">
      <c r="A49" s="169" t="s">
        <v>83</v>
      </c>
      <c r="B49" s="863"/>
      <c r="C49" s="863"/>
      <c r="D49" s="863"/>
      <c r="E49" s="863"/>
      <c r="F49" s="863"/>
      <c r="G49" s="865"/>
      <c r="H49" s="863"/>
      <c r="I49" s="863"/>
      <c r="J49" s="863"/>
      <c r="K49" s="863"/>
      <c r="L49" s="865"/>
      <c r="M49" s="865"/>
      <c r="N49" s="911"/>
      <c r="O49" s="911"/>
    </row>
    <row r="50" spans="1:18" s="175" customFormat="1" ht="8.25" customHeight="1">
      <c r="A50" s="169"/>
      <c r="B50" s="863"/>
      <c r="C50" s="863"/>
      <c r="D50" s="863"/>
      <c r="E50" s="863"/>
      <c r="F50" s="863"/>
      <c r="G50" s="910"/>
      <c r="H50" s="863"/>
      <c r="I50" s="863"/>
      <c r="J50" s="863"/>
      <c r="K50" s="863"/>
      <c r="L50" s="964"/>
      <c r="M50" s="865"/>
      <c r="N50" s="911"/>
      <c r="O50" s="911"/>
    </row>
    <row r="51" spans="1:18" s="175" customFormat="1" ht="15">
      <c r="A51" s="176" t="s">
        <v>84</v>
      </c>
      <c r="B51" s="863">
        <v>284438</v>
      </c>
      <c r="C51" s="863" t="s">
        <v>1328</v>
      </c>
      <c r="D51" s="863">
        <v>136500</v>
      </c>
      <c r="E51" s="863">
        <v>0</v>
      </c>
      <c r="F51" s="863">
        <v>0</v>
      </c>
      <c r="G51" s="910">
        <f>B51+D51+E51-F51</f>
        <v>420938</v>
      </c>
      <c r="H51" s="863">
        <v>278349</v>
      </c>
      <c r="I51" s="863">
        <v>19694</v>
      </c>
      <c r="J51" s="863">
        <v>0</v>
      </c>
      <c r="K51" s="863">
        <v>0</v>
      </c>
      <c r="L51" s="964">
        <f>H51+I51+J51-K51</f>
        <v>298043</v>
      </c>
      <c r="M51" s="865">
        <f>G51-L51</f>
        <v>122895</v>
      </c>
      <c r="N51" s="911"/>
      <c r="O51" s="911"/>
    </row>
    <row r="52" spans="1:18" s="175" customFormat="1" ht="9.75" customHeight="1">
      <c r="A52" s="176"/>
      <c r="B52" s="863"/>
      <c r="C52" s="863"/>
      <c r="D52" s="863"/>
      <c r="E52" s="863"/>
      <c r="F52" s="863"/>
      <c r="G52" s="910"/>
      <c r="H52" s="863"/>
      <c r="I52" s="863"/>
      <c r="J52" s="863"/>
      <c r="K52" s="863"/>
      <c r="L52" s="964"/>
      <c r="M52" s="865"/>
      <c r="N52" s="911"/>
      <c r="O52" s="911"/>
    </row>
    <row r="53" spans="1:18" s="175" customFormat="1" ht="15">
      <c r="A53" s="176" t="s">
        <v>1162</v>
      </c>
      <c r="B53" s="863">
        <v>18525600</v>
      </c>
      <c r="C53" s="863"/>
      <c r="D53" s="863">
        <v>0</v>
      </c>
      <c r="E53" s="863">
        <v>0</v>
      </c>
      <c r="F53" s="863">
        <v>0</v>
      </c>
      <c r="G53" s="910">
        <f>B53+D53+E53-F53</f>
        <v>18525600</v>
      </c>
      <c r="H53" s="863">
        <v>1358428</v>
      </c>
      <c r="I53" s="863">
        <v>2644780</v>
      </c>
      <c r="J53" s="863">
        <v>0</v>
      </c>
      <c r="K53" s="863">
        <v>0</v>
      </c>
      <c r="L53" s="964">
        <f>H53+I53+J53-K53</f>
        <v>4003208</v>
      </c>
      <c r="M53" s="865">
        <f>G53-L53</f>
        <v>14522392</v>
      </c>
      <c r="N53" s="911"/>
      <c r="O53" s="911"/>
    </row>
    <row r="54" spans="1:18" s="175" customFormat="1" ht="15">
      <c r="A54" s="176"/>
      <c r="B54" s="863"/>
      <c r="C54" s="863"/>
      <c r="D54" s="863"/>
      <c r="E54" s="863"/>
      <c r="F54" s="863"/>
      <c r="G54" s="910"/>
      <c r="H54" s="863"/>
      <c r="I54" s="863"/>
      <c r="J54" s="863"/>
      <c r="K54" s="863"/>
      <c r="L54" s="964"/>
      <c r="M54" s="865"/>
      <c r="N54" s="911"/>
      <c r="O54" s="911"/>
    </row>
    <row r="55" spans="1:18" s="175" customFormat="1" ht="15">
      <c r="A55" s="176" t="s">
        <v>90</v>
      </c>
      <c r="B55" s="863">
        <v>927056</v>
      </c>
      <c r="C55" s="863" t="s">
        <v>1328</v>
      </c>
      <c r="D55" s="863">
        <v>0</v>
      </c>
      <c r="E55" s="863">
        <v>0</v>
      </c>
      <c r="F55" s="863">
        <v>0</v>
      </c>
      <c r="G55" s="910">
        <f>B55+D55+E55-F55</f>
        <v>927056</v>
      </c>
      <c r="H55" s="863">
        <v>927056</v>
      </c>
      <c r="I55" s="863">
        <v>0</v>
      </c>
      <c r="J55" s="863">
        <v>0</v>
      </c>
      <c r="K55" s="863">
        <v>0</v>
      </c>
      <c r="L55" s="964">
        <f>H55+I55+J55-K55</f>
        <v>927056</v>
      </c>
      <c r="M55" s="865">
        <f>G55-L55</f>
        <v>0</v>
      </c>
      <c r="N55" s="911"/>
      <c r="O55" s="911"/>
    </row>
    <row r="56" spans="1:18" s="175" customFormat="1" ht="9.75" customHeight="1">
      <c r="A56" s="177"/>
      <c r="B56" s="873"/>
      <c r="C56" s="873"/>
      <c r="D56" s="873"/>
      <c r="E56" s="873"/>
      <c r="F56" s="873"/>
      <c r="G56" s="916"/>
      <c r="H56" s="873"/>
      <c r="I56" s="873"/>
      <c r="J56" s="873"/>
      <c r="K56" s="873"/>
      <c r="L56" s="916"/>
      <c r="M56" s="916"/>
      <c r="N56" s="911"/>
      <c r="O56" s="911"/>
    </row>
    <row r="57" spans="1:18" s="175" customFormat="1" ht="7.5" customHeight="1">
      <c r="A57" s="181"/>
      <c r="B57" s="917"/>
      <c r="C57" s="917"/>
      <c r="D57" s="917"/>
      <c r="E57" s="917"/>
      <c r="F57" s="917"/>
      <c r="G57" s="963"/>
      <c r="H57" s="917"/>
      <c r="I57" s="917"/>
      <c r="J57" s="917"/>
      <c r="K57" s="917"/>
      <c r="L57" s="963"/>
      <c r="M57" s="963"/>
      <c r="N57" s="911"/>
      <c r="O57" s="911"/>
    </row>
    <row r="58" spans="1:18" s="183" customFormat="1" ht="14.25" customHeight="1">
      <c r="A58" s="182" t="s">
        <v>51</v>
      </c>
      <c r="B58" s="865">
        <f>SUM(B51:B55)</f>
        <v>19737094</v>
      </c>
      <c r="C58" s="865">
        <f t="shared" ref="C58:M58" si="2">SUM(C51:C55)</f>
        <v>0</v>
      </c>
      <c r="D58" s="865">
        <f t="shared" si="2"/>
        <v>136500</v>
      </c>
      <c r="E58" s="865">
        <f t="shared" si="2"/>
        <v>0</v>
      </c>
      <c r="F58" s="865">
        <f t="shared" si="2"/>
        <v>0</v>
      </c>
      <c r="G58" s="865">
        <f t="shared" si="2"/>
        <v>19873594</v>
      </c>
      <c r="H58" s="865">
        <f t="shared" si="2"/>
        <v>2563833</v>
      </c>
      <c r="I58" s="865">
        <f t="shared" si="2"/>
        <v>2664474</v>
      </c>
      <c r="J58" s="865">
        <f t="shared" si="2"/>
        <v>0</v>
      </c>
      <c r="K58" s="865">
        <f t="shared" si="2"/>
        <v>0</v>
      </c>
      <c r="L58" s="865">
        <f t="shared" si="2"/>
        <v>5228307</v>
      </c>
      <c r="M58" s="865">
        <f t="shared" si="2"/>
        <v>14645287</v>
      </c>
      <c r="N58" s="922"/>
      <c r="O58" s="922"/>
      <c r="R58" s="175"/>
    </row>
    <row r="59" spans="1:18" s="175" customFormat="1" ht="6.75" customHeight="1">
      <c r="A59" s="188"/>
      <c r="B59" s="873"/>
      <c r="C59" s="873"/>
      <c r="D59" s="873"/>
      <c r="E59" s="873"/>
      <c r="F59" s="873"/>
      <c r="G59" s="916"/>
      <c r="H59" s="873"/>
      <c r="I59" s="873"/>
      <c r="J59" s="873"/>
      <c r="K59" s="873"/>
      <c r="L59" s="916"/>
      <c r="M59" s="916"/>
      <c r="N59" s="911"/>
      <c r="O59" s="911"/>
    </row>
    <row r="60" spans="1:18" s="175" customFormat="1" ht="15">
      <c r="A60" s="656"/>
      <c r="B60" s="1075" t="s">
        <v>70</v>
      </c>
      <c r="C60" s="1076"/>
      <c r="D60" s="1076"/>
      <c r="E60" s="1076"/>
      <c r="F60" s="1076"/>
      <c r="G60" s="1077"/>
      <c r="H60" s="1075" t="s">
        <v>1004</v>
      </c>
      <c r="I60" s="1076"/>
      <c r="J60" s="1076"/>
      <c r="K60" s="1076"/>
      <c r="L60" s="1077"/>
      <c r="M60" s="956" t="s">
        <v>72</v>
      </c>
      <c r="N60" s="911"/>
      <c r="O60" s="911"/>
    </row>
    <row r="61" spans="1:18" s="183" customFormat="1" ht="15">
      <c r="A61" s="656" t="s">
        <v>73</v>
      </c>
      <c r="B61" s="957" t="s">
        <v>74</v>
      </c>
      <c r="C61" s="957" t="s">
        <v>75</v>
      </c>
      <c r="D61" s="955"/>
      <c r="E61" s="955"/>
      <c r="F61" s="955"/>
      <c r="G61" s="957" t="s">
        <v>74</v>
      </c>
      <c r="H61" s="957" t="s">
        <v>74</v>
      </c>
      <c r="I61" s="955" t="s">
        <v>76</v>
      </c>
      <c r="J61" s="955"/>
      <c r="K61" s="955"/>
      <c r="L61" s="957" t="s">
        <v>74</v>
      </c>
      <c r="M61" s="957" t="s">
        <v>74</v>
      </c>
      <c r="N61" s="922"/>
      <c r="O61" s="922"/>
    </row>
    <row r="62" spans="1:18" s="183" customFormat="1" ht="15">
      <c r="A62" s="657" t="s">
        <v>0</v>
      </c>
      <c r="B62" s="958" t="str">
        <f>+B28</f>
        <v>1 April 2021</v>
      </c>
      <c r="C62" s="959" t="s">
        <v>77</v>
      </c>
      <c r="D62" s="960" t="s">
        <v>56</v>
      </c>
      <c r="E62" s="960" t="s">
        <v>78</v>
      </c>
      <c r="F62" s="960" t="s">
        <v>79</v>
      </c>
      <c r="G62" s="958" t="str">
        <f>+G28</f>
        <v>31 March 2022</v>
      </c>
      <c r="H62" s="958" t="str">
        <f>+H28</f>
        <v>1 April 2021</v>
      </c>
      <c r="I62" s="960" t="s">
        <v>80</v>
      </c>
      <c r="J62" s="960" t="s">
        <v>78</v>
      </c>
      <c r="K62" s="960" t="s">
        <v>79</v>
      </c>
      <c r="L62" s="958" t="str">
        <f>+L28</f>
        <v>31 March 2022</v>
      </c>
      <c r="M62" s="958" t="str">
        <f>+M28</f>
        <v>31 March 2022</v>
      </c>
      <c r="N62" s="922"/>
      <c r="O62" s="922"/>
    </row>
    <row r="63" spans="1:18" s="183" customFormat="1" ht="14.25" customHeight="1">
      <c r="A63" s="658"/>
      <c r="B63" s="916"/>
      <c r="C63" s="915"/>
      <c r="D63" s="915"/>
      <c r="E63" s="915"/>
      <c r="F63" s="915"/>
      <c r="G63" s="915"/>
      <c r="H63" s="913"/>
      <c r="I63" s="961"/>
      <c r="J63" s="961"/>
      <c r="K63" s="962"/>
      <c r="L63" s="962"/>
      <c r="M63" s="962"/>
      <c r="N63" s="922"/>
      <c r="O63" s="922"/>
    </row>
    <row r="64" spans="1:18" s="175" customFormat="1" ht="9" customHeight="1">
      <c r="A64" s="176"/>
      <c r="B64" s="917"/>
      <c r="C64" s="917"/>
      <c r="D64" s="917"/>
      <c r="E64" s="917"/>
      <c r="F64" s="917"/>
      <c r="G64" s="963"/>
      <c r="H64" s="917"/>
      <c r="I64" s="917"/>
      <c r="J64" s="917"/>
      <c r="K64" s="917"/>
      <c r="L64" s="963"/>
      <c r="M64" s="963"/>
      <c r="N64" s="911"/>
      <c r="O64" s="911"/>
    </row>
    <row r="65" spans="1:15" s="175" customFormat="1" ht="15">
      <c r="A65" s="169" t="s">
        <v>83</v>
      </c>
      <c r="B65" s="863"/>
      <c r="C65" s="863"/>
      <c r="D65" s="863"/>
      <c r="E65" s="863"/>
      <c r="F65" s="863"/>
      <c r="G65" s="865"/>
      <c r="H65" s="863"/>
      <c r="I65" s="863"/>
      <c r="J65" s="863"/>
      <c r="K65" s="863"/>
      <c r="L65" s="865"/>
      <c r="M65" s="865"/>
      <c r="N65" s="911"/>
      <c r="O65" s="911"/>
    </row>
    <row r="66" spans="1:15" s="175" customFormat="1" ht="6" customHeight="1">
      <c r="A66" s="169"/>
      <c r="B66" s="863"/>
      <c r="C66" s="863"/>
      <c r="D66" s="863"/>
      <c r="E66" s="863"/>
      <c r="F66" s="863"/>
      <c r="G66" s="910"/>
      <c r="H66" s="863"/>
      <c r="I66" s="863"/>
      <c r="J66" s="863"/>
      <c r="K66" s="863"/>
      <c r="L66" s="964"/>
      <c r="M66" s="865"/>
      <c r="N66" s="911"/>
      <c r="O66" s="911"/>
    </row>
    <row r="67" spans="1:15" s="175" customFormat="1" ht="15">
      <c r="A67" s="176" t="s">
        <v>84</v>
      </c>
      <c r="B67" s="863">
        <v>284438</v>
      </c>
      <c r="C67" s="863">
        <v>0</v>
      </c>
      <c r="D67" s="863">
        <v>0</v>
      </c>
      <c r="E67" s="863">
        <v>0</v>
      </c>
      <c r="F67" s="863">
        <v>0</v>
      </c>
      <c r="G67" s="910">
        <f>B67+D67+E67-F67</f>
        <v>284438</v>
      </c>
      <c r="H67" s="863">
        <v>222560</v>
      </c>
      <c r="I67" s="863">
        <v>55789</v>
      </c>
      <c r="J67" s="863">
        <v>0</v>
      </c>
      <c r="K67" s="863">
        <v>0</v>
      </c>
      <c r="L67" s="964">
        <f>H67+I67+J67-K67</f>
        <v>278349</v>
      </c>
      <c r="M67" s="865">
        <f>G67-L67</f>
        <v>6089</v>
      </c>
      <c r="N67" s="911"/>
      <c r="O67" s="911"/>
    </row>
    <row r="68" spans="1:15" s="175" customFormat="1" ht="15">
      <c r="A68" s="176"/>
      <c r="B68" s="863"/>
      <c r="C68" s="863"/>
      <c r="D68" s="863"/>
      <c r="E68" s="863"/>
      <c r="F68" s="863"/>
      <c r="G68" s="910"/>
      <c r="H68" s="863"/>
      <c r="I68" s="863"/>
      <c r="J68" s="863"/>
      <c r="K68" s="863"/>
      <c r="L68" s="964"/>
      <c r="M68" s="865"/>
      <c r="N68" s="911"/>
      <c r="O68" s="911"/>
    </row>
    <row r="69" spans="1:15" s="175" customFormat="1" ht="15">
      <c r="A69" s="176" t="s">
        <v>1162</v>
      </c>
      <c r="B69" s="863">
        <v>6000000</v>
      </c>
      <c r="C69" s="863"/>
      <c r="D69" s="863">
        <v>12525600</v>
      </c>
      <c r="E69" s="863">
        <v>0</v>
      </c>
      <c r="F69" s="863"/>
      <c r="G69" s="910">
        <f>B69+D69+E69-F69</f>
        <v>18525600</v>
      </c>
      <c r="H69" s="863">
        <v>500000</v>
      </c>
      <c r="I69" s="863">
        <v>858428</v>
      </c>
      <c r="J69" s="863"/>
      <c r="K69" s="863"/>
      <c r="L69" s="964">
        <f>H69+I69+J69-K69</f>
        <v>1358428</v>
      </c>
      <c r="M69" s="865">
        <f>G69-L69</f>
        <v>17167172</v>
      </c>
      <c r="N69" s="911"/>
      <c r="O69" s="911"/>
    </row>
    <row r="70" spans="1:15" s="175" customFormat="1" ht="8.25" customHeight="1">
      <c r="A70" s="176"/>
      <c r="B70" s="863"/>
      <c r="C70" s="863"/>
      <c r="D70" s="863"/>
      <c r="E70" s="863"/>
      <c r="F70" s="863"/>
      <c r="G70" s="910"/>
      <c r="H70" s="863"/>
      <c r="I70" s="863"/>
      <c r="J70" s="863"/>
      <c r="K70" s="863"/>
      <c r="L70" s="964"/>
      <c r="M70" s="865"/>
      <c r="N70" s="911"/>
      <c r="O70" s="911"/>
    </row>
    <row r="71" spans="1:15" s="175" customFormat="1" ht="15">
      <c r="A71" s="176" t="s">
        <v>90</v>
      </c>
      <c r="B71" s="863">
        <v>927056</v>
      </c>
      <c r="C71" s="863"/>
      <c r="D71" s="863">
        <v>0</v>
      </c>
      <c r="E71" s="863">
        <v>0</v>
      </c>
      <c r="F71" s="863">
        <v>0</v>
      </c>
      <c r="G71" s="910">
        <f>B71+D71+E71-F71</f>
        <v>927056</v>
      </c>
      <c r="H71" s="863">
        <v>927056</v>
      </c>
      <c r="I71" s="863">
        <v>0</v>
      </c>
      <c r="J71" s="863">
        <v>0</v>
      </c>
      <c r="K71" s="863">
        <v>0</v>
      </c>
      <c r="L71" s="964">
        <f>H71+I71+J71-K71</f>
        <v>927056</v>
      </c>
      <c r="M71" s="865">
        <f>G71-L71</f>
        <v>0</v>
      </c>
      <c r="N71" s="911"/>
      <c r="O71" s="911"/>
    </row>
    <row r="72" spans="1:15" s="175" customFormat="1" ht="15">
      <c r="A72" s="177"/>
      <c r="B72" s="873"/>
      <c r="C72" s="873"/>
      <c r="D72" s="873"/>
      <c r="E72" s="873"/>
      <c r="F72" s="873"/>
      <c r="G72" s="916"/>
      <c r="H72" s="873"/>
      <c r="I72" s="873"/>
      <c r="J72" s="873"/>
      <c r="K72" s="873"/>
      <c r="L72" s="916"/>
      <c r="M72" s="916"/>
      <c r="N72" s="911"/>
      <c r="O72" s="911"/>
    </row>
    <row r="73" spans="1:15" s="175" customFormat="1" ht="11.25" customHeight="1">
      <c r="A73" s="181"/>
      <c r="B73" s="917"/>
      <c r="C73" s="917"/>
      <c r="D73" s="917"/>
      <c r="E73" s="917"/>
      <c r="F73" s="917"/>
      <c r="G73" s="963"/>
      <c r="H73" s="917"/>
      <c r="I73" s="917"/>
      <c r="J73" s="917"/>
      <c r="K73" s="917"/>
      <c r="L73" s="963"/>
      <c r="M73" s="963"/>
      <c r="N73" s="911"/>
      <c r="O73" s="911"/>
    </row>
    <row r="74" spans="1:15" s="183" customFormat="1" ht="12.75" customHeight="1">
      <c r="A74" s="182" t="s">
        <v>51</v>
      </c>
      <c r="B74" s="865">
        <f t="shared" ref="B74:M74" si="3">SUM(B67:B71)</f>
        <v>7211494</v>
      </c>
      <c r="C74" s="865">
        <f t="shared" si="3"/>
        <v>0</v>
      </c>
      <c r="D74" s="865">
        <f t="shared" si="3"/>
        <v>12525600</v>
      </c>
      <c r="E74" s="865">
        <f t="shared" si="3"/>
        <v>0</v>
      </c>
      <c r="F74" s="865">
        <f t="shared" si="3"/>
        <v>0</v>
      </c>
      <c r="G74" s="865">
        <f t="shared" si="3"/>
        <v>19737094</v>
      </c>
      <c r="H74" s="865">
        <f t="shared" si="3"/>
        <v>1649616</v>
      </c>
      <c r="I74" s="865">
        <f t="shared" si="3"/>
        <v>914217</v>
      </c>
      <c r="J74" s="865">
        <f t="shared" si="3"/>
        <v>0</v>
      </c>
      <c r="K74" s="865">
        <f t="shared" si="3"/>
        <v>0</v>
      </c>
      <c r="L74" s="865">
        <f t="shared" si="3"/>
        <v>2563833</v>
      </c>
      <c r="M74" s="865">
        <f t="shared" si="3"/>
        <v>17173261</v>
      </c>
      <c r="N74" s="922"/>
      <c r="O74" s="922"/>
    </row>
    <row r="75" spans="1:15" s="175" customFormat="1" ht="5.25" customHeight="1">
      <c r="A75" s="188"/>
      <c r="B75" s="873"/>
      <c r="C75" s="873"/>
      <c r="D75" s="873"/>
      <c r="E75" s="873"/>
      <c r="F75" s="873"/>
      <c r="G75" s="916"/>
      <c r="H75" s="873"/>
      <c r="I75" s="873"/>
      <c r="J75" s="873"/>
      <c r="K75" s="873"/>
      <c r="L75" s="916"/>
      <c r="M75" s="916"/>
      <c r="N75" s="911"/>
      <c r="O75" s="911"/>
    </row>
    <row r="76" spans="1:15" s="175" customFormat="1" ht="15">
      <c r="A76" s="49"/>
      <c r="B76" s="965"/>
      <c r="C76" s="965"/>
      <c r="D76" s="965"/>
      <c r="E76" s="965"/>
      <c r="F76" s="965"/>
      <c r="G76" s="964"/>
      <c r="H76" s="965"/>
      <c r="I76" s="965"/>
      <c r="J76" s="965"/>
      <c r="K76" s="965"/>
      <c r="L76" s="965"/>
      <c r="M76" s="965"/>
      <c r="N76" s="911"/>
      <c r="O76" s="911"/>
    </row>
    <row r="77" spans="1:15" s="175" customFormat="1" ht="13.5" customHeight="1">
      <c r="A77" s="50"/>
      <c r="B77" s="880"/>
      <c r="C77" s="880"/>
      <c r="D77" s="880"/>
      <c r="E77" s="880"/>
      <c r="F77" s="880"/>
      <c r="G77" s="966"/>
      <c r="H77" s="880"/>
      <c r="I77" s="880"/>
      <c r="J77" s="880"/>
      <c r="K77" s="880"/>
      <c r="L77" s="966"/>
      <c r="M77" s="966"/>
      <c r="N77" s="911"/>
      <c r="O77" s="911"/>
    </row>
    <row r="78" spans="1:15" s="175" customFormat="1" ht="15">
      <c r="A78" s="50"/>
      <c r="B78" s="880"/>
      <c r="C78" s="880"/>
      <c r="D78" s="880"/>
      <c r="E78" s="880"/>
      <c r="F78" s="880"/>
      <c r="G78" s="966"/>
      <c r="H78" s="880"/>
      <c r="I78" s="880"/>
      <c r="J78" s="880"/>
      <c r="K78" s="880"/>
      <c r="L78" s="966"/>
      <c r="M78" s="966"/>
      <c r="N78" s="911"/>
      <c r="O78" s="911"/>
    </row>
    <row r="79" spans="1:15" s="175" customFormat="1" ht="15">
      <c r="A79" s="50"/>
      <c r="B79" s="880"/>
      <c r="C79" s="880"/>
      <c r="D79" s="880"/>
      <c r="E79" s="880"/>
      <c r="F79" s="880"/>
      <c r="G79" s="966"/>
      <c r="H79" s="880"/>
      <c r="I79" s="880"/>
      <c r="J79" s="880"/>
      <c r="K79" s="880"/>
      <c r="L79" s="966"/>
      <c r="M79" s="966"/>
      <c r="N79" s="911"/>
      <c r="O79" s="911"/>
    </row>
    <row r="80" spans="1:15" s="175" customFormat="1" ht="15">
      <c r="A80" s="50">
        <v>0</v>
      </c>
      <c r="B80" s="880"/>
      <c r="C80" s="880"/>
      <c r="D80" s="880"/>
      <c r="E80" s="880"/>
      <c r="F80" s="880"/>
      <c r="G80" s="966"/>
      <c r="H80" s="880"/>
      <c r="I80" s="880"/>
      <c r="J80" s="880"/>
      <c r="K80" s="880"/>
      <c r="L80" s="966"/>
      <c r="M80" s="966"/>
      <c r="N80" s="911"/>
      <c r="O80" s="911"/>
    </row>
    <row r="81" spans="1:15" s="175" customFormat="1" ht="15">
      <c r="A81" s="50" t="s">
        <v>85</v>
      </c>
      <c r="B81" s="880"/>
      <c r="C81" s="880"/>
      <c r="D81" s="880"/>
      <c r="E81" s="880"/>
      <c r="F81" s="880"/>
      <c r="G81" s="966"/>
      <c r="H81" s="880"/>
      <c r="I81" s="880"/>
      <c r="J81" s="880"/>
      <c r="K81" s="880"/>
      <c r="L81" s="966"/>
      <c r="M81" s="966"/>
      <c r="N81" s="911"/>
      <c r="O81" s="911"/>
    </row>
    <row r="82" spans="1:15" s="175" customFormat="1">
      <c r="B82" s="911"/>
      <c r="C82" s="911"/>
      <c r="D82" s="911"/>
      <c r="E82" s="911"/>
      <c r="F82" s="911"/>
      <c r="G82" s="922"/>
      <c r="H82" s="911"/>
      <c r="I82" s="911"/>
      <c r="J82" s="911"/>
      <c r="K82" s="911"/>
      <c r="L82" s="922"/>
      <c r="M82" s="922"/>
      <c r="N82" s="911"/>
      <c r="O82" s="911"/>
    </row>
    <row r="83" spans="1:15" s="175" customFormat="1">
      <c r="B83" s="911"/>
      <c r="C83" s="911"/>
      <c r="D83" s="911"/>
      <c r="E83" s="911"/>
      <c r="F83" s="911"/>
      <c r="G83" s="922"/>
      <c r="H83" s="911"/>
      <c r="I83" s="911"/>
      <c r="J83" s="911"/>
      <c r="K83" s="911"/>
      <c r="L83" s="922"/>
      <c r="M83" s="922"/>
      <c r="N83" s="911"/>
      <c r="O83" s="911"/>
    </row>
    <row r="84" spans="1:15" s="175" customFormat="1">
      <c r="B84" s="911"/>
      <c r="C84" s="911"/>
      <c r="D84" s="911"/>
      <c r="E84" s="911"/>
      <c r="F84" s="911"/>
      <c r="G84" s="922"/>
      <c r="H84" s="911"/>
      <c r="I84" s="911"/>
      <c r="J84" s="911"/>
      <c r="K84" s="911"/>
      <c r="L84" s="922"/>
      <c r="M84" s="922"/>
      <c r="N84" s="911"/>
      <c r="O84" s="911"/>
    </row>
    <row r="85" spans="1:15" s="175" customFormat="1">
      <c r="B85" s="911"/>
      <c r="C85" s="911"/>
      <c r="D85" s="911"/>
      <c r="E85" s="911"/>
      <c r="F85" s="911"/>
      <c r="G85" s="922"/>
      <c r="H85" s="911"/>
      <c r="I85" s="911"/>
      <c r="J85" s="911"/>
      <c r="K85" s="911"/>
      <c r="L85" s="922"/>
      <c r="M85" s="922"/>
      <c r="N85" s="911"/>
      <c r="O85" s="911"/>
    </row>
    <row r="86" spans="1:15" s="175" customFormat="1">
      <c r="B86" s="911"/>
      <c r="C86" s="911"/>
      <c r="D86" s="911"/>
      <c r="E86" s="911"/>
      <c r="F86" s="911"/>
      <c r="G86" s="922"/>
      <c r="H86" s="911"/>
      <c r="I86" s="911"/>
      <c r="J86" s="911"/>
      <c r="K86" s="911"/>
      <c r="L86" s="922"/>
      <c r="M86" s="922"/>
      <c r="N86" s="911"/>
      <c r="O86" s="911"/>
    </row>
    <row r="87" spans="1:15" s="175" customFormat="1">
      <c r="B87" s="911"/>
      <c r="C87" s="911"/>
      <c r="D87" s="911"/>
      <c r="E87" s="911"/>
      <c r="F87" s="911"/>
      <c r="G87" s="922"/>
      <c r="H87" s="911"/>
      <c r="I87" s="911"/>
      <c r="J87" s="911"/>
      <c r="K87" s="911"/>
      <c r="L87" s="922"/>
      <c r="M87" s="922"/>
      <c r="N87" s="911"/>
      <c r="O87" s="911"/>
    </row>
    <row r="88" spans="1:15" s="175" customFormat="1">
      <c r="B88" s="911"/>
      <c r="C88" s="911"/>
      <c r="D88" s="911"/>
      <c r="E88" s="911"/>
      <c r="F88" s="911"/>
      <c r="G88" s="922"/>
      <c r="H88" s="911"/>
      <c r="I88" s="911"/>
      <c r="J88" s="911"/>
      <c r="K88" s="911"/>
      <c r="L88" s="922"/>
      <c r="M88" s="922"/>
      <c r="N88" s="911"/>
      <c r="O88" s="911"/>
    </row>
    <row r="89" spans="1:15" s="175" customFormat="1">
      <c r="B89" s="911"/>
      <c r="C89" s="911"/>
      <c r="D89" s="911"/>
      <c r="E89" s="911"/>
      <c r="F89" s="911"/>
      <c r="G89" s="922"/>
      <c r="H89" s="911"/>
      <c r="I89" s="911"/>
      <c r="J89" s="911"/>
      <c r="K89" s="911"/>
      <c r="L89" s="922"/>
      <c r="M89" s="922"/>
      <c r="N89" s="911"/>
      <c r="O89" s="911"/>
    </row>
    <row r="90" spans="1:15">
      <c r="B90" s="923"/>
      <c r="C90" s="923"/>
      <c r="D90" s="923"/>
      <c r="E90" s="923"/>
      <c r="F90" s="923"/>
      <c r="G90" s="944"/>
      <c r="H90" s="923"/>
      <c r="I90" s="923"/>
      <c r="J90" s="923"/>
      <c r="K90" s="923"/>
      <c r="L90" s="944"/>
      <c r="M90" s="944"/>
      <c r="N90" s="923"/>
      <c r="O90" s="923"/>
    </row>
    <row r="91" spans="1:15">
      <c r="B91" s="923"/>
      <c r="C91" s="923"/>
      <c r="D91" s="923"/>
      <c r="E91" s="923"/>
      <c r="F91" s="923"/>
      <c r="G91" s="944"/>
      <c r="H91" s="923"/>
      <c r="I91" s="923"/>
      <c r="J91" s="923"/>
      <c r="K91" s="923"/>
      <c r="L91" s="944"/>
      <c r="M91" s="944"/>
      <c r="N91" s="923"/>
      <c r="O91" s="923"/>
    </row>
  </sheetData>
  <mergeCells count="8">
    <mergeCell ref="B26:G26"/>
    <mergeCell ref="H26:L26"/>
    <mergeCell ref="B60:G60"/>
    <mergeCell ref="H60:L60"/>
    <mergeCell ref="B7:G7"/>
    <mergeCell ref="H7:L7"/>
    <mergeCell ref="B44:G44"/>
    <mergeCell ref="H44:L44"/>
  </mergeCells>
  <pageMargins left="0.31496062992125984" right="0.27559055118110237" top="0.15748031496062992" bottom="0.19685039370078741" header="0.23622047244094491" footer="0.15748031496062992"/>
  <pageSetup paperSize="9" scale="65"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0">
    <tabColor rgb="FF92D050"/>
  </sheetPr>
  <dimension ref="A1:L103"/>
  <sheetViews>
    <sheetView showGridLines="0" view="pageBreakPreview" zoomScale="112" zoomScaleSheetLayoutView="112" workbookViewId="0">
      <selection activeCell="E104" sqref="E104"/>
    </sheetView>
  </sheetViews>
  <sheetFormatPr baseColWidth="10" defaultColWidth="8.83203125" defaultRowHeight="15"/>
  <cols>
    <col min="1" max="1" width="3.33203125" style="112" customWidth="1"/>
    <col min="2" max="2" width="25.33203125" style="112" customWidth="1"/>
    <col min="3" max="4" width="11.1640625" style="111" bestFit="1" customWidth="1"/>
    <col min="5" max="5" width="18.33203125" style="111" bestFit="1" customWidth="1"/>
    <col min="6" max="6" width="18.5" style="111" customWidth="1"/>
    <col min="7" max="7" width="15.1640625" style="111" hidden="1" customWidth="1"/>
    <col min="8" max="8" width="9.1640625" style="112" customWidth="1"/>
    <col min="9" max="9" width="33.83203125" style="112" customWidth="1"/>
    <col min="10" max="15" width="9.1640625" style="112" customWidth="1"/>
    <col min="16" max="235" width="9.1640625" style="112"/>
    <col min="236" max="236" width="40" style="112" customWidth="1"/>
    <col min="237" max="245" width="10.6640625" style="112" customWidth="1"/>
    <col min="246" max="246" width="14.5" style="112" customWidth="1"/>
    <col min="247" max="248" width="1.33203125" style="112" customWidth="1"/>
    <col min="249" max="249" width="11.33203125" style="112" customWidth="1"/>
    <col min="250" max="250" width="16.83203125" style="112" customWidth="1"/>
    <col min="251" max="251" width="17.5" style="112" customWidth="1"/>
    <col min="252" max="252" width="21.1640625" style="112" customWidth="1"/>
    <col min="253" max="253" width="17.33203125" style="112" customWidth="1"/>
    <col min="254" max="255" width="14.33203125" style="112" customWidth="1"/>
    <col min="256" max="256" width="13.33203125" style="112" customWidth="1"/>
    <col min="257" max="257" width="13.83203125" style="112" customWidth="1"/>
    <col min="258" max="258" width="11.83203125" style="112" customWidth="1"/>
    <col min="259" max="259" width="11.6640625" style="112" customWidth="1"/>
    <col min="260" max="260" width="17" style="112" customWidth="1"/>
    <col min="261" max="261" width="9.1640625" style="112" customWidth="1"/>
    <col min="262" max="262" width="14" style="112" customWidth="1"/>
    <col min="263" max="263" width="11.33203125" style="112" customWidth="1"/>
    <col min="264" max="264" width="9.1640625" style="112" customWidth="1"/>
    <col min="265" max="265" width="12.6640625" style="112" customWidth="1"/>
    <col min="266" max="271" width="9.1640625" style="112" customWidth="1"/>
    <col min="272" max="491" width="9.1640625" style="112"/>
    <col min="492" max="492" width="40" style="112" customWidth="1"/>
    <col min="493" max="501" width="10.6640625" style="112" customWidth="1"/>
    <col min="502" max="502" width="14.5" style="112" customWidth="1"/>
    <col min="503" max="504" width="1.33203125" style="112" customWidth="1"/>
    <col min="505" max="505" width="11.33203125" style="112" customWidth="1"/>
    <col min="506" max="506" width="16.83203125" style="112" customWidth="1"/>
    <col min="507" max="507" width="17.5" style="112" customWidth="1"/>
    <col min="508" max="508" width="21.1640625" style="112" customWidth="1"/>
    <col min="509" max="509" width="17.33203125" style="112" customWidth="1"/>
    <col min="510" max="511" width="14.33203125" style="112" customWidth="1"/>
    <col min="512" max="512" width="13.33203125" style="112" customWidth="1"/>
    <col min="513" max="513" width="13.83203125" style="112" customWidth="1"/>
    <col min="514" max="514" width="11.83203125" style="112" customWidth="1"/>
    <col min="515" max="515" width="11.6640625" style="112" customWidth="1"/>
    <col min="516" max="516" width="17" style="112" customWidth="1"/>
    <col min="517" max="517" width="9.1640625" style="112" customWidth="1"/>
    <col min="518" max="518" width="14" style="112" customWidth="1"/>
    <col min="519" max="519" width="11.33203125" style="112" customWidth="1"/>
    <col min="520" max="520" width="9.1640625" style="112" customWidth="1"/>
    <col min="521" max="521" width="12.6640625" style="112" customWidth="1"/>
    <col min="522" max="527" width="9.1640625" style="112" customWidth="1"/>
    <col min="528" max="747" width="9.1640625" style="112"/>
    <col min="748" max="748" width="40" style="112" customWidth="1"/>
    <col min="749" max="757" width="10.6640625" style="112" customWidth="1"/>
    <col min="758" max="758" width="14.5" style="112" customWidth="1"/>
    <col min="759" max="760" width="1.33203125" style="112" customWidth="1"/>
    <col min="761" max="761" width="11.33203125" style="112" customWidth="1"/>
    <col min="762" max="762" width="16.83203125" style="112" customWidth="1"/>
    <col min="763" max="763" width="17.5" style="112" customWidth="1"/>
    <col min="764" max="764" width="21.1640625" style="112" customWidth="1"/>
    <col min="765" max="765" width="17.33203125" style="112" customWidth="1"/>
    <col min="766" max="767" width="14.33203125" style="112" customWidth="1"/>
    <col min="768" max="768" width="13.33203125" style="112" customWidth="1"/>
    <col min="769" max="769" width="13.83203125" style="112" customWidth="1"/>
    <col min="770" max="770" width="11.83203125" style="112" customWidth="1"/>
    <col min="771" max="771" width="11.6640625" style="112" customWidth="1"/>
    <col min="772" max="772" width="17" style="112" customWidth="1"/>
    <col min="773" max="773" width="9.1640625" style="112" customWidth="1"/>
    <col min="774" max="774" width="14" style="112" customWidth="1"/>
    <col min="775" max="775" width="11.33203125" style="112" customWidth="1"/>
    <col min="776" max="776" width="9.1640625" style="112" customWidth="1"/>
    <col min="777" max="777" width="12.6640625" style="112" customWidth="1"/>
    <col min="778" max="783" width="9.1640625" style="112" customWidth="1"/>
    <col min="784" max="1003" width="9.1640625" style="112"/>
    <col min="1004" max="1004" width="40" style="112" customWidth="1"/>
    <col min="1005" max="1013" width="10.6640625" style="112" customWidth="1"/>
    <col min="1014" max="1014" width="14.5" style="112" customWidth="1"/>
    <col min="1015" max="1016" width="1.33203125" style="112" customWidth="1"/>
    <col min="1017" max="1017" width="11.33203125" style="112" customWidth="1"/>
    <col min="1018" max="1018" width="16.83203125" style="112" customWidth="1"/>
    <col min="1019" max="1019" width="17.5" style="112" customWidth="1"/>
    <col min="1020" max="1020" width="21.1640625" style="112" customWidth="1"/>
    <col min="1021" max="1021" width="17.33203125" style="112" customWidth="1"/>
    <col min="1022" max="1023" width="14.33203125" style="112" customWidth="1"/>
    <col min="1024" max="1024" width="13.33203125" style="112" customWidth="1"/>
    <col min="1025" max="1025" width="13.83203125" style="112" customWidth="1"/>
    <col min="1026" max="1026" width="11.83203125" style="112" customWidth="1"/>
    <col min="1027" max="1027" width="11.6640625" style="112" customWidth="1"/>
    <col min="1028" max="1028" width="17" style="112" customWidth="1"/>
    <col min="1029" max="1029" width="9.1640625" style="112" customWidth="1"/>
    <col min="1030" max="1030" width="14" style="112" customWidth="1"/>
    <col min="1031" max="1031" width="11.33203125" style="112" customWidth="1"/>
    <col min="1032" max="1032" width="9.1640625" style="112" customWidth="1"/>
    <col min="1033" max="1033" width="12.6640625" style="112" customWidth="1"/>
    <col min="1034" max="1039" width="9.1640625" style="112" customWidth="1"/>
    <col min="1040" max="1259" width="9.1640625" style="112"/>
    <col min="1260" max="1260" width="40" style="112" customWidth="1"/>
    <col min="1261" max="1269" width="10.6640625" style="112" customWidth="1"/>
    <col min="1270" max="1270" width="14.5" style="112" customWidth="1"/>
    <col min="1271" max="1272" width="1.33203125" style="112" customWidth="1"/>
    <col min="1273" max="1273" width="11.33203125" style="112" customWidth="1"/>
    <col min="1274" max="1274" width="16.83203125" style="112" customWidth="1"/>
    <col min="1275" max="1275" width="17.5" style="112" customWidth="1"/>
    <col min="1276" max="1276" width="21.1640625" style="112" customWidth="1"/>
    <col min="1277" max="1277" width="17.33203125" style="112" customWidth="1"/>
    <col min="1278" max="1279" width="14.33203125" style="112" customWidth="1"/>
    <col min="1280" max="1280" width="13.33203125" style="112" customWidth="1"/>
    <col min="1281" max="1281" width="13.83203125" style="112" customWidth="1"/>
    <col min="1282" max="1282" width="11.83203125" style="112" customWidth="1"/>
    <col min="1283" max="1283" width="11.6640625" style="112" customWidth="1"/>
    <col min="1284" max="1284" width="17" style="112" customWidth="1"/>
    <col min="1285" max="1285" width="9.1640625" style="112" customWidth="1"/>
    <col min="1286" max="1286" width="14" style="112" customWidth="1"/>
    <col min="1287" max="1287" width="11.33203125" style="112" customWidth="1"/>
    <col min="1288" max="1288" width="9.1640625" style="112" customWidth="1"/>
    <col min="1289" max="1289" width="12.6640625" style="112" customWidth="1"/>
    <col min="1290" max="1295" width="9.1640625" style="112" customWidth="1"/>
    <col min="1296" max="1515" width="9.1640625" style="112"/>
    <col min="1516" max="1516" width="40" style="112" customWidth="1"/>
    <col min="1517" max="1525" width="10.6640625" style="112" customWidth="1"/>
    <col min="1526" max="1526" width="14.5" style="112" customWidth="1"/>
    <col min="1527" max="1528" width="1.33203125" style="112" customWidth="1"/>
    <col min="1529" max="1529" width="11.33203125" style="112" customWidth="1"/>
    <col min="1530" max="1530" width="16.83203125" style="112" customWidth="1"/>
    <col min="1531" max="1531" width="17.5" style="112" customWidth="1"/>
    <col min="1532" max="1532" width="21.1640625" style="112" customWidth="1"/>
    <col min="1533" max="1533" width="17.33203125" style="112" customWidth="1"/>
    <col min="1534" max="1535" width="14.33203125" style="112" customWidth="1"/>
    <col min="1536" max="1536" width="13.33203125" style="112" customWidth="1"/>
    <col min="1537" max="1537" width="13.83203125" style="112" customWidth="1"/>
    <col min="1538" max="1538" width="11.83203125" style="112" customWidth="1"/>
    <col min="1539" max="1539" width="11.6640625" style="112" customWidth="1"/>
    <col min="1540" max="1540" width="17" style="112" customWidth="1"/>
    <col min="1541" max="1541" width="9.1640625" style="112" customWidth="1"/>
    <col min="1542" max="1542" width="14" style="112" customWidth="1"/>
    <col min="1543" max="1543" width="11.33203125" style="112" customWidth="1"/>
    <col min="1544" max="1544" width="9.1640625" style="112" customWidth="1"/>
    <col min="1545" max="1545" width="12.6640625" style="112" customWidth="1"/>
    <col min="1546" max="1551" width="9.1640625" style="112" customWidth="1"/>
    <col min="1552" max="1771" width="9.1640625" style="112"/>
    <col min="1772" max="1772" width="40" style="112" customWidth="1"/>
    <col min="1773" max="1781" width="10.6640625" style="112" customWidth="1"/>
    <col min="1782" max="1782" width="14.5" style="112" customWidth="1"/>
    <col min="1783" max="1784" width="1.33203125" style="112" customWidth="1"/>
    <col min="1785" max="1785" width="11.33203125" style="112" customWidth="1"/>
    <col min="1786" max="1786" width="16.83203125" style="112" customWidth="1"/>
    <col min="1787" max="1787" width="17.5" style="112" customWidth="1"/>
    <col min="1788" max="1788" width="21.1640625" style="112" customWidth="1"/>
    <col min="1789" max="1789" width="17.33203125" style="112" customWidth="1"/>
    <col min="1790" max="1791" width="14.33203125" style="112" customWidth="1"/>
    <col min="1792" max="1792" width="13.33203125" style="112" customWidth="1"/>
    <col min="1793" max="1793" width="13.83203125" style="112" customWidth="1"/>
    <col min="1794" max="1794" width="11.83203125" style="112" customWidth="1"/>
    <col min="1795" max="1795" width="11.6640625" style="112" customWidth="1"/>
    <col min="1796" max="1796" width="17" style="112" customWidth="1"/>
    <col min="1797" max="1797" width="9.1640625" style="112" customWidth="1"/>
    <col min="1798" max="1798" width="14" style="112" customWidth="1"/>
    <col min="1799" max="1799" width="11.33203125" style="112" customWidth="1"/>
    <col min="1800" max="1800" width="9.1640625" style="112" customWidth="1"/>
    <col min="1801" max="1801" width="12.6640625" style="112" customWidth="1"/>
    <col min="1802" max="1807" width="9.1640625" style="112" customWidth="1"/>
    <col min="1808" max="2027" width="9.1640625" style="112"/>
    <col min="2028" max="2028" width="40" style="112" customWidth="1"/>
    <col min="2029" max="2037" width="10.6640625" style="112" customWidth="1"/>
    <col min="2038" max="2038" width="14.5" style="112" customWidth="1"/>
    <col min="2039" max="2040" width="1.33203125" style="112" customWidth="1"/>
    <col min="2041" max="2041" width="11.33203125" style="112" customWidth="1"/>
    <col min="2042" max="2042" width="16.83203125" style="112" customWidth="1"/>
    <col min="2043" max="2043" width="17.5" style="112" customWidth="1"/>
    <col min="2044" max="2044" width="21.1640625" style="112" customWidth="1"/>
    <col min="2045" max="2045" width="17.33203125" style="112" customWidth="1"/>
    <col min="2046" max="2047" width="14.33203125" style="112" customWidth="1"/>
    <col min="2048" max="2048" width="13.33203125" style="112" customWidth="1"/>
    <col min="2049" max="2049" width="13.83203125" style="112" customWidth="1"/>
    <col min="2050" max="2050" width="11.83203125" style="112" customWidth="1"/>
    <col min="2051" max="2051" width="11.6640625" style="112" customWidth="1"/>
    <col min="2052" max="2052" width="17" style="112" customWidth="1"/>
    <col min="2053" max="2053" width="9.1640625" style="112" customWidth="1"/>
    <col min="2054" max="2054" width="14" style="112" customWidth="1"/>
    <col min="2055" max="2055" width="11.33203125" style="112" customWidth="1"/>
    <col min="2056" max="2056" width="9.1640625" style="112" customWidth="1"/>
    <col min="2057" max="2057" width="12.6640625" style="112" customWidth="1"/>
    <col min="2058" max="2063" width="9.1640625" style="112" customWidth="1"/>
    <col min="2064" max="2283" width="9.1640625" style="112"/>
    <col min="2284" max="2284" width="40" style="112" customWidth="1"/>
    <col min="2285" max="2293" width="10.6640625" style="112" customWidth="1"/>
    <col min="2294" max="2294" width="14.5" style="112" customWidth="1"/>
    <col min="2295" max="2296" width="1.33203125" style="112" customWidth="1"/>
    <col min="2297" max="2297" width="11.33203125" style="112" customWidth="1"/>
    <col min="2298" max="2298" width="16.83203125" style="112" customWidth="1"/>
    <col min="2299" max="2299" width="17.5" style="112" customWidth="1"/>
    <col min="2300" max="2300" width="21.1640625" style="112" customWidth="1"/>
    <col min="2301" max="2301" width="17.33203125" style="112" customWidth="1"/>
    <col min="2302" max="2303" width="14.33203125" style="112" customWidth="1"/>
    <col min="2304" max="2304" width="13.33203125" style="112" customWidth="1"/>
    <col min="2305" max="2305" width="13.83203125" style="112" customWidth="1"/>
    <col min="2306" max="2306" width="11.83203125" style="112" customWidth="1"/>
    <col min="2307" max="2307" width="11.6640625" style="112" customWidth="1"/>
    <col min="2308" max="2308" width="17" style="112" customWidth="1"/>
    <col min="2309" max="2309" width="9.1640625" style="112" customWidth="1"/>
    <col min="2310" max="2310" width="14" style="112" customWidth="1"/>
    <col min="2311" max="2311" width="11.33203125" style="112" customWidth="1"/>
    <col min="2312" max="2312" width="9.1640625" style="112" customWidth="1"/>
    <col min="2313" max="2313" width="12.6640625" style="112" customWidth="1"/>
    <col min="2314" max="2319" width="9.1640625" style="112" customWidth="1"/>
    <col min="2320" max="2539" width="9.1640625" style="112"/>
    <col min="2540" max="2540" width="40" style="112" customWidth="1"/>
    <col min="2541" max="2549" width="10.6640625" style="112" customWidth="1"/>
    <col min="2550" max="2550" width="14.5" style="112" customWidth="1"/>
    <col min="2551" max="2552" width="1.33203125" style="112" customWidth="1"/>
    <col min="2553" max="2553" width="11.33203125" style="112" customWidth="1"/>
    <col min="2554" max="2554" width="16.83203125" style="112" customWidth="1"/>
    <col min="2555" max="2555" width="17.5" style="112" customWidth="1"/>
    <col min="2556" max="2556" width="21.1640625" style="112" customWidth="1"/>
    <col min="2557" max="2557" width="17.33203125" style="112" customWidth="1"/>
    <col min="2558" max="2559" width="14.33203125" style="112" customWidth="1"/>
    <col min="2560" max="2560" width="13.33203125" style="112" customWidth="1"/>
    <col min="2561" max="2561" width="13.83203125" style="112" customWidth="1"/>
    <col min="2562" max="2562" width="11.83203125" style="112" customWidth="1"/>
    <col min="2563" max="2563" width="11.6640625" style="112" customWidth="1"/>
    <col min="2564" max="2564" width="17" style="112" customWidth="1"/>
    <col min="2565" max="2565" width="9.1640625" style="112" customWidth="1"/>
    <col min="2566" max="2566" width="14" style="112" customWidth="1"/>
    <col min="2567" max="2567" width="11.33203125" style="112" customWidth="1"/>
    <col min="2568" max="2568" width="9.1640625" style="112" customWidth="1"/>
    <col min="2569" max="2569" width="12.6640625" style="112" customWidth="1"/>
    <col min="2570" max="2575" width="9.1640625" style="112" customWidth="1"/>
    <col min="2576" max="2795" width="9.1640625" style="112"/>
    <col min="2796" max="2796" width="40" style="112" customWidth="1"/>
    <col min="2797" max="2805" width="10.6640625" style="112" customWidth="1"/>
    <col min="2806" max="2806" width="14.5" style="112" customWidth="1"/>
    <col min="2807" max="2808" width="1.33203125" style="112" customWidth="1"/>
    <col min="2809" max="2809" width="11.33203125" style="112" customWidth="1"/>
    <col min="2810" max="2810" width="16.83203125" style="112" customWidth="1"/>
    <col min="2811" max="2811" width="17.5" style="112" customWidth="1"/>
    <col min="2812" max="2812" width="21.1640625" style="112" customWidth="1"/>
    <col min="2813" max="2813" width="17.33203125" style="112" customWidth="1"/>
    <col min="2814" max="2815" width="14.33203125" style="112" customWidth="1"/>
    <col min="2816" max="2816" width="13.33203125" style="112" customWidth="1"/>
    <col min="2817" max="2817" width="13.83203125" style="112" customWidth="1"/>
    <col min="2818" max="2818" width="11.83203125" style="112" customWidth="1"/>
    <col min="2819" max="2819" width="11.6640625" style="112" customWidth="1"/>
    <col min="2820" max="2820" width="17" style="112" customWidth="1"/>
    <col min="2821" max="2821" width="9.1640625" style="112" customWidth="1"/>
    <col min="2822" max="2822" width="14" style="112" customWidth="1"/>
    <col min="2823" max="2823" width="11.33203125" style="112" customWidth="1"/>
    <col min="2824" max="2824" width="9.1640625" style="112" customWidth="1"/>
    <col min="2825" max="2825" width="12.6640625" style="112" customWidth="1"/>
    <col min="2826" max="2831" width="9.1640625" style="112" customWidth="1"/>
    <col min="2832" max="3051" width="9.1640625" style="112"/>
    <col min="3052" max="3052" width="40" style="112" customWidth="1"/>
    <col min="3053" max="3061" width="10.6640625" style="112" customWidth="1"/>
    <col min="3062" max="3062" width="14.5" style="112" customWidth="1"/>
    <col min="3063" max="3064" width="1.33203125" style="112" customWidth="1"/>
    <col min="3065" max="3065" width="11.33203125" style="112" customWidth="1"/>
    <col min="3066" max="3066" width="16.83203125" style="112" customWidth="1"/>
    <col min="3067" max="3067" width="17.5" style="112" customWidth="1"/>
    <col min="3068" max="3068" width="21.1640625" style="112" customWidth="1"/>
    <col min="3069" max="3069" width="17.33203125" style="112" customWidth="1"/>
    <col min="3070" max="3071" width="14.33203125" style="112" customWidth="1"/>
    <col min="3072" max="3072" width="13.33203125" style="112" customWidth="1"/>
    <col min="3073" max="3073" width="13.83203125" style="112" customWidth="1"/>
    <col min="3074" max="3074" width="11.83203125" style="112" customWidth="1"/>
    <col min="3075" max="3075" width="11.6640625" style="112" customWidth="1"/>
    <col min="3076" max="3076" width="17" style="112" customWidth="1"/>
    <col min="3077" max="3077" width="9.1640625" style="112" customWidth="1"/>
    <col min="3078" max="3078" width="14" style="112" customWidth="1"/>
    <col min="3079" max="3079" width="11.33203125" style="112" customWidth="1"/>
    <col min="3080" max="3080" width="9.1640625" style="112" customWidth="1"/>
    <col min="3081" max="3081" width="12.6640625" style="112" customWidth="1"/>
    <col min="3082" max="3087" width="9.1640625" style="112" customWidth="1"/>
    <col min="3088" max="3307" width="9.1640625" style="112"/>
    <col min="3308" max="3308" width="40" style="112" customWidth="1"/>
    <col min="3309" max="3317" width="10.6640625" style="112" customWidth="1"/>
    <col min="3318" max="3318" width="14.5" style="112" customWidth="1"/>
    <col min="3319" max="3320" width="1.33203125" style="112" customWidth="1"/>
    <col min="3321" max="3321" width="11.33203125" style="112" customWidth="1"/>
    <col min="3322" max="3322" width="16.83203125" style="112" customWidth="1"/>
    <col min="3323" max="3323" width="17.5" style="112" customWidth="1"/>
    <col min="3324" max="3324" width="21.1640625" style="112" customWidth="1"/>
    <col min="3325" max="3325" width="17.33203125" style="112" customWidth="1"/>
    <col min="3326" max="3327" width="14.33203125" style="112" customWidth="1"/>
    <col min="3328" max="3328" width="13.33203125" style="112" customWidth="1"/>
    <col min="3329" max="3329" width="13.83203125" style="112" customWidth="1"/>
    <col min="3330" max="3330" width="11.83203125" style="112" customWidth="1"/>
    <col min="3331" max="3331" width="11.6640625" style="112" customWidth="1"/>
    <col min="3332" max="3332" width="17" style="112" customWidth="1"/>
    <col min="3333" max="3333" width="9.1640625" style="112" customWidth="1"/>
    <col min="3334" max="3334" width="14" style="112" customWidth="1"/>
    <col min="3335" max="3335" width="11.33203125" style="112" customWidth="1"/>
    <col min="3336" max="3336" width="9.1640625" style="112" customWidth="1"/>
    <col min="3337" max="3337" width="12.6640625" style="112" customWidth="1"/>
    <col min="3338" max="3343" width="9.1640625" style="112" customWidth="1"/>
    <col min="3344" max="3563" width="9.1640625" style="112"/>
    <col min="3564" max="3564" width="40" style="112" customWidth="1"/>
    <col min="3565" max="3573" width="10.6640625" style="112" customWidth="1"/>
    <col min="3574" max="3574" width="14.5" style="112" customWidth="1"/>
    <col min="3575" max="3576" width="1.33203125" style="112" customWidth="1"/>
    <col min="3577" max="3577" width="11.33203125" style="112" customWidth="1"/>
    <col min="3578" max="3578" width="16.83203125" style="112" customWidth="1"/>
    <col min="3579" max="3579" width="17.5" style="112" customWidth="1"/>
    <col min="3580" max="3580" width="21.1640625" style="112" customWidth="1"/>
    <col min="3581" max="3581" width="17.33203125" style="112" customWidth="1"/>
    <col min="3582" max="3583" width="14.33203125" style="112" customWidth="1"/>
    <col min="3584" max="3584" width="13.33203125" style="112" customWidth="1"/>
    <col min="3585" max="3585" width="13.83203125" style="112" customWidth="1"/>
    <col min="3586" max="3586" width="11.83203125" style="112" customWidth="1"/>
    <col min="3587" max="3587" width="11.6640625" style="112" customWidth="1"/>
    <col min="3588" max="3588" width="17" style="112" customWidth="1"/>
    <col min="3589" max="3589" width="9.1640625" style="112" customWidth="1"/>
    <col min="3590" max="3590" width="14" style="112" customWidth="1"/>
    <col min="3591" max="3591" width="11.33203125" style="112" customWidth="1"/>
    <col min="3592" max="3592" width="9.1640625" style="112" customWidth="1"/>
    <col min="3593" max="3593" width="12.6640625" style="112" customWidth="1"/>
    <col min="3594" max="3599" width="9.1640625" style="112" customWidth="1"/>
    <col min="3600" max="3819" width="9.1640625" style="112"/>
    <col min="3820" max="3820" width="40" style="112" customWidth="1"/>
    <col min="3821" max="3829" width="10.6640625" style="112" customWidth="1"/>
    <col min="3830" max="3830" width="14.5" style="112" customWidth="1"/>
    <col min="3831" max="3832" width="1.33203125" style="112" customWidth="1"/>
    <col min="3833" max="3833" width="11.33203125" style="112" customWidth="1"/>
    <col min="3834" max="3834" width="16.83203125" style="112" customWidth="1"/>
    <col min="3835" max="3835" width="17.5" style="112" customWidth="1"/>
    <col min="3836" max="3836" width="21.1640625" style="112" customWidth="1"/>
    <col min="3837" max="3837" width="17.33203125" style="112" customWidth="1"/>
    <col min="3838" max="3839" width="14.33203125" style="112" customWidth="1"/>
    <col min="3840" max="3840" width="13.33203125" style="112" customWidth="1"/>
    <col min="3841" max="3841" width="13.83203125" style="112" customWidth="1"/>
    <col min="3842" max="3842" width="11.83203125" style="112" customWidth="1"/>
    <col min="3843" max="3843" width="11.6640625" style="112" customWidth="1"/>
    <col min="3844" max="3844" width="17" style="112" customWidth="1"/>
    <col min="3845" max="3845" width="9.1640625" style="112" customWidth="1"/>
    <col min="3846" max="3846" width="14" style="112" customWidth="1"/>
    <col min="3847" max="3847" width="11.33203125" style="112" customWidth="1"/>
    <col min="3848" max="3848" width="9.1640625" style="112" customWidth="1"/>
    <col min="3849" max="3849" width="12.6640625" style="112" customWidth="1"/>
    <col min="3850" max="3855" width="9.1640625" style="112" customWidth="1"/>
    <col min="3856" max="4075" width="9.1640625" style="112"/>
    <col min="4076" max="4076" width="40" style="112" customWidth="1"/>
    <col min="4077" max="4085" width="10.6640625" style="112" customWidth="1"/>
    <col min="4086" max="4086" width="14.5" style="112" customWidth="1"/>
    <col min="4087" max="4088" width="1.33203125" style="112" customWidth="1"/>
    <col min="4089" max="4089" width="11.33203125" style="112" customWidth="1"/>
    <col min="4090" max="4090" width="16.83203125" style="112" customWidth="1"/>
    <col min="4091" max="4091" width="17.5" style="112" customWidth="1"/>
    <col min="4092" max="4092" width="21.1640625" style="112" customWidth="1"/>
    <col min="4093" max="4093" width="17.33203125" style="112" customWidth="1"/>
    <col min="4094" max="4095" width="14.33203125" style="112" customWidth="1"/>
    <col min="4096" max="4096" width="13.33203125" style="112" customWidth="1"/>
    <col min="4097" max="4097" width="13.83203125" style="112" customWidth="1"/>
    <col min="4098" max="4098" width="11.83203125" style="112" customWidth="1"/>
    <col min="4099" max="4099" width="11.6640625" style="112" customWidth="1"/>
    <col min="4100" max="4100" width="17" style="112" customWidth="1"/>
    <col min="4101" max="4101" width="9.1640625" style="112" customWidth="1"/>
    <col min="4102" max="4102" width="14" style="112" customWidth="1"/>
    <col min="4103" max="4103" width="11.33203125" style="112" customWidth="1"/>
    <col min="4104" max="4104" width="9.1640625" style="112" customWidth="1"/>
    <col min="4105" max="4105" width="12.6640625" style="112" customWidth="1"/>
    <col min="4106" max="4111" width="9.1640625" style="112" customWidth="1"/>
    <col min="4112" max="4331" width="9.1640625" style="112"/>
    <col min="4332" max="4332" width="40" style="112" customWidth="1"/>
    <col min="4333" max="4341" width="10.6640625" style="112" customWidth="1"/>
    <col min="4342" max="4342" width="14.5" style="112" customWidth="1"/>
    <col min="4343" max="4344" width="1.33203125" style="112" customWidth="1"/>
    <col min="4345" max="4345" width="11.33203125" style="112" customWidth="1"/>
    <col min="4346" max="4346" width="16.83203125" style="112" customWidth="1"/>
    <col min="4347" max="4347" width="17.5" style="112" customWidth="1"/>
    <col min="4348" max="4348" width="21.1640625" style="112" customWidth="1"/>
    <col min="4349" max="4349" width="17.33203125" style="112" customWidth="1"/>
    <col min="4350" max="4351" width="14.33203125" style="112" customWidth="1"/>
    <col min="4352" max="4352" width="13.33203125" style="112" customWidth="1"/>
    <col min="4353" max="4353" width="13.83203125" style="112" customWidth="1"/>
    <col min="4354" max="4354" width="11.83203125" style="112" customWidth="1"/>
    <col min="4355" max="4355" width="11.6640625" style="112" customWidth="1"/>
    <col min="4356" max="4356" width="17" style="112" customWidth="1"/>
    <col min="4357" max="4357" width="9.1640625" style="112" customWidth="1"/>
    <col min="4358" max="4358" width="14" style="112" customWidth="1"/>
    <col min="4359" max="4359" width="11.33203125" style="112" customWidth="1"/>
    <col min="4360" max="4360" width="9.1640625" style="112" customWidth="1"/>
    <col min="4361" max="4361" width="12.6640625" style="112" customWidth="1"/>
    <col min="4362" max="4367" width="9.1640625" style="112" customWidth="1"/>
    <col min="4368" max="4587" width="9.1640625" style="112"/>
    <col min="4588" max="4588" width="40" style="112" customWidth="1"/>
    <col min="4589" max="4597" width="10.6640625" style="112" customWidth="1"/>
    <col min="4598" max="4598" width="14.5" style="112" customWidth="1"/>
    <col min="4599" max="4600" width="1.33203125" style="112" customWidth="1"/>
    <col min="4601" max="4601" width="11.33203125" style="112" customWidth="1"/>
    <col min="4602" max="4602" width="16.83203125" style="112" customWidth="1"/>
    <col min="4603" max="4603" width="17.5" style="112" customWidth="1"/>
    <col min="4604" max="4604" width="21.1640625" style="112" customWidth="1"/>
    <col min="4605" max="4605" width="17.33203125" style="112" customWidth="1"/>
    <col min="4606" max="4607" width="14.33203125" style="112" customWidth="1"/>
    <col min="4608" max="4608" width="13.33203125" style="112" customWidth="1"/>
    <col min="4609" max="4609" width="13.83203125" style="112" customWidth="1"/>
    <col min="4610" max="4610" width="11.83203125" style="112" customWidth="1"/>
    <col min="4611" max="4611" width="11.6640625" style="112" customWidth="1"/>
    <col min="4612" max="4612" width="17" style="112" customWidth="1"/>
    <col min="4613" max="4613" width="9.1640625" style="112" customWidth="1"/>
    <col min="4614" max="4614" width="14" style="112" customWidth="1"/>
    <col min="4615" max="4615" width="11.33203125" style="112" customWidth="1"/>
    <col min="4616" max="4616" width="9.1640625" style="112" customWidth="1"/>
    <col min="4617" max="4617" width="12.6640625" style="112" customWidth="1"/>
    <col min="4618" max="4623" width="9.1640625" style="112" customWidth="1"/>
    <col min="4624" max="4843" width="9.1640625" style="112"/>
    <col min="4844" max="4844" width="40" style="112" customWidth="1"/>
    <col min="4845" max="4853" width="10.6640625" style="112" customWidth="1"/>
    <col min="4854" max="4854" width="14.5" style="112" customWidth="1"/>
    <col min="4855" max="4856" width="1.33203125" style="112" customWidth="1"/>
    <col min="4857" max="4857" width="11.33203125" style="112" customWidth="1"/>
    <col min="4858" max="4858" width="16.83203125" style="112" customWidth="1"/>
    <col min="4859" max="4859" width="17.5" style="112" customWidth="1"/>
    <col min="4860" max="4860" width="21.1640625" style="112" customWidth="1"/>
    <col min="4861" max="4861" width="17.33203125" style="112" customWidth="1"/>
    <col min="4862" max="4863" width="14.33203125" style="112" customWidth="1"/>
    <col min="4864" max="4864" width="13.33203125" style="112" customWidth="1"/>
    <col min="4865" max="4865" width="13.83203125" style="112" customWidth="1"/>
    <col min="4866" max="4866" width="11.83203125" style="112" customWidth="1"/>
    <col min="4867" max="4867" width="11.6640625" style="112" customWidth="1"/>
    <col min="4868" max="4868" width="17" style="112" customWidth="1"/>
    <col min="4869" max="4869" width="9.1640625" style="112" customWidth="1"/>
    <col min="4870" max="4870" width="14" style="112" customWidth="1"/>
    <col min="4871" max="4871" width="11.33203125" style="112" customWidth="1"/>
    <col min="4872" max="4872" width="9.1640625" style="112" customWidth="1"/>
    <col min="4873" max="4873" width="12.6640625" style="112" customWidth="1"/>
    <col min="4874" max="4879" width="9.1640625" style="112" customWidth="1"/>
    <col min="4880" max="5099" width="9.1640625" style="112"/>
    <col min="5100" max="5100" width="40" style="112" customWidth="1"/>
    <col min="5101" max="5109" width="10.6640625" style="112" customWidth="1"/>
    <col min="5110" max="5110" width="14.5" style="112" customWidth="1"/>
    <col min="5111" max="5112" width="1.33203125" style="112" customWidth="1"/>
    <col min="5113" max="5113" width="11.33203125" style="112" customWidth="1"/>
    <col min="5114" max="5114" width="16.83203125" style="112" customWidth="1"/>
    <col min="5115" max="5115" width="17.5" style="112" customWidth="1"/>
    <col min="5116" max="5116" width="21.1640625" style="112" customWidth="1"/>
    <col min="5117" max="5117" width="17.33203125" style="112" customWidth="1"/>
    <col min="5118" max="5119" width="14.33203125" style="112" customWidth="1"/>
    <col min="5120" max="5120" width="13.33203125" style="112" customWidth="1"/>
    <col min="5121" max="5121" width="13.83203125" style="112" customWidth="1"/>
    <col min="5122" max="5122" width="11.83203125" style="112" customWidth="1"/>
    <col min="5123" max="5123" width="11.6640625" style="112" customWidth="1"/>
    <col min="5124" max="5124" width="17" style="112" customWidth="1"/>
    <col min="5125" max="5125" width="9.1640625" style="112" customWidth="1"/>
    <col min="5126" max="5126" width="14" style="112" customWidth="1"/>
    <col min="5127" max="5127" width="11.33203125" style="112" customWidth="1"/>
    <col min="5128" max="5128" width="9.1640625" style="112" customWidth="1"/>
    <col min="5129" max="5129" width="12.6640625" style="112" customWidth="1"/>
    <col min="5130" max="5135" width="9.1640625" style="112" customWidth="1"/>
    <col min="5136" max="5355" width="9.1640625" style="112"/>
    <col min="5356" max="5356" width="40" style="112" customWidth="1"/>
    <col min="5357" max="5365" width="10.6640625" style="112" customWidth="1"/>
    <col min="5366" max="5366" width="14.5" style="112" customWidth="1"/>
    <col min="5367" max="5368" width="1.33203125" style="112" customWidth="1"/>
    <col min="5369" max="5369" width="11.33203125" style="112" customWidth="1"/>
    <col min="5370" max="5370" width="16.83203125" style="112" customWidth="1"/>
    <col min="5371" max="5371" width="17.5" style="112" customWidth="1"/>
    <col min="5372" max="5372" width="21.1640625" style="112" customWidth="1"/>
    <col min="5373" max="5373" width="17.33203125" style="112" customWidth="1"/>
    <col min="5374" max="5375" width="14.33203125" style="112" customWidth="1"/>
    <col min="5376" max="5376" width="13.33203125" style="112" customWidth="1"/>
    <col min="5377" max="5377" width="13.83203125" style="112" customWidth="1"/>
    <col min="5378" max="5378" width="11.83203125" style="112" customWidth="1"/>
    <col min="5379" max="5379" width="11.6640625" style="112" customWidth="1"/>
    <col min="5380" max="5380" width="17" style="112" customWidth="1"/>
    <col min="5381" max="5381" width="9.1640625" style="112" customWidth="1"/>
    <col min="5382" max="5382" width="14" style="112" customWidth="1"/>
    <col min="5383" max="5383" width="11.33203125" style="112" customWidth="1"/>
    <col min="5384" max="5384" width="9.1640625" style="112" customWidth="1"/>
    <col min="5385" max="5385" width="12.6640625" style="112" customWidth="1"/>
    <col min="5386" max="5391" width="9.1640625" style="112" customWidth="1"/>
    <col min="5392" max="5611" width="9.1640625" style="112"/>
    <col min="5612" max="5612" width="40" style="112" customWidth="1"/>
    <col min="5613" max="5621" width="10.6640625" style="112" customWidth="1"/>
    <col min="5622" max="5622" width="14.5" style="112" customWidth="1"/>
    <col min="5623" max="5624" width="1.33203125" style="112" customWidth="1"/>
    <col min="5625" max="5625" width="11.33203125" style="112" customWidth="1"/>
    <col min="5626" max="5626" width="16.83203125" style="112" customWidth="1"/>
    <col min="5627" max="5627" width="17.5" style="112" customWidth="1"/>
    <col min="5628" max="5628" width="21.1640625" style="112" customWidth="1"/>
    <col min="5629" max="5629" width="17.33203125" style="112" customWidth="1"/>
    <col min="5630" max="5631" width="14.33203125" style="112" customWidth="1"/>
    <col min="5632" max="5632" width="13.33203125" style="112" customWidth="1"/>
    <col min="5633" max="5633" width="13.83203125" style="112" customWidth="1"/>
    <col min="5634" max="5634" width="11.83203125" style="112" customWidth="1"/>
    <col min="5635" max="5635" width="11.6640625" style="112" customWidth="1"/>
    <col min="5636" max="5636" width="17" style="112" customWidth="1"/>
    <col min="5637" max="5637" width="9.1640625" style="112" customWidth="1"/>
    <col min="5638" max="5638" width="14" style="112" customWidth="1"/>
    <col min="5639" max="5639" width="11.33203125" style="112" customWidth="1"/>
    <col min="5640" max="5640" width="9.1640625" style="112" customWidth="1"/>
    <col min="5641" max="5641" width="12.6640625" style="112" customWidth="1"/>
    <col min="5642" max="5647" width="9.1640625" style="112" customWidth="1"/>
    <col min="5648" max="5867" width="9.1640625" style="112"/>
    <col min="5868" max="5868" width="40" style="112" customWidth="1"/>
    <col min="5869" max="5877" width="10.6640625" style="112" customWidth="1"/>
    <col min="5878" max="5878" width="14.5" style="112" customWidth="1"/>
    <col min="5879" max="5880" width="1.33203125" style="112" customWidth="1"/>
    <col min="5881" max="5881" width="11.33203125" style="112" customWidth="1"/>
    <col min="5882" max="5882" width="16.83203125" style="112" customWidth="1"/>
    <col min="5883" max="5883" width="17.5" style="112" customWidth="1"/>
    <col min="5884" max="5884" width="21.1640625" style="112" customWidth="1"/>
    <col min="5885" max="5885" width="17.33203125" style="112" customWidth="1"/>
    <col min="5886" max="5887" width="14.33203125" style="112" customWidth="1"/>
    <col min="5888" max="5888" width="13.33203125" style="112" customWidth="1"/>
    <col min="5889" max="5889" width="13.83203125" style="112" customWidth="1"/>
    <col min="5890" max="5890" width="11.83203125" style="112" customWidth="1"/>
    <col min="5891" max="5891" width="11.6640625" style="112" customWidth="1"/>
    <col min="5892" max="5892" width="17" style="112" customWidth="1"/>
    <col min="5893" max="5893" width="9.1640625" style="112" customWidth="1"/>
    <col min="5894" max="5894" width="14" style="112" customWidth="1"/>
    <col min="5895" max="5895" width="11.33203125" style="112" customWidth="1"/>
    <col min="5896" max="5896" width="9.1640625" style="112" customWidth="1"/>
    <col min="5897" max="5897" width="12.6640625" style="112" customWidth="1"/>
    <col min="5898" max="5903" width="9.1640625" style="112" customWidth="1"/>
    <col min="5904" max="6123" width="9.1640625" style="112"/>
    <col min="6124" max="6124" width="40" style="112" customWidth="1"/>
    <col min="6125" max="6133" width="10.6640625" style="112" customWidth="1"/>
    <col min="6134" max="6134" width="14.5" style="112" customWidth="1"/>
    <col min="6135" max="6136" width="1.33203125" style="112" customWidth="1"/>
    <col min="6137" max="6137" width="11.33203125" style="112" customWidth="1"/>
    <col min="6138" max="6138" width="16.83203125" style="112" customWidth="1"/>
    <col min="6139" max="6139" width="17.5" style="112" customWidth="1"/>
    <col min="6140" max="6140" width="21.1640625" style="112" customWidth="1"/>
    <col min="6141" max="6141" width="17.33203125" style="112" customWidth="1"/>
    <col min="6142" max="6143" width="14.33203125" style="112" customWidth="1"/>
    <col min="6144" max="6144" width="13.33203125" style="112" customWidth="1"/>
    <col min="6145" max="6145" width="13.83203125" style="112" customWidth="1"/>
    <col min="6146" max="6146" width="11.83203125" style="112" customWidth="1"/>
    <col min="6147" max="6147" width="11.6640625" style="112" customWidth="1"/>
    <col min="6148" max="6148" width="17" style="112" customWidth="1"/>
    <col min="6149" max="6149" width="9.1640625" style="112" customWidth="1"/>
    <col min="6150" max="6150" width="14" style="112" customWidth="1"/>
    <col min="6151" max="6151" width="11.33203125" style="112" customWidth="1"/>
    <col min="6152" max="6152" width="9.1640625" style="112" customWidth="1"/>
    <col min="6153" max="6153" width="12.6640625" style="112" customWidth="1"/>
    <col min="6154" max="6159" width="9.1640625" style="112" customWidth="1"/>
    <col min="6160" max="6379" width="9.1640625" style="112"/>
    <col min="6380" max="6380" width="40" style="112" customWidth="1"/>
    <col min="6381" max="6389" width="10.6640625" style="112" customWidth="1"/>
    <col min="6390" max="6390" width="14.5" style="112" customWidth="1"/>
    <col min="6391" max="6392" width="1.33203125" style="112" customWidth="1"/>
    <col min="6393" max="6393" width="11.33203125" style="112" customWidth="1"/>
    <col min="6394" max="6394" width="16.83203125" style="112" customWidth="1"/>
    <col min="6395" max="6395" width="17.5" style="112" customWidth="1"/>
    <col min="6396" max="6396" width="21.1640625" style="112" customWidth="1"/>
    <col min="6397" max="6397" width="17.33203125" style="112" customWidth="1"/>
    <col min="6398" max="6399" width="14.33203125" style="112" customWidth="1"/>
    <col min="6400" max="6400" width="13.33203125" style="112" customWidth="1"/>
    <col min="6401" max="6401" width="13.83203125" style="112" customWidth="1"/>
    <col min="6402" max="6402" width="11.83203125" style="112" customWidth="1"/>
    <col min="6403" max="6403" width="11.6640625" style="112" customWidth="1"/>
    <col min="6404" max="6404" width="17" style="112" customWidth="1"/>
    <col min="6405" max="6405" width="9.1640625" style="112" customWidth="1"/>
    <col min="6406" max="6406" width="14" style="112" customWidth="1"/>
    <col min="6407" max="6407" width="11.33203125" style="112" customWidth="1"/>
    <col min="6408" max="6408" width="9.1640625" style="112" customWidth="1"/>
    <col min="6409" max="6409" width="12.6640625" style="112" customWidth="1"/>
    <col min="6410" max="6415" width="9.1640625" style="112" customWidth="1"/>
    <col min="6416" max="6635" width="9.1640625" style="112"/>
    <col min="6636" max="6636" width="40" style="112" customWidth="1"/>
    <col min="6637" max="6645" width="10.6640625" style="112" customWidth="1"/>
    <col min="6646" max="6646" width="14.5" style="112" customWidth="1"/>
    <col min="6647" max="6648" width="1.33203125" style="112" customWidth="1"/>
    <col min="6649" max="6649" width="11.33203125" style="112" customWidth="1"/>
    <col min="6650" max="6650" width="16.83203125" style="112" customWidth="1"/>
    <col min="6651" max="6651" width="17.5" style="112" customWidth="1"/>
    <col min="6652" max="6652" width="21.1640625" style="112" customWidth="1"/>
    <col min="6653" max="6653" width="17.33203125" style="112" customWidth="1"/>
    <col min="6654" max="6655" width="14.33203125" style="112" customWidth="1"/>
    <col min="6656" max="6656" width="13.33203125" style="112" customWidth="1"/>
    <col min="6657" max="6657" width="13.83203125" style="112" customWidth="1"/>
    <col min="6658" max="6658" width="11.83203125" style="112" customWidth="1"/>
    <col min="6659" max="6659" width="11.6640625" style="112" customWidth="1"/>
    <col min="6660" max="6660" width="17" style="112" customWidth="1"/>
    <col min="6661" max="6661" width="9.1640625" style="112" customWidth="1"/>
    <col min="6662" max="6662" width="14" style="112" customWidth="1"/>
    <col min="6663" max="6663" width="11.33203125" style="112" customWidth="1"/>
    <col min="6664" max="6664" width="9.1640625" style="112" customWidth="1"/>
    <col min="6665" max="6665" width="12.6640625" style="112" customWidth="1"/>
    <col min="6666" max="6671" width="9.1640625" style="112" customWidth="1"/>
    <col min="6672" max="6891" width="9.1640625" style="112"/>
    <col min="6892" max="6892" width="40" style="112" customWidth="1"/>
    <col min="6893" max="6901" width="10.6640625" style="112" customWidth="1"/>
    <col min="6902" max="6902" width="14.5" style="112" customWidth="1"/>
    <col min="6903" max="6904" width="1.33203125" style="112" customWidth="1"/>
    <col min="6905" max="6905" width="11.33203125" style="112" customWidth="1"/>
    <col min="6906" max="6906" width="16.83203125" style="112" customWidth="1"/>
    <col min="6907" max="6907" width="17.5" style="112" customWidth="1"/>
    <col min="6908" max="6908" width="21.1640625" style="112" customWidth="1"/>
    <col min="6909" max="6909" width="17.33203125" style="112" customWidth="1"/>
    <col min="6910" max="6911" width="14.33203125" style="112" customWidth="1"/>
    <col min="6912" max="6912" width="13.33203125" style="112" customWidth="1"/>
    <col min="6913" max="6913" width="13.83203125" style="112" customWidth="1"/>
    <col min="6914" max="6914" width="11.83203125" style="112" customWidth="1"/>
    <col min="6915" max="6915" width="11.6640625" style="112" customWidth="1"/>
    <col min="6916" max="6916" width="17" style="112" customWidth="1"/>
    <col min="6917" max="6917" width="9.1640625" style="112" customWidth="1"/>
    <col min="6918" max="6918" width="14" style="112" customWidth="1"/>
    <col min="6919" max="6919" width="11.33203125" style="112" customWidth="1"/>
    <col min="6920" max="6920" width="9.1640625" style="112" customWidth="1"/>
    <col min="6921" max="6921" width="12.6640625" style="112" customWidth="1"/>
    <col min="6922" max="6927" width="9.1640625" style="112" customWidth="1"/>
    <col min="6928" max="7147" width="9.1640625" style="112"/>
    <col min="7148" max="7148" width="40" style="112" customWidth="1"/>
    <col min="7149" max="7157" width="10.6640625" style="112" customWidth="1"/>
    <col min="7158" max="7158" width="14.5" style="112" customWidth="1"/>
    <col min="7159" max="7160" width="1.33203125" style="112" customWidth="1"/>
    <col min="7161" max="7161" width="11.33203125" style="112" customWidth="1"/>
    <col min="7162" max="7162" width="16.83203125" style="112" customWidth="1"/>
    <col min="7163" max="7163" width="17.5" style="112" customWidth="1"/>
    <col min="7164" max="7164" width="21.1640625" style="112" customWidth="1"/>
    <col min="7165" max="7165" width="17.33203125" style="112" customWidth="1"/>
    <col min="7166" max="7167" width="14.33203125" style="112" customWidth="1"/>
    <col min="7168" max="7168" width="13.33203125" style="112" customWidth="1"/>
    <col min="7169" max="7169" width="13.83203125" style="112" customWidth="1"/>
    <col min="7170" max="7170" width="11.83203125" style="112" customWidth="1"/>
    <col min="7171" max="7171" width="11.6640625" style="112" customWidth="1"/>
    <col min="7172" max="7172" width="17" style="112" customWidth="1"/>
    <col min="7173" max="7173" width="9.1640625" style="112" customWidth="1"/>
    <col min="7174" max="7174" width="14" style="112" customWidth="1"/>
    <col min="7175" max="7175" width="11.33203125" style="112" customWidth="1"/>
    <col min="7176" max="7176" width="9.1640625" style="112" customWidth="1"/>
    <col min="7177" max="7177" width="12.6640625" style="112" customWidth="1"/>
    <col min="7178" max="7183" width="9.1640625" style="112" customWidth="1"/>
    <col min="7184" max="7403" width="9.1640625" style="112"/>
    <col min="7404" max="7404" width="40" style="112" customWidth="1"/>
    <col min="7405" max="7413" width="10.6640625" style="112" customWidth="1"/>
    <col min="7414" max="7414" width="14.5" style="112" customWidth="1"/>
    <col min="7415" max="7416" width="1.33203125" style="112" customWidth="1"/>
    <col min="7417" max="7417" width="11.33203125" style="112" customWidth="1"/>
    <col min="7418" max="7418" width="16.83203125" style="112" customWidth="1"/>
    <col min="7419" max="7419" width="17.5" style="112" customWidth="1"/>
    <col min="7420" max="7420" width="21.1640625" style="112" customWidth="1"/>
    <col min="7421" max="7421" width="17.33203125" style="112" customWidth="1"/>
    <col min="7422" max="7423" width="14.33203125" style="112" customWidth="1"/>
    <col min="7424" max="7424" width="13.33203125" style="112" customWidth="1"/>
    <col min="7425" max="7425" width="13.83203125" style="112" customWidth="1"/>
    <col min="7426" max="7426" width="11.83203125" style="112" customWidth="1"/>
    <col min="7427" max="7427" width="11.6640625" style="112" customWidth="1"/>
    <col min="7428" max="7428" width="17" style="112" customWidth="1"/>
    <col min="7429" max="7429" width="9.1640625" style="112" customWidth="1"/>
    <col min="7430" max="7430" width="14" style="112" customWidth="1"/>
    <col min="7431" max="7431" width="11.33203125" style="112" customWidth="1"/>
    <col min="7432" max="7432" width="9.1640625" style="112" customWidth="1"/>
    <col min="7433" max="7433" width="12.6640625" style="112" customWidth="1"/>
    <col min="7434" max="7439" width="9.1640625" style="112" customWidth="1"/>
    <col min="7440" max="7659" width="9.1640625" style="112"/>
    <col min="7660" max="7660" width="40" style="112" customWidth="1"/>
    <col min="7661" max="7669" width="10.6640625" style="112" customWidth="1"/>
    <col min="7670" max="7670" width="14.5" style="112" customWidth="1"/>
    <col min="7671" max="7672" width="1.33203125" style="112" customWidth="1"/>
    <col min="7673" max="7673" width="11.33203125" style="112" customWidth="1"/>
    <col min="7674" max="7674" width="16.83203125" style="112" customWidth="1"/>
    <col min="7675" max="7675" width="17.5" style="112" customWidth="1"/>
    <col min="7676" max="7676" width="21.1640625" style="112" customWidth="1"/>
    <col min="7677" max="7677" width="17.33203125" style="112" customWidth="1"/>
    <col min="7678" max="7679" width="14.33203125" style="112" customWidth="1"/>
    <col min="7680" max="7680" width="13.33203125" style="112" customWidth="1"/>
    <col min="7681" max="7681" width="13.83203125" style="112" customWidth="1"/>
    <col min="7682" max="7682" width="11.83203125" style="112" customWidth="1"/>
    <col min="7683" max="7683" width="11.6640625" style="112" customWidth="1"/>
    <col min="7684" max="7684" width="17" style="112" customWidth="1"/>
    <col min="7685" max="7685" width="9.1640625" style="112" customWidth="1"/>
    <col min="7686" max="7686" width="14" style="112" customWidth="1"/>
    <col min="7687" max="7687" width="11.33203125" style="112" customWidth="1"/>
    <col min="7688" max="7688" width="9.1640625" style="112" customWidth="1"/>
    <col min="7689" max="7689" width="12.6640625" style="112" customWidth="1"/>
    <col min="7690" max="7695" width="9.1640625" style="112" customWidth="1"/>
    <col min="7696" max="7915" width="9.1640625" style="112"/>
    <col min="7916" max="7916" width="40" style="112" customWidth="1"/>
    <col min="7917" max="7925" width="10.6640625" style="112" customWidth="1"/>
    <col min="7926" max="7926" width="14.5" style="112" customWidth="1"/>
    <col min="7927" max="7928" width="1.33203125" style="112" customWidth="1"/>
    <col min="7929" max="7929" width="11.33203125" style="112" customWidth="1"/>
    <col min="7930" max="7930" width="16.83203125" style="112" customWidth="1"/>
    <col min="7931" max="7931" width="17.5" style="112" customWidth="1"/>
    <col min="7932" max="7932" width="21.1640625" style="112" customWidth="1"/>
    <col min="7933" max="7933" width="17.33203125" style="112" customWidth="1"/>
    <col min="7934" max="7935" width="14.33203125" style="112" customWidth="1"/>
    <col min="7936" max="7936" width="13.33203125" style="112" customWidth="1"/>
    <col min="7937" max="7937" width="13.83203125" style="112" customWidth="1"/>
    <col min="7938" max="7938" width="11.83203125" style="112" customWidth="1"/>
    <col min="7939" max="7939" width="11.6640625" style="112" customWidth="1"/>
    <col min="7940" max="7940" width="17" style="112" customWidth="1"/>
    <col min="7941" max="7941" width="9.1640625" style="112" customWidth="1"/>
    <col min="7942" max="7942" width="14" style="112" customWidth="1"/>
    <col min="7943" max="7943" width="11.33203125" style="112" customWidth="1"/>
    <col min="7944" max="7944" width="9.1640625" style="112" customWidth="1"/>
    <col min="7945" max="7945" width="12.6640625" style="112" customWidth="1"/>
    <col min="7946" max="7951" width="9.1640625" style="112" customWidth="1"/>
    <col min="7952" max="8171" width="9.1640625" style="112"/>
    <col min="8172" max="8172" width="40" style="112" customWidth="1"/>
    <col min="8173" max="8181" width="10.6640625" style="112" customWidth="1"/>
    <col min="8182" max="8182" width="14.5" style="112" customWidth="1"/>
    <col min="8183" max="8184" width="1.33203125" style="112" customWidth="1"/>
    <col min="8185" max="8185" width="11.33203125" style="112" customWidth="1"/>
    <col min="8186" max="8186" width="16.83203125" style="112" customWidth="1"/>
    <col min="8187" max="8187" width="17.5" style="112" customWidth="1"/>
    <col min="8188" max="8188" width="21.1640625" style="112" customWidth="1"/>
    <col min="8189" max="8189" width="17.33203125" style="112" customWidth="1"/>
    <col min="8190" max="8191" width="14.33203125" style="112" customWidth="1"/>
    <col min="8192" max="8192" width="13.33203125" style="112" customWidth="1"/>
    <col min="8193" max="8193" width="13.83203125" style="112" customWidth="1"/>
    <col min="8194" max="8194" width="11.83203125" style="112" customWidth="1"/>
    <col min="8195" max="8195" width="11.6640625" style="112" customWidth="1"/>
    <col min="8196" max="8196" width="17" style="112" customWidth="1"/>
    <col min="8197" max="8197" width="9.1640625" style="112" customWidth="1"/>
    <col min="8198" max="8198" width="14" style="112" customWidth="1"/>
    <col min="8199" max="8199" width="11.33203125" style="112" customWidth="1"/>
    <col min="8200" max="8200" width="9.1640625" style="112" customWidth="1"/>
    <col min="8201" max="8201" width="12.6640625" style="112" customWidth="1"/>
    <col min="8202" max="8207" width="9.1640625" style="112" customWidth="1"/>
    <col min="8208" max="8427" width="9.1640625" style="112"/>
    <col min="8428" max="8428" width="40" style="112" customWidth="1"/>
    <col min="8429" max="8437" width="10.6640625" style="112" customWidth="1"/>
    <col min="8438" max="8438" width="14.5" style="112" customWidth="1"/>
    <col min="8439" max="8440" width="1.33203125" style="112" customWidth="1"/>
    <col min="8441" max="8441" width="11.33203125" style="112" customWidth="1"/>
    <col min="8442" max="8442" width="16.83203125" style="112" customWidth="1"/>
    <col min="8443" max="8443" width="17.5" style="112" customWidth="1"/>
    <col min="8444" max="8444" width="21.1640625" style="112" customWidth="1"/>
    <col min="8445" max="8445" width="17.33203125" style="112" customWidth="1"/>
    <col min="8446" max="8447" width="14.33203125" style="112" customWidth="1"/>
    <col min="8448" max="8448" width="13.33203125" style="112" customWidth="1"/>
    <col min="8449" max="8449" width="13.83203125" style="112" customWidth="1"/>
    <col min="8450" max="8450" width="11.83203125" style="112" customWidth="1"/>
    <col min="8451" max="8451" width="11.6640625" style="112" customWidth="1"/>
    <col min="8452" max="8452" width="17" style="112" customWidth="1"/>
    <col min="8453" max="8453" width="9.1640625" style="112" customWidth="1"/>
    <col min="8454" max="8454" width="14" style="112" customWidth="1"/>
    <col min="8455" max="8455" width="11.33203125" style="112" customWidth="1"/>
    <col min="8456" max="8456" width="9.1640625" style="112" customWidth="1"/>
    <col min="8457" max="8457" width="12.6640625" style="112" customWidth="1"/>
    <col min="8458" max="8463" width="9.1640625" style="112" customWidth="1"/>
    <col min="8464" max="8683" width="9.1640625" style="112"/>
    <col min="8684" max="8684" width="40" style="112" customWidth="1"/>
    <col min="8685" max="8693" width="10.6640625" style="112" customWidth="1"/>
    <col min="8694" max="8694" width="14.5" style="112" customWidth="1"/>
    <col min="8695" max="8696" width="1.33203125" style="112" customWidth="1"/>
    <col min="8697" max="8697" width="11.33203125" style="112" customWidth="1"/>
    <col min="8698" max="8698" width="16.83203125" style="112" customWidth="1"/>
    <col min="8699" max="8699" width="17.5" style="112" customWidth="1"/>
    <col min="8700" max="8700" width="21.1640625" style="112" customWidth="1"/>
    <col min="8701" max="8701" width="17.33203125" style="112" customWidth="1"/>
    <col min="8702" max="8703" width="14.33203125" style="112" customWidth="1"/>
    <col min="8704" max="8704" width="13.33203125" style="112" customWidth="1"/>
    <col min="8705" max="8705" width="13.83203125" style="112" customWidth="1"/>
    <col min="8706" max="8706" width="11.83203125" style="112" customWidth="1"/>
    <col min="8707" max="8707" width="11.6640625" style="112" customWidth="1"/>
    <col min="8708" max="8708" width="17" style="112" customWidth="1"/>
    <col min="8709" max="8709" width="9.1640625" style="112" customWidth="1"/>
    <col min="8710" max="8710" width="14" style="112" customWidth="1"/>
    <col min="8711" max="8711" width="11.33203125" style="112" customWidth="1"/>
    <col min="8712" max="8712" width="9.1640625" style="112" customWidth="1"/>
    <col min="8713" max="8713" width="12.6640625" style="112" customWidth="1"/>
    <col min="8714" max="8719" width="9.1640625" style="112" customWidth="1"/>
    <col min="8720" max="8939" width="9.1640625" style="112"/>
    <col min="8940" max="8940" width="40" style="112" customWidth="1"/>
    <col min="8941" max="8949" width="10.6640625" style="112" customWidth="1"/>
    <col min="8950" max="8950" width="14.5" style="112" customWidth="1"/>
    <col min="8951" max="8952" width="1.33203125" style="112" customWidth="1"/>
    <col min="8953" max="8953" width="11.33203125" style="112" customWidth="1"/>
    <col min="8954" max="8954" width="16.83203125" style="112" customWidth="1"/>
    <col min="8955" max="8955" width="17.5" style="112" customWidth="1"/>
    <col min="8956" max="8956" width="21.1640625" style="112" customWidth="1"/>
    <col min="8957" max="8957" width="17.33203125" style="112" customWidth="1"/>
    <col min="8958" max="8959" width="14.33203125" style="112" customWidth="1"/>
    <col min="8960" max="8960" width="13.33203125" style="112" customWidth="1"/>
    <col min="8961" max="8961" width="13.83203125" style="112" customWidth="1"/>
    <col min="8962" max="8962" width="11.83203125" style="112" customWidth="1"/>
    <col min="8963" max="8963" width="11.6640625" style="112" customWidth="1"/>
    <col min="8964" max="8964" width="17" style="112" customWidth="1"/>
    <col min="8965" max="8965" width="9.1640625" style="112" customWidth="1"/>
    <col min="8966" max="8966" width="14" style="112" customWidth="1"/>
    <col min="8967" max="8967" width="11.33203125" style="112" customWidth="1"/>
    <col min="8968" max="8968" width="9.1640625" style="112" customWidth="1"/>
    <col min="8969" max="8969" width="12.6640625" style="112" customWidth="1"/>
    <col min="8970" max="8975" width="9.1640625" style="112" customWidth="1"/>
    <col min="8976" max="9195" width="9.1640625" style="112"/>
    <col min="9196" max="9196" width="40" style="112" customWidth="1"/>
    <col min="9197" max="9205" width="10.6640625" style="112" customWidth="1"/>
    <col min="9206" max="9206" width="14.5" style="112" customWidth="1"/>
    <col min="9207" max="9208" width="1.33203125" style="112" customWidth="1"/>
    <col min="9209" max="9209" width="11.33203125" style="112" customWidth="1"/>
    <col min="9210" max="9210" width="16.83203125" style="112" customWidth="1"/>
    <col min="9211" max="9211" width="17.5" style="112" customWidth="1"/>
    <col min="9212" max="9212" width="21.1640625" style="112" customWidth="1"/>
    <col min="9213" max="9213" width="17.33203125" style="112" customWidth="1"/>
    <col min="9214" max="9215" width="14.33203125" style="112" customWidth="1"/>
    <col min="9216" max="9216" width="13.33203125" style="112" customWidth="1"/>
    <col min="9217" max="9217" width="13.83203125" style="112" customWidth="1"/>
    <col min="9218" max="9218" width="11.83203125" style="112" customWidth="1"/>
    <col min="9219" max="9219" width="11.6640625" style="112" customWidth="1"/>
    <col min="9220" max="9220" width="17" style="112" customWidth="1"/>
    <col min="9221" max="9221" width="9.1640625" style="112" customWidth="1"/>
    <col min="9222" max="9222" width="14" style="112" customWidth="1"/>
    <col min="9223" max="9223" width="11.33203125" style="112" customWidth="1"/>
    <col min="9224" max="9224" width="9.1640625" style="112" customWidth="1"/>
    <col min="9225" max="9225" width="12.6640625" style="112" customWidth="1"/>
    <col min="9226" max="9231" width="9.1640625" style="112" customWidth="1"/>
    <col min="9232" max="9451" width="9.1640625" style="112"/>
    <col min="9452" max="9452" width="40" style="112" customWidth="1"/>
    <col min="9453" max="9461" width="10.6640625" style="112" customWidth="1"/>
    <col min="9462" max="9462" width="14.5" style="112" customWidth="1"/>
    <col min="9463" max="9464" width="1.33203125" style="112" customWidth="1"/>
    <col min="9465" max="9465" width="11.33203125" style="112" customWidth="1"/>
    <col min="9466" max="9466" width="16.83203125" style="112" customWidth="1"/>
    <col min="9467" max="9467" width="17.5" style="112" customWidth="1"/>
    <col min="9468" max="9468" width="21.1640625" style="112" customWidth="1"/>
    <col min="9469" max="9469" width="17.33203125" style="112" customWidth="1"/>
    <col min="9470" max="9471" width="14.33203125" style="112" customWidth="1"/>
    <col min="9472" max="9472" width="13.33203125" style="112" customWidth="1"/>
    <col min="9473" max="9473" width="13.83203125" style="112" customWidth="1"/>
    <col min="9474" max="9474" width="11.83203125" style="112" customWidth="1"/>
    <col min="9475" max="9475" width="11.6640625" style="112" customWidth="1"/>
    <col min="9476" max="9476" width="17" style="112" customWidth="1"/>
    <col min="9477" max="9477" width="9.1640625" style="112" customWidth="1"/>
    <col min="9478" max="9478" width="14" style="112" customWidth="1"/>
    <col min="9479" max="9479" width="11.33203125" style="112" customWidth="1"/>
    <col min="9480" max="9480" width="9.1640625" style="112" customWidth="1"/>
    <col min="9481" max="9481" width="12.6640625" style="112" customWidth="1"/>
    <col min="9482" max="9487" width="9.1640625" style="112" customWidth="1"/>
    <col min="9488" max="9707" width="9.1640625" style="112"/>
    <col min="9708" max="9708" width="40" style="112" customWidth="1"/>
    <col min="9709" max="9717" width="10.6640625" style="112" customWidth="1"/>
    <col min="9718" max="9718" width="14.5" style="112" customWidth="1"/>
    <col min="9719" max="9720" width="1.33203125" style="112" customWidth="1"/>
    <col min="9721" max="9721" width="11.33203125" style="112" customWidth="1"/>
    <col min="9722" max="9722" width="16.83203125" style="112" customWidth="1"/>
    <col min="9723" max="9723" width="17.5" style="112" customWidth="1"/>
    <col min="9724" max="9724" width="21.1640625" style="112" customWidth="1"/>
    <col min="9725" max="9725" width="17.33203125" style="112" customWidth="1"/>
    <col min="9726" max="9727" width="14.33203125" style="112" customWidth="1"/>
    <col min="9728" max="9728" width="13.33203125" style="112" customWidth="1"/>
    <col min="9729" max="9729" width="13.83203125" style="112" customWidth="1"/>
    <col min="9730" max="9730" width="11.83203125" style="112" customWidth="1"/>
    <col min="9731" max="9731" width="11.6640625" style="112" customWidth="1"/>
    <col min="9732" max="9732" width="17" style="112" customWidth="1"/>
    <col min="9733" max="9733" width="9.1640625" style="112" customWidth="1"/>
    <col min="9734" max="9734" width="14" style="112" customWidth="1"/>
    <col min="9735" max="9735" width="11.33203125" style="112" customWidth="1"/>
    <col min="9736" max="9736" width="9.1640625" style="112" customWidth="1"/>
    <col min="9737" max="9737" width="12.6640625" style="112" customWidth="1"/>
    <col min="9738" max="9743" width="9.1640625" style="112" customWidth="1"/>
    <col min="9744" max="9963" width="9.1640625" style="112"/>
    <col min="9964" max="9964" width="40" style="112" customWidth="1"/>
    <col min="9965" max="9973" width="10.6640625" style="112" customWidth="1"/>
    <col min="9974" max="9974" width="14.5" style="112" customWidth="1"/>
    <col min="9975" max="9976" width="1.33203125" style="112" customWidth="1"/>
    <col min="9977" max="9977" width="11.33203125" style="112" customWidth="1"/>
    <col min="9978" max="9978" width="16.83203125" style="112" customWidth="1"/>
    <col min="9979" max="9979" width="17.5" style="112" customWidth="1"/>
    <col min="9980" max="9980" width="21.1640625" style="112" customWidth="1"/>
    <col min="9981" max="9981" width="17.33203125" style="112" customWidth="1"/>
    <col min="9982" max="9983" width="14.33203125" style="112" customWidth="1"/>
    <col min="9984" max="9984" width="13.33203125" style="112" customWidth="1"/>
    <col min="9985" max="9985" width="13.83203125" style="112" customWidth="1"/>
    <col min="9986" max="9986" width="11.83203125" style="112" customWidth="1"/>
    <col min="9987" max="9987" width="11.6640625" style="112" customWidth="1"/>
    <col min="9988" max="9988" width="17" style="112" customWidth="1"/>
    <col min="9989" max="9989" width="9.1640625" style="112" customWidth="1"/>
    <col min="9990" max="9990" width="14" style="112" customWidth="1"/>
    <col min="9991" max="9991" width="11.33203125" style="112" customWidth="1"/>
    <col min="9992" max="9992" width="9.1640625" style="112" customWidth="1"/>
    <col min="9993" max="9993" width="12.6640625" style="112" customWidth="1"/>
    <col min="9994" max="9999" width="9.1640625" style="112" customWidth="1"/>
    <col min="10000" max="10219" width="9.1640625" style="112"/>
    <col min="10220" max="10220" width="40" style="112" customWidth="1"/>
    <col min="10221" max="10229" width="10.6640625" style="112" customWidth="1"/>
    <col min="10230" max="10230" width="14.5" style="112" customWidth="1"/>
    <col min="10231" max="10232" width="1.33203125" style="112" customWidth="1"/>
    <col min="10233" max="10233" width="11.33203125" style="112" customWidth="1"/>
    <col min="10234" max="10234" width="16.83203125" style="112" customWidth="1"/>
    <col min="10235" max="10235" width="17.5" style="112" customWidth="1"/>
    <col min="10236" max="10236" width="21.1640625" style="112" customWidth="1"/>
    <col min="10237" max="10237" width="17.33203125" style="112" customWidth="1"/>
    <col min="10238" max="10239" width="14.33203125" style="112" customWidth="1"/>
    <col min="10240" max="10240" width="13.33203125" style="112" customWidth="1"/>
    <col min="10241" max="10241" width="13.83203125" style="112" customWidth="1"/>
    <col min="10242" max="10242" width="11.83203125" style="112" customWidth="1"/>
    <col min="10243" max="10243" width="11.6640625" style="112" customWidth="1"/>
    <col min="10244" max="10244" width="17" style="112" customWidth="1"/>
    <col min="10245" max="10245" width="9.1640625" style="112" customWidth="1"/>
    <col min="10246" max="10246" width="14" style="112" customWidth="1"/>
    <col min="10247" max="10247" width="11.33203125" style="112" customWidth="1"/>
    <col min="10248" max="10248" width="9.1640625" style="112" customWidth="1"/>
    <col min="10249" max="10249" width="12.6640625" style="112" customWidth="1"/>
    <col min="10250" max="10255" width="9.1640625" style="112" customWidth="1"/>
    <col min="10256" max="10475" width="9.1640625" style="112"/>
    <col min="10476" max="10476" width="40" style="112" customWidth="1"/>
    <col min="10477" max="10485" width="10.6640625" style="112" customWidth="1"/>
    <col min="10486" max="10486" width="14.5" style="112" customWidth="1"/>
    <col min="10487" max="10488" width="1.33203125" style="112" customWidth="1"/>
    <col min="10489" max="10489" width="11.33203125" style="112" customWidth="1"/>
    <col min="10490" max="10490" width="16.83203125" style="112" customWidth="1"/>
    <col min="10491" max="10491" width="17.5" style="112" customWidth="1"/>
    <col min="10492" max="10492" width="21.1640625" style="112" customWidth="1"/>
    <col min="10493" max="10493" width="17.33203125" style="112" customWidth="1"/>
    <col min="10494" max="10495" width="14.33203125" style="112" customWidth="1"/>
    <col min="10496" max="10496" width="13.33203125" style="112" customWidth="1"/>
    <col min="10497" max="10497" width="13.83203125" style="112" customWidth="1"/>
    <col min="10498" max="10498" width="11.83203125" style="112" customWidth="1"/>
    <col min="10499" max="10499" width="11.6640625" style="112" customWidth="1"/>
    <col min="10500" max="10500" width="17" style="112" customWidth="1"/>
    <col min="10501" max="10501" width="9.1640625" style="112" customWidth="1"/>
    <col min="10502" max="10502" width="14" style="112" customWidth="1"/>
    <col min="10503" max="10503" width="11.33203125" style="112" customWidth="1"/>
    <col min="10504" max="10504" width="9.1640625" style="112" customWidth="1"/>
    <col min="10505" max="10505" width="12.6640625" style="112" customWidth="1"/>
    <col min="10506" max="10511" width="9.1640625" style="112" customWidth="1"/>
    <col min="10512" max="10731" width="9.1640625" style="112"/>
    <col min="10732" max="10732" width="40" style="112" customWidth="1"/>
    <col min="10733" max="10741" width="10.6640625" style="112" customWidth="1"/>
    <col min="10742" max="10742" width="14.5" style="112" customWidth="1"/>
    <col min="10743" max="10744" width="1.33203125" style="112" customWidth="1"/>
    <col min="10745" max="10745" width="11.33203125" style="112" customWidth="1"/>
    <col min="10746" max="10746" width="16.83203125" style="112" customWidth="1"/>
    <col min="10747" max="10747" width="17.5" style="112" customWidth="1"/>
    <col min="10748" max="10748" width="21.1640625" style="112" customWidth="1"/>
    <col min="10749" max="10749" width="17.33203125" style="112" customWidth="1"/>
    <col min="10750" max="10751" width="14.33203125" style="112" customWidth="1"/>
    <col min="10752" max="10752" width="13.33203125" style="112" customWidth="1"/>
    <col min="10753" max="10753" width="13.83203125" style="112" customWidth="1"/>
    <col min="10754" max="10754" width="11.83203125" style="112" customWidth="1"/>
    <col min="10755" max="10755" width="11.6640625" style="112" customWidth="1"/>
    <col min="10756" max="10756" width="17" style="112" customWidth="1"/>
    <col min="10757" max="10757" width="9.1640625" style="112" customWidth="1"/>
    <col min="10758" max="10758" width="14" style="112" customWidth="1"/>
    <col min="10759" max="10759" width="11.33203125" style="112" customWidth="1"/>
    <col min="10760" max="10760" width="9.1640625" style="112" customWidth="1"/>
    <col min="10761" max="10761" width="12.6640625" style="112" customWidth="1"/>
    <col min="10762" max="10767" width="9.1640625" style="112" customWidth="1"/>
    <col min="10768" max="10987" width="9.1640625" style="112"/>
    <col min="10988" max="10988" width="40" style="112" customWidth="1"/>
    <col min="10989" max="10997" width="10.6640625" style="112" customWidth="1"/>
    <col min="10998" max="10998" width="14.5" style="112" customWidth="1"/>
    <col min="10999" max="11000" width="1.33203125" style="112" customWidth="1"/>
    <col min="11001" max="11001" width="11.33203125" style="112" customWidth="1"/>
    <col min="11002" max="11002" width="16.83203125" style="112" customWidth="1"/>
    <col min="11003" max="11003" width="17.5" style="112" customWidth="1"/>
    <col min="11004" max="11004" width="21.1640625" style="112" customWidth="1"/>
    <col min="11005" max="11005" width="17.33203125" style="112" customWidth="1"/>
    <col min="11006" max="11007" width="14.33203125" style="112" customWidth="1"/>
    <col min="11008" max="11008" width="13.33203125" style="112" customWidth="1"/>
    <col min="11009" max="11009" width="13.83203125" style="112" customWidth="1"/>
    <col min="11010" max="11010" width="11.83203125" style="112" customWidth="1"/>
    <col min="11011" max="11011" width="11.6640625" style="112" customWidth="1"/>
    <col min="11012" max="11012" width="17" style="112" customWidth="1"/>
    <col min="11013" max="11013" width="9.1640625" style="112" customWidth="1"/>
    <col min="11014" max="11014" width="14" style="112" customWidth="1"/>
    <col min="11015" max="11015" width="11.33203125" style="112" customWidth="1"/>
    <col min="11016" max="11016" width="9.1640625" style="112" customWidth="1"/>
    <col min="11017" max="11017" width="12.6640625" style="112" customWidth="1"/>
    <col min="11018" max="11023" width="9.1640625" style="112" customWidth="1"/>
    <col min="11024" max="11243" width="9.1640625" style="112"/>
    <col min="11244" max="11244" width="40" style="112" customWidth="1"/>
    <col min="11245" max="11253" width="10.6640625" style="112" customWidth="1"/>
    <col min="11254" max="11254" width="14.5" style="112" customWidth="1"/>
    <col min="11255" max="11256" width="1.33203125" style="112" customWidth="1"/>
    <col min="11257" max="11257" width="11.33203125" style="112" customWidth="1"/>
    <col min="11258" max="11258" width="16.83203125" style="112" customWidth="1"/>
    <col min="11259" max="11259" width="17.5" style="112" customWidth="1"/>
    <col min="11260" max="11260" width="21.1640625" style="112" customWidth="1"/>
    <col min="11261" max="11261" width="17.33203125" style="112" customWidth="1"/>
    <col min="11262" max="11263" width="14.33203125" style="112" customWidth="1"/>
    <col min="11264" max="11264" width="13.33203125" style="112" customWidth="1"/>
    <col min="11265" max="11265" width="13.83203125" style="112" customWidth="1"/>
    <col min="11266" max="11266" width="11.83203125" style="112" customWidth="1"/>
    <col min="11267" max="11267" width="11.6640625" style="112" customWidth="1"/>
    <col min="11268" max="11268" width="17" style="112" customWidth="1"/>
    <col min="11269" max="11269" width="9.1640625" style="112" customWidth="1"/>
    <col min="11270" max="11270" width="14" style="112" customWidth="1"/>
    <col min="11271" max="11271" width="11.33203125" style="112" customWidth="1"/>
    <col min="11272" max="11272" width="9.1640625" style="112" customWidth="1"/>
    <col min="11273" max="11273" width="12.6640625" style="112" customWidth="1"/>
    <col min="11274" max="11279" width="9.1640625" style="112" customWidth="1"/>
    <col min="11280" max="11499" width="9.1640625" style="112"/>
    <col min="11500" max="11500" width="40" style="112" customWidth="1"/>
    <col min="11501" max="11509" width="10.6640625" style="112" customWidth="1"/>
    <col min="11510" max="11510" width="14.5" style="112" customWidth="1"/>
    <col min="11511" max="11512" width="1.33203125" style="112" customWidth="1"/>
    <col min="11513" max="11513" width="11.33203125" style="112" customWidth="1"/>
    <col min="11514" max="11514" width="16.83203125" style="112" customWidth="1"/>
    <col min="11515" max="11515" width="17.5" style="112" customWidth="1"/>
    <col min="11516" max="11516" width="21.1640625" style="112" customWidth="1"/>
    <col min="11517" max="11517" width="17.33203125" style="112" customWidth="1"/>
    <col min="11518" max="11519" width="14.33203125" style="112" customWidth="1"/>
    <col min="11520" max="11520" width="13.33203125" style="112" customWidth="1"/>
    <col min="11521" max="11521" width="13.83203125" style="112" customWidth="1"/>
    <col min="11522" max="11522" width="11.83203125" style="112" customWidth="1"/>
    <col min="11523" max="11523" width="11.6640625" style="112" customWidth="1"/>
    <col min="11524" max="11524" width="17" style="112" customWidth="1"/>
    <col min="11525" max="11525" width="9.1640625" style="112" customWidth="1"/>
    <col min="11526" max="11526" width="14" style="112" customWidth="1"/>
    <col min="11527" max="11527" width="11.33203125" style="112" customWidth="1"/>
    <col min="11528" max="11528" width="9.1640625" style="112" customWidth="1"/>
    <col min="11529" max="11529" width="12.6640625" style="112" customWidth="1"/>
    <col min="11530" max="11535" width="9.1640625" style="112" customWidth="1"/>
    <col min="11536" max="11755" width="9.1640625" style="112"/>
    <col min="11756" max="11756" width="40" style="112" customWidth="1"/>
    <col min="11757" max="11765" width="10.6640625" style="112" customWidth="1"/>
    <col min="11766" max="11766" width="14.5" style="112" customWidth="1"/>
    <col min="11767" max="11768" width="1.33203125" style="112" customWidth="1"/>
    <col min="11769" max="11769" width="11.33203125" style="112" customWidth="1"/>
    <col min="11770" max="11770" width="16.83203125" style="112" customWidth="1"/>
    <col min="11771" max="11771" width="17.5" style="112" customWidth="1"/>
    <col min="11772" max="11772" width="21.1640625" style="112" customWidth="1"/>
    <col min="11773" max="11773" width="17.33203125" style="112" customWidth="1"/>
    <col min="11774" max="11775" width="14.33203125" style="112" customWidth="1"/>
    <col min="11776" max="11776" width="13.33203125" style="112" customWidth="1"/>
    <col min="11777" max="11777" width="13.83203125" style="112" customWidth="1"/>
    <col min="11778" max="11778" width="11.83203125" style="112" customWidth="1"/>
    <col min="11779" max="11779" width="11.6640625" style="112" customWidth="1"/>
    <col min="11780" max="11780" width="17" style="112" customWidth="1"/>
    <col min="11781" max="11781" width="9.1640625" style="112" customWidth="1"/>
    <col min="11782" max="11782" width="14" style="112" customWidth="1"/>
    <col min="11783" max="11783" width="11.33203125" style="112" customWidth="1"/>
    <col min="11784" max="11784" width="9.1640625" style="112" customWidth="1"/>
    <col min="11785" max="11785" width="12.6640625" style="112" customWidth="1"/>
    <col min="11786" max="11791" width="9.1640625" style="112" customWidth="1"/>
    <col min="11792" max="12011" width="9.1640625" style="112"/>
    <col min="12012" max="12012" width="40" style="112" customWidth="1"/>
    <col min="12013" max="12021" width="10.6640625" style="112" customWidth="1"/>
    <col min="12022" max="12022" width="14.5" style="112" customWidth="1"/>
    <col min="12023" max="12024" width="1.33203125" style="112" customWidth="1"/>
    <col min="12025" max="12025" width="11.33203125" style="112" customWidth="1"/>
    <col min="12026" max="12026" width="16.83203125" style="112" customWidth="1"/>
    <col min="12027" max="12027" width="17.5" style="112" customWidth="1"/>
    <col min="12028" max="12028" width="21.1640625" style="112" customWidth="1"/>
    <col min="12029" max="12029" width="17.33203125" style="112" customWidth="1"/>
    <col min="12030" max="12031" width="14.33203125" style="112" customWidth="1"/>
    <col min="12032" max="12032" width="13.33203125" style="112" customWidth="1"/>
    <col min="12033" max="12033" width="13.83203125" style="112" customWidth="1"/>
    <col min="12034" max="12034" width="11.83203125" style="112" customWidth="1"/>
    <col min="12035" max="12035" width="11.6640625" style="112" customWidth="1"/>
    <col min="12036" max="12036" width="17" style="112" customWidth="1"/>
    <col min="12037" max="12037" width="9.1640625" style="112" customWidth="1"/>
    <col min="12038" max="12038" width="14" style="112" customWidth="1"/>
    <col min="12039" max="12039" width="11.33203125" style="112" customWidth="1"/>
    <col min="12040" max="12040" width="9.1640625" style="112" customWidth="1"/>
    <col min="12041" max="12041" width="12.6640625" style="112" customWidth="1"/>
    <col min="12042" max="12047" width="9.1640625" style="112" customWidth="1"/>
    <col min="12048" max="12267" width="9.1640625" style="112"/>
    <col min="12268" max="12268" width="40" style="112" customWidth="1"/>
    <col min="12269" max="12277" width="10.6640625" style="112" customWidth="1"/>
    <col min="12278" max="12278" width="14.5" style="112" customWidth="1"/>
    <col min="12279" max="12280" width="1.33203125" style="112" customWidth="1"/>
    <col min="12281" max="12281" width="11.33203125" style="112" customWidth="1"/>
    <col min="12282" max="12282" width="16.83203125" style="112" customWidth="1"/>
    <col min="12283" max="12283" width="17.5" style="112" customWidth="1"/>
    <col min="12284" max="12284" width="21.1640625" style="112" customWidth="1"/>
    <col min="12285" max="12285" width="17.33203125" style="112" customWidth="1"/>
    <col min="12286" max="12287" width="14.33203125" style="112" customWidth="1"/>
    <col min="12288" max="12288" width="13.33203125" style="112" customWidth="1"/>
    <col min="12289" max="12289" width="13.83203125" style="112" customWidth="1"/>
    <col min="12290" max="12290" width="11.83203125" style="112" customWidth="1"/>
    <col min="12291" max="12291" width="11.6640625" style="112" customWidth="1"/>
    <col min="12292" max="12292" width="17" style="112" customWidth="1"/>
    <col min="12293" max="12293" width="9.1640625" style="112" customWidth="1"/>
    <col min="12294" max="12294" width="14" style="112" customWidth="1"/>
    <col min="12295" max="12295" width="11.33203125" style="112" customWidth="1"/>
    <col min="12296" max="12296" width="9.1640625" style="112" customWidth="1"/>
    <col min="12297" max="12297" width="12.6640625" style="112" customWidth="1"/>
    <col min="12298" max="12303" width="9.1640625" style="112" customWidth="1"/>
    <col min="12304" max="12523" width="9.1640625" style="112"/>
    <col min="12524" max="12524" width="40" style="112" customWidth="1"/>
    <col min="12525" max="12533" width="10.6640625" style="112" customWidth="1"/>
    <col min="12534" max="12534" width="14.5" style="112" customWidth="1"/>
    <col min="12535" max="12536" width="1.33203125" style="112" customWidth="1"/>
    <col min="12537" max="12537" width="11.33203125" style="112" customWidth="1"/>
    <col min="12538" max="12538" width="16.83203125" style="112" customWidth="1"/>
    <col min="12539" max="12539" width="17.5" style="112" customWidth="1"/>
    <col min="12540" max="12540" width="21.1640625" style="112" customWidth="1"/>
    <col min="12541" max="12541" width="17.33203125" style="112" customWidth="1"/>
    <col min="12542" max="12543" width="14.33203125" style="112" customWidth="1"/>
    <col min="12544" max="12544" width="13.33203125" style="112" customWidth="1"/>
    <col min="12545" max="12545" width="13.83203125" style="112" customWidth="1"/>
    <col min="12546" max="12546" width="11.83203125" style="112" customWidth="1"/>
    <col min="12547" max="12547" width="11.6640625" style="112" customWidth="1"/>
    <col min="12548" max="12548" width="17" style="112" customWidth="1"/>
    <col min="12549" max="12549" width="9.1640625" style="112" customWidth="1"/>
    <col min="12550" max="12550" width="14" style="112" customWidth="1"/>
    <col min="12551" max="12551" width="11.33203125" style="112" customWidth="1"/>
    <col min="12552" max="12552" width="9.1640625" style="112" customWidth="1"/>
    <col min="12553" max="12553" width="12.6640625" style="112" customWidth="1"/>
    <col min="12554" max="12559" width="9.1640625" style="112" customWidth="1"/>
    <col min="12560" max="12779" width="9.1640625" style="112"/>
    <col min="12780" max="12780" width="40" style="112" customWidth="1"/>
    <col min="12781" max="12789" width="10.6640625" style="112" customWidth="1"/>
    <col min="12790" max="12790" width="14.5" style="112" customWidth="1"/>
    <col min="12791" max="12792" width="1.33203125" style="112" customWidth="1"/>
    <col min="12793" max="12793" width="11.33203125" style="112" customWidth="1"/>
    <col min="12794" max="12794" width="16.83203125" style="112" customWidth="1"/>
    <col min="12795" max="12795" width="17.5" style="112" customWidth="1"/>
    <col min="12796" max="12796" width="21.1640625" style="112" customWidth="1"/>
    <col min="12797" max="12797" width="17.33203125" style="112" customWidth="1"/>
    <col min="12798" max="12799" width="14.33203125" style="112" customWidth="1"/>
    <col min="12800" max="12800" width="13.33203125" style="112" customWidth="1"/>
    <col min="12801" max="12801" width="13.83203125" style="112" customWidth="1"/>
    <col min="12802" max="12802" width="11.83203125" style="112" customWidth="1"/>
    <col min="12803" max="12803" width="11.6640625" style="112" customWidth="1"/>
    <col min="12804" max="12804" width="17" style="112" customWidth="1"/>
    <col min="12805" max="12805" width="9.1640625" style="112" customWidth="1"/>
    <col min="12806" max="12806" width="14" style="112" customWidth="1"/>
    <col min="12807" max="12807" width="11.33203125" style="112" customWidth="1"/>
    <col min="12808" max="12808" width="9.1640625" style="112" customWidth="1"/>
    <col min="12809" max="12809" width="12.6640625" style="112" customWidth="1"/>
    <col min="12810" max="12815" width="9.1640625" style="112" customWidth="1"/>
    <col min="12816" max="13035" width="9.1640625" style="112"/>
    <col min="13036" max="13036" width="40" style="112" customWidth="1"/>
    <col min="13037" max="13045" width="10.6640625" style="112" customWidth="1"/>
    <col min="13046" max="13046" width="14.5" style="112" customWidth="1"/>
    <col min="13047" max="13048" width="1.33203125" style="112" customWidth="1"/>
    <col min="13049" max="13049" width="11.33203125" style="112" customWidth="1"/>
    <col min="13050" max="13050" width="16.83203125" style="112" customWidth="1"/>
    <col min="13051" max="13051" width="17.5" style="112" customWidth="1"/>
    <col min="13052" max="13052" width="21.1640625" style="112" customWidth="1"/>
    <col min="13053" max="13053" width="17.33203125" style="112" customWidth="1"/>
    <col min="13054" max="13055" width="14.33203125" style="112" customWidth="1"/>
    <col min="13056" max="13056" width="13.33203125" style="112" customWidth="1"/>
    <col min="13057" max="13057" width="13.83203125" style="112" customWidth="1"/>
    <col min="13058" max="13058" width="11.83203125" style="112" customWidth="1"/>
    <col min="13059" max="13059" width="11.6640625" style="112" customWidth="1"/>
    <col min="13060" max="13060" width="17" style="112" customWidth="1"/>
    <col min="13061" max="13061" width="9.1640625" style="112" customWidth="1"/>
    <col min="13062" max="13062" width="14" style="112" customWidth="1"/>
    <col min="13063" max="13063" width="11.33203125" style="112" customWidth="1"/>
    <col min="13064" max="13064" width="9.1640625" style="112" customWidth="1"/>
    <col min="13065" max="13065" width="12.6640625" style="112" customWidth="1"/>
    <col min="13066" max="13071" width="9.1640625" style="112" customWidth="1"/>
    <col min="13072" max="13291" width="9.1640625" style="112"/>
    <col min="13292" max="13292" width="40" style="112" customWidth="1"/>
    <col min="13293" max="13301" width="10.6640625" style="112" customWidth="1"/>
    <col min="13302" max="13302" width="14.5" style="112" customWidth="1"/>
    <col min="13303" max="13304" width="1.33203125" style="112" customWidth="1"/>
    <col min="13305" max="13305" width="11.33203125" style="112" customWidth="1"/>
    <col min="13306" max="13306" width="16.83203125" style="112" customWidth="1"/>
    <col min="13307" max="13307" width="17.5" style="112" customWidth="1"/>
    <col min="13308" max="13308" width="21.1640625" style="112" customWidth="1"/>
    <col min="13309" max="13309" width="17.33203125" style="112" customWidth="1"/>
    <col min="13310" max="13311" width="14.33203125" style="112" customWidth="1"/>
    <col min="13312" max="13312" width="13.33203125" style="112" customWidth="1"/>
    <col min="13313" max="13313" width="13.83203125" style="112" customWidth="1"/>
    <col min="13314" max="13314" width="11.83203125" style="112" customWidth="1"/>
    <col min="13315" max="13315" width="11.6640625" style="112" customWidth="1"/>
    <col min="13316" max="13316" width="17" style="112" customWidth="1"/>
    <col min="13317" max="13317" width="9.1640625" style="112" customWidth="1"/>
    <col min="13318" max="13318" width="14" style="112" customWidth="1"/>
    <col min="13319" max="13319" width="11.33203125" style="112" customWidth="1"/>
    <col min="13320" max="13320" width="9.1640625" style="112" customWidth="1"/>
    <col min="13321" max="13321" width="12.6640625" style="112" customWidth="1"/>
    <col min="13322" max="13327" width="9.1640625" style="112" customWidth="1"/>
    <col min="13328" max="13547" width="9.1640625" style="112"/>
    <col min="13548" max="13548" width="40" style="112" customWidth="1"/>
    <col min="13549" max="13557" width="10.6640625" style="112" customWidth="1"/>
    <col min="13558" max="13558" width="14.5" style="112" customWidth="1"/>
    <col min="13559" max="13560" width="1.33203125" style="112" customWidth="1"/>
    <col min="13561" max="13561" width="11.33203125" style="112" customWidth="1"/>
    <col min="13562" max="13562" width="16.83203125" style="112" customWidth="1"/>
    <col min="13563" max="13563" width="17.5" style="112" customWidth="1"/>
    <col min="13564" max="13564" width="21.1640625" style="112" customWidth="1"/>
    <col min="13565" max="13565" width="17.33203125" style="112" customWidth="1"/>
    <col min="13566" max="13567" width="14.33203125" style="112" customWidth="1"/>
    <col min="13568" max="13568" width="13.33203125" style="112" customWidth="1"/>
    <col min="13569" max="13569" width="13.83203125" style="112" customWidth="1"/>
    <col min="13570" max="13570" width="11.83203125" style="112" customWidth="1"/>
    <col min="13571" max="13571" width="11.6640625" style="112" customWidth="1"/>
    <col min="13572" max="13572" width="17" style="112" customWidth="1"/>
    <col min="13573" max="13573" width="9.1640625" style="112" customWidth="1"/>
    <col min="13574" max="13574" width="14" style="112" customWidth="1"/>
    <col min="13575" max="13575" width="11.33203125" style="112" customWidth="1"/>
    <col min="13576" max="13576" width="9.1640625" style="112" customWidth="1"/>
    <col min="13577" max="13577" width="12.6640625" style="112" customWidth="1"/>
    <col min="13578" max="13583" width="9.1640625" style="112" customWidth="1"/>
    <col min="13584" max="13803" width="9.1640625" style="112"/>
    <col min="13804" max="13804" width="40" style="112" customWidth="1"/>
    <col min="13805" max="13813" width="10.6640625" style="112" customWidth="1"/>
    <col min="13814" max="13814" width="14.5" style="112" customWidth="1"/>
    <col min="13815" max="13816" width="1.33203125" style="112" customWidth="1"/>
    <col min="13817" max="13817" width="11.33203125" style="112" customWidth="1"/>
    <col min="13818" max="13818" width="16.83203125" style="112" customWidth="1"/>
    <col min="13819" max="13819" width="17.5" style="112" customWidth="1"/>
    <col min="13820" max="13820" width="21.1640625" style="112" customWidth="1"/>
    <col min="13821" max="13821" width="17.33203125" style="112" customWidth="1"/>
    <col min="13822" max="13823" width="14.33203125" style="112" customWidth="1"/>
    <col min="13824" max="13824" width="13.33203125" style="112" customWidth="1"/>
    <col min="13825" max="13825" width="13.83203125" style="112" customWidth="1"/>
    <col min="13826" max="13826" width="11.83203125" style="112" customWidth="1"/>
    <col min="13827" max="13827" width="11.6640625" style="112" customWidth="1"/>
    <col min="13828" max="13828" width="17" style="112" customWidth="1"/>
    <col min="13829" max="13829" width="9.1640625" style="112" customWidth="1"/>
    <col min="13830" max="13830" width="14" style="112" customWidth="1"/>
    <col min="13831" max="13831" width="11.33203125" style="112" customWidth="1"/>
    <col min="13832" max="13832" width="9.1640625" style="112" customWidth="1"/>
    <col min="13833" max="13833" width="12.6640625" style="112" customWidth="1"/>
    <col min="13834" max="13839" width="9.1640625" style="112" customWidth="1"/>
    <col min="13840" max="14059" width="9.1640625" style="112"/>
    <col min="14060" max="14060" width="40" style="112" customWidth="1"/>
    <col min="14061" max="14069" width="10.6640625" style="112" customWidth="1"/>
    <col min="14070" max="14070" width="14.5" style="112" customWidth="1"/>
    <col min="14071" max="14072" width="1.33203125" style="112" customWidth="1"/>
    <col min="14073" max="14073" width="11.33203125" style="112" customWidth="1"/>
    <col min="14074" max="14074" width="16.83203125" style="112" customWidth="1"/>
    <col min="14075" max="14075" width="17.5" style="112" customWidth="1"/>
    <col min="14076" max="14076" width="21.1640625" style="112" customWidth="1"/>
    <col min="14077" max="14077" width="17.33203125" style="112" customWidth="1"/>
    <col min="14078" max="14079" width="14.33203125" style="112" customWidth="1"/>
    <col min="14080" max="14080" width="13.33203125" style="112" customWidth="1"/>
    <col min="14081" max="14081" width="13.83203125" style="112" customWidth="1"/>
    <col min="14082" max="14082" width="11.83203125" style="112" customWidth="1"/>
    <col min="14083" max="14083" width="11.6640625" style="112" customWidth="1"/>
    <col min="14084" max="14084" width="17" style="112" customWidth="1"/>
    <col min="14085" max="14085" width="9.1640625" style="112" customWidth="1"/>
    <col min="14086" max="14086" width="14" style="112" customWidth="1"/>
    <col min="14087" max="14087" width="11.33203125" style="112" customWidth="1"/>
    <col min="14088" max="14088" width="9.1640625" style="112" customWidth="1"/>
    <col min="14089" max="14089" width="12.6640625" style="112" customWidth="1"/>
    <col min="14090" max="14095" width="9.1640625" style="112" customWidth="1"/>
    <col min="14096" max="14315" width="9.1640625" style="112"/>
    <col min="14316" max="14316" width="40" style="112" customWidth="1"/>
    <col min="14317" max="14325" width="10.6640625" style="112" customWidth="1"/>
    <col min="14326" max="14326" width="14.5" style="112" customWidth="1"/>
    <col min="14327" max="14328" width="1.33203125" style="112" customWidth="1"/>
    <col min="14329" max="14329" width="11.33203125" style="112" customWidth="1"/>
    <col min="14330" max="14330" width="16.83203125" style="112" customWidth="1"/>
    <col min="14331" max="14331" width="17.5" style="112" customWidth="1"/>
    <col min="14332" max="14332" width="21.1640625" style="112" customWidth="1"/>
    <col min="14333" max="14333" width="17.33203125" style="112" customWidth="1"/>
    <col min="14334" max="14335" width="14.33203125" style="112" customWidth="1"/>
    <col min="14336" max="14336" width="13.33203125" style="112" customWidth="1"/>
    <col min="14337" max="14337" width="13.83203125" style="112" customWidth="1"/>
    <col min="14338" max="14338" width="11.83203125" style="112" customWidth="1"/>
    <col min="14339" max="14339" width="11.6640625" style="112" customWidth="1"/>
    <col min="14340" max="14340" width="17" style="112" customWidth="1"/>
    <col min="14341" max="14341" width="9.1640625" style="112" customWidth="1"/>
    <col min="14342" max="14342" width="14" style="112" customWidth="1"/>
    <col min="14343" max="14343" width="11.33203125" style="112" customWidth="1"/>
    <col min="14344" max="14344" width="9.1640625" style="112" customWidth="1"/>
    <col min="14345" max="14345" width="12.6640625" style="112" customWidth="1"/>
    <col min="14346" max="14351" width="9.1640625" style="112" customWidth="1"/>
    <col min="14352" max="14571" width="9.1640625" style="112"/>
    <col min="14572" max="14572" width="40" style="112" customWidth="1"/>
    <col min="14573" max="14581" width="10.6640625" style="112" customWidth="1"/>
    <col min="14582" max="14582" width="14.5" style="112" customWidth="1"/>
    <col min="14583" max="14584" width="1.33203125" style="112" customWidth="1"/>
    <col min="14585" max="14585" width="11.33203125" style="112" customWidth="1"/>
    <col min="14586" max="14586" width="16.83203125" style="112" customWidth="1"/>
    <col min="14587" max="14587" width="17.5" style="112" customWidth="1"/>
    <col min="14588" max="14588" width="21.1640625" style="112" customWidth="1"/>
    <col min="14589" max="14589" width="17.33203125" style="112" customWidth="1"/>
    <col min="14590" max="14591" width="14.33203125" style="112" customWidth="1"/>
    <col min="14592" max="14592" width="13.33203125" style="112" customWidth="1"/>
    <col min="14593" max="14593" width="13.83203125" style="112" customWidth="1"/>
    <col min="14594" max="14594" width="11.83203125" style="112" customWidth="1"/>
    <col min="14595" max="14595" width="11.6640625" style="112" customWidth="1"/>
    <col min="14596" max="14596" width="17" style="112" customWidth="1"/>
    <col min="14597" max="14597" width="9.1640625" style="112" customWidth="1"/>
    <col min="14598" max="14598" width="14" style="112" customWidth="1"/>
    <col min="14599" max="14599" width="11.33203125" style="112" customWidth="1"/>
    <col min="14600" max="14600" width="9.1640625" style="112" customWidth="1"/>
    <col min="14601" max="14601" width="12.6640625" style="112" customWidth="1"/>
    <col min="14602" max="14607" width="9.1640625" style="112" customWidth="1"/>
    <col min="14608" max="14827" width="9.1640625" style="112"/>
    <col min="14828" max="14828" width="40" style="112" customWidth="1"/>
    <col min="14829" max="14837" width="10.6640625" style="112" customWidth="1"/>
    <col min="14838" max="14838" width="14.5" style="112" customWidth="1"/>
    <col min="14839" max="14840" width="1.33203125" style="112" customWidth="1"/>
    <col min="14841" max="14841" width="11.33203125" style="112" customWidth="1"/>
    <col min="14842" max="14842" width="16.83203125" style="112" customWidth="1"/>
    <col min="14843" max="14843" width="17.5" style="112" customWidth="1"/>
    <col min="14844" max="14844" width="21.1640625" style="112" customWidth="1"/>
    <col min="14845" max="14845" width="17.33203125" style="112" customWidth="1"/>
    <col min="14846" max="14847" width="14.33203125" style="112" customWidth="1"/>
    <col min="14848" max="14848" width="13.33203125" style="112" customWidth="1"/>
    <col min="14849" max="14849" width="13.83203125" style="112" customWidth="1"/>
    <col min="14850" max="14850" width="11.83203125" style="112" customWidth="1"/>
    <col min="14851" max="14851" width="11.6640625" style="112" customWidth="1"/>
    <col min="14852" max="14852" width="17" style="112" customWidth="1"/>
    <col min="14853" max="14853" width="9.1640625" style="112" customWidth="1"/>
    <col min="14854" max="14854" width="14" style="112" customWidth="1"/>
    <col min="14855" max="14855" width="11.33203125" style="112" customWidth="1"/>
    <col min="14856" max="14856" width="9.1640625" style="112" customWidth="1"/>
    <col min="14857" max="14857" width="12.6640625" style="112" customWidth="1"/>
    <col min="14858" max="14863" width="9.1640625" style="112" customWidth="1"/>
    <col min="14864" max="15083" width="9.1640625" style="112"/>
    <col min="15084" max="15084" width="40" style="112" customWidth="1"/>
    <col min="15085" max="15093" width="10.6640625" style="112" customWidth="1"/>
    <col min="15094" max="15094" width="14.5" style="112" customWidth="1"/>
    <col min="15095" max="15096" width="1.33203125" style="112" customWidth="1"/>
    <col min="15097" max="15097" width="11.33203125" style="112" customWidth="1"/>
    <col min="15098" max="15098" width="16.83203125" style="112" customWidth="1"/>
    <col min="15099" max="15099" width="17.5" style="112" customWidth="1"/>
    <col min="15100" max="15100" width="21.1640625" style="112" customWidth="1"/>
    <col min="15101" max="15101" width="17.33203125" style="112" customWidth="1"/>
    <col min="15102" max="15103" width="14.33203125" style="112" customWidth="1"/>
    <col min="15104" max="15104" width="13.33203125" style="112" customWidth="1"/>
    <col min="15105" max="15105" width="13.83203125" style="112" customWidth="1"/>
    <col min="15106" max="15106" width="11.83203125" style="112" customWidth="1"/>
    <col min="15107" max="15107" width="11.6640625" style="112" customWidth="1"/>
    <col min="15108" max="15108" width="17" style="112" customWidth="1"/>
    <col min="15109" max="15109" width="9.1640625" style="112" customWidth="1"/>
    <col min="15110" max="15110" width="14" style="112" customWidth="1"/>
    <col min="15111" max="15111" width="11.33203125" style="112" customWidth="1"/>
    <col min="15112" max="15112" width="9.1640625" style="112" customWidth="1"/>
    <col min="15113" max="15113" width="12.6640625" style="112" customWidth="1"/>
    <col min="15114" max="15119" width="9.1640625" style="112" customWidth="1"/>
    <col min="15120" max="15339" width="9.1640625" style="112"/>
    <col min="15340" max="15340" width="40" style="112" customWidth="1"/>
    <col min="15341" max="15349" width="10.6640625" style="112" customWidth="1"/>
    <col min="15350" max="15350" width="14.5" style="112" customWidth="1"/>
    <col min="15351" max="15352" width="1.33203125" style="112" customWidth="1"/>
    <col min="15353" max="15353" width="11.33203125" style="112" customWidth="1"/>
    <col min="15354" max="15354" width="16.83203125" style="112" customWidth="1"/>
    <col min="15355" max="15355" width="17.5" style="112" customWidth="1"/>
    <col min="15356" max="15356" width="21.1640625" style="112" customWidth="1"/>
    <col min="15357" max="15357" width="17.33203125" style="112" customWidth="1"/>
    <col min="15358" max="15359" width="14.33203125" style="112" customWidth="1"/>
    <col min="15360" max="15360" width="13.33203125" style="112" customWidth="1"/>
    <col min="15361" max="15361" width="13.83203125" style="112" customWidth="1"/>
    <col min="15362" max="15362" width="11.83203125" style="112" customWidth="1"/>
    <col min="15363" max="15363" width="11.6640625" style="112" customWidth="1"/>
    <col min="15364" max="15364" width="17" style="112" customWidth="1"/>
    <col min="15365" max="15365" width="9.1640625" style="112" customWidth="1"/>
    <col min="15366" max="15366" width="14" style="112" customWidth="1"/>
    <col min="15367" max="15367" width="11.33203125" style="112" customWidth="1"/>
    <col min="15368" max="15368" width="9.1640625" style="112" customWidth="1"/>
    <col min="15369" max="15369" width="12.6640625" style="112" customWidth="1"/>
    <col min="15370" max="15375" width="9.1640625" style="112" customWidth="1"/>
    <col min="15376" max="15595" width="9.1640625" style="112"/>
    <col min="15596" max="15596" width="40" style="112" customWidth="1"/>
    <col min="15597" max="15605" width="10.6640625" style="112" customWidth="1"/>
    <col min="15606" max="15606" width="14.5" style="112" customWidth="1"/>
    <col min="15607" max="15608" width="1.33203125" style="112" customWidth="1"/>
    <col min="15609" max="15609" width="11.33203125" style="112" customWidth="1"/>
    <col min="15610" max="15610" width="16.83203125" style="112" customWidth="1"/>
    <col min="15611" max="15611" width="17.5" style="112" customWidth="1"/>
    <col min="15612" max="15612" width="21.1640625" style="112" customWidth="1"/>
    <col min="15613" max="15613" width="17.33203125" style="112" customWidth="1"/>
    <col min="15614" max="15615" width="14.33203125" style="112" customWidth="1"/>
    <col min="15616" max="15616" width="13.33203125" style="112" customWidth="1"/>
    <col min="15617" max="15617" width="13.83203125" style="112" customWidth="1"/>
    <col min="15618" max="15618" width="11.83203125" style="112" customWidth="1"/>
    <col min="15619" max="15619" width="11.6640625" style="112" customWidth="1"/>
    <col min="15620" max="15620" width="17" style="112" customWidth="1"/>
    <col min="15621" max="15621" width="9.1640625" style="112" customWidth="1"/>
    <col min="15622" max="15622" width="14" style="112" customWidth="1"/>
    <col min="15623" max="15623" width="11.33203125" style="112" customWidth="1"/>
    <col min="15624" max="15624" width="9.1640625" style="112" customWidth="1"/>
    <col min="15625" max="15625" width="12.6640625" style="112" customWidth="1"/>
    <col min="15626" max="15631" width="9.1640625" style="112" customWidth="1"/>
    <col min="15632" max="15851" width="9.1640625" style="112"/>
    <col min="15852" max="15852" width="40" style="112" customWidth="1"/>
    <col min="15853" max="15861" width="10.6640625" style="112" customWidth="1"/>
    <col min="15862" max="15862" width="14.5" style="112" customWidth="1"/>
    <col min="15863" max="15864" width="1.33203125" style="112" customWidth="1"/>
    <col min="15865" max="15865" width="11.33203125" style="112" customWidth="1"/>
    <col min="15866" max="15866" width="16.83203125" style="112" customWidth="1"/>
    <col min="15867" max="15867" width="17.5" style="112" customWidth="1"/>
    <col min="15868" max="15868" width="21.1640625" style="112" customWidth="1"/>
    <col min="15869" max="15869" width="17.33203125" style="112" customWidth="1"/>
    <col min="15870" max="15871" width="14.33203125" style="112" customWidth="1"/>
    <col min="15872" max="15872" width="13.33203125" style="112" customWidth="1"/>
    <col min="15873" max="15873" width="13.83203125" style="112" customWidth="1"/>
    <col min="15874" max="15874" width="11.83203125" style="112" customWidth="1"/>
    <col min="15875" max="15875" width="11.6640625" style="112" customWidth="1"/>
    <col min="15876" max="15876" width="17" style="112" customWidth="1"/>
    <col min="15877" max="15877" width="9.1640625" style="112" customWidth="1"/>
    <col min="15878" max="15878" width="14" style="112" customWidth="1"/>
    <col min="15879" max="15879" width="11.33203125" style="112" customWidth="1"/>
    <col min="15880" max="15880" width="9.1640625" style="112" customWidth="1"/>
    <col min="15881" max="15881" width="12.6640625" style="112" customWidth="1"/>
    <col min="15882" max="15887" width="9.1640625" style="112" customWidth="1"/>
    <col min="15888" max="16107" width="9.1640625" style="112"/>
    <col min="16108" max="16108" width="40" style="112" customWidth="1"/>
    <col min="16109" max="16117" width="10.6640625" style="112" customWidth="1"/>
    <col min="16118" max="16118" width="14.5" style="112" customWidth="1"/>
    <col min="16119" max="16120" width="1.33203125" style="112" customWidth="1"/>
    <col min="16121" max="16121" width="11.33203125" style="112" customWidth="1"/>
    <col min="16122" max="16122" width="16.83203125" style="112" customWidth="1"/>
    <col min="16123" max="16123" width="17.5" style="112" customWidth="1"/>
    <col min="16124" max="16124" width="21.1640625" style="112" customWidth="1"/>
    <col min="16125" max="16125" width="17.33203125" style="112" customWidth="1"/>
    <col min="16126" max="16127" width="14.33203125" style="112" customWidth="1"/>
    <col min="16128" max="16128" width="13.33203125" style="112" customWidth="1"/>
    <col min="16129" max="16129" width="13.83203125" style="112" customWidth="1"/>
    <col min="16130" max="16130" width="11.83203125" style="112" customWidth="1"/>
    <col min="16131" max="16131" width="11.6640625" style="112" customWidth="1"/>
    <col min="16132" max="16132" width="17" style="112" customWidth="1"/>
    <col min="16133" max="16133" width="9.1640625" style="112" customWidth="1"/>
    <col min="16134" max="16134" width="14" style="112" customWidth="1"/>
    <col min="16135" max="16135" width="11.33203125" style="112" customWidth="1"/>
    <col min="16136" max="16136" width="9.1640625" style="112" customWidth="1"/>
    <col min="16137" max="16137" width="12.6640625" style="112" customWidth="1"/>
    <col min="16138" max="16143" width="9.1640625" style="112" customWidth="1"/>
    <col min="16144" max="16384" width="9.1640625" style="112"/>
  </cols>
  <sheetData>
    <row r="1" spans="1:10">
      <c r="A1" s="1096" t="s">
        <v>925</v>
      </c>
      <c r="B1" s="1096"/>
      <c r="C1" s="1096"/>
      <c r="D1" s="1096"/>
      <c r="E1" s="1096"/>
      <c r="F1" s="1096"/>
    </row>
    <row r="2" spans="1:10">
      <c r="A2" s="1096" t="s">
        <v>926</v>
      </c>
      <c r="B2" s="1096"/>
      <c r="C2" s="1096"/>
      <c r="D2" s="1096"/>
      <c r="E2" s="1096"/>
      <c r="F2" s="1096"/>
    </row>
    <row r="3" spans="1:10">
      <c r="A3" s="1097" t="str">
        <f>BS!A3</f>
        <v>[Currency: Indian Rupees(Rs.'000)]</v>
      </c>
      <c r="B3" s="1097"/>
      <c r="C3" s="1097"/>
      <c r="D3" s="1097"/>
      <c r="E3" s="1097"/>
      <c r="F3" s="1097"/>
    </row>
    <row r="4" spans="1:10" ht="8.25" customHeight="1">
      <c r="A4" s="65"/>
      <c r="B4" s="65"/>
      <c r="C4" s="65"/>
      <c r="D4" s="65"/>
      <c r="E4" s="65"/>
      <c r="F4" s="65"/>
    </row>
    <row r="5" spans="1:10" ht="16">
      <c r="A5" s="113">
        <f>+Notes!A522+1</f>
        <v>35</v>
      </c>
      <c r="B5" s="114" t="s">
        <v>843</v>
      </c>
      <c r="C5" s="114"/>
      <c r="D5" s="114"/>
      <c r="E5" s="114"/>
      <c r="F5" s="114"/>
      <c r="G5" s="114"/>
    </row>
    <row r="6" spans="1:10" ht="0.75" customHeight="1">
      <c r="B6" s="115"/>
    </row>
    <row r="7" spans="1:10" ht="65.25" customHeight="1">
      <c r="B7" s="1081" t="s">
        <v>893</v>
      </c>
      <c r="C7" s="1081"/>
      <c r="D7" s="1081"/>
      <c r="E7" s="1081"/>
      <c r="F7" s="1081"/>
      <c r="G7" s="1081"/>
    </row>
    <row r="8" spans="1:10" ht="33" customHeight="1">
      <c r="B8" s="1098" t="s">
        <v>1726</v>
      </c>
      <c r="C8" s="1098"/>
      <c r="D8" s="1098"/>
      <c r="E8" s="1098"/>
      <c r="F8" s="1098"/>
      <c r="G8" s="1098"/>
      <c r="I8" s="112">
        <f>+Notes!C442</f>
        <v>921025</v>
      </c>
      <c r="J8" s="112">
        <f>+Notes!D442</f>
        <v>641468</v>
      </c>
    </row>
    <row r="9" spans="1:10" ht="9" customHeight="1">
      <c r="B9" s="1086"/>
      <c r="C9" s="1086"/>
      <c r="D9" s="1086"/>
      <c r="E9" s="1086"/>
      <c r="F9" s="1086"/>
      <c r="G9" s="1086"/>
    </row>
    <row r="10" spans="1:10">
      <c r="B10" s="1089" t="s">
        <v>844</v>
      </c>
      <c r="C10" s="1089"/>
      <c r="D10" s="1089"/>
      <c r="E10" s="1089"/>
      <c r="F10" s="1089"/>
      <c r="G10" s="1089"/>
    </row>
    <row r="11" spans="1:10" ht="43.5" customHeight="1">
      <c r="B11" s="1090" t="s">
        <v>845</v>
      </c>
      <c r="C11" s="1090"/>
      <c r="D11" s="1090"/>
      <c r="E11" s="1090"/>
      <c r="F11" s="1090"/>
      <c r="G11" s="1090"/>
    </row>
    <row r="12" spans="1:10" ht="8.25" customHeight="1">
      <c r="C12" s="112"/>
      <c r="D12" s="112"/>
      <c r="E12" s="112"/>
      <c r="F12" s="112"/>
      <c r="G12" s="112"/>
    </row>
    <row r="13" spans="1:10">
      <c r="B13" s="118" t="s">
        <v>749</v>
      </c>
      <c r="C13" s="119"/>
      <c r="D13" s="119"/>
      <c r="E13" s="119"/>
      <c r="F13" s="119"/>
      <c r="G13" s="119"/>
    </row>
    <row r="14" spans="1:10">
      <c r="B14" s="120" t="s">
        <v>846</v>
      </c>
      <c r="C14" s="121"/>
      <c r="D14" s="121"/>
      <c r="E14" s="121"/>
      <c r="F14" s="121"/>
      <c r="G14" s="121"/>
    </row>
    <row r="15" spans="1:10" ht="7.5" customHeight="1">
      <c r="B15" s="122"/>
      <c r="C15" s="123"/>
      <c r="D15" s="123"/>
      <c r="E15" s="123"/>
      <c r="F15" s="123"/>
      <c r="G15" s="124"/>
    </row>
    <row r="16" spans="1:10" ht="31.5" customHeight="1">
      <c r="B16" s="1091" t="s">
        <v>1025</v>
      </c>
      <c r="C16" s="1091"/>
      <c r="D16" s="1091"/>
      <c r="E16" s="1091"/>
      <c r="F16" s="1091"/>
      <c r="G16" s="1091"/>
    </row>
    <row r="17" spans="2:12">
      <c r="B17" s="125"/>
      <c r="E17" s="1092" t="s">
        <v>1006</v>
      </c>
      <c r="F17" s="1092"/>
      <c r="G17" s="1092"/>
    </row>
    <row r="18" spans="2:12" ht="24" customHeight="1">
      <c r="B18" s="126" t="s">
        <v>0</v>
      </c>
      <c r="C18" s="127"/>
      <c r="D18" s="127"/>
      <c r="E18" s="128" t="s">
        <v>1503</v>
      </c>
      <c r="F18" s="128" t="s">
        <v>1408</v>
      </c>
      <c r="G18" s="129" t="s">
        <v>847</v>
      </c>
    </row>
    <row r="19" spans="2:12" ht="16">
      <c r="B19" s="122" t="s">
        <v>848</v>
      </c>
      <c r="C19" s="112"/>
      <c r="D19" s="112"/>
      <c r="E19" s="967">
        <f>+F38</f>
        <v>477450</v>
      </c>
      <c r="F19" s="967">
        <f>403312+607</f>
        <v>403919</v>
      </c>
      <c r="G19" s="119">
        <f>F19</f>
        <v>403919</v>
      </c>
      <c r="I19" s="130"/>
      <c r="J19" s="112">
        <v>303312</v>
      </c>
      <c r="K19" s="112">
        <v>90033</v>
      </c>
      <c r="L19" s="112">
        <v>90033</v>
      </c>
    </row>
    <row r="20" spans="2:12" ht="16">
      <c r="B20" s="122" t="s">
        <v>849</v>
      </c>
      <c r="C20" s="112"/>
      <c r="D20" s="112"/>
      <c r="E20" s="967"/>
      <c r="F20" s="967"/>
      <c r="G20" s="119" t="e">
        <f>ROUND(G14/G18,2)</f>
        <v>#VALUE!</v>
      </c>
      <c r="I20" s="131"/>
      <c r="L20" s="112" t="e">
        <v>#VALUE!</v>
      </c>
    </row>
    <row r="21" spans="2:12" ht="16">
      <c r="B21" s="125" t="s">
        <v>850</v>
      </c>
      <c r="C21" s="112"/>
      <c r="D21" s="112"/>
      <c r="E21" s="967">
        <v>175419</v>
      </c>
      <c r="F21" s="967">
        <v>161311</v>
      </c>
      <c r="G21" s="132">
        <v>0</v>
      </c>
      <c r="J21" s="112">
        <v>116841</v>
      </c>
      <c r="K21" s="112">
        <v>39275</v>
      </c>
      <c r="L21" s="112">
        <v>0</v>
      </c>
    </row>
    <row r="22" spans="2:12" ht="16">
      <c r="B22" s="125" t="s">
        <v>851</v>
      </c>
      <c r="C22" s="112"/>
      <c r="D22" s="112"/>
      <c r="E22" s="967">
        <v>34991</v>
      </c>
      <c r="F22" s="967">
        <v>27675</v>
      </c>
      <c r="G22" s="132">
        <v>0</v>
      </c>
      <c r="J22" s="112">
        <v>20396</v>
      </c>
      <c r="K22" s="112">
        <v>7018</v>
      </c>
      <c r="L22" s="112">
        <v>0</v>
      </c>
    </row>
    <row r="23" spans="2:12">
      <c r="C23" s="112"/>
      <c r="D23" s="112"/>
      <c r="E23" s="969"/>
      <c r="F23" s="969"/>
    </row>
    <row r="24" spans="2:12">
      <c r="B24" s="129"/>
      <c r="C24" s="129"/>
      <c r="D24" s="129"/>
      <c r="E24" s="970">
        <f>SUM(E21:E23)</f>
        <v>210410</v>
      </c>
      <c r="F24" s="970">
        <f>SUM(F21:F23)</f>
        <v>188986</v>
      </c>
      <c r="G24" s="129" t="e">
        <f>SUM(G19:G22)</f>
        <v>#VALUE!</v>
      </c>
      <c r="J24" s="112">
        <v>137237</v>
      </c>
      <c r="K24" s="112">
        <v>46293</v>
      </c>
      <c r="L24" s="112" t="e">
        <v>#VALUE!</v>
      </c>
    </row>
    <row r="25" spans="2:12" ht="18" customHeight="1">
      <c r="B25" s="133" t="s">
        <v>852</v>
      </c>
      <c r="C25" s="134"/>
      <c r="D25" s="134"/>
      <c r="E25" s="967"/>
      <c r="F25" s="967"/>
      <c r="G25" s="134"/>
    </row>
    <row r="26" spans="2:12" ht="16">
      <c r="B26" s="122" t="s">
        <v>848</v>
      </c>
      <c r="C26" s="112"/>
      <c r="D26" s="112"/>
      <c r="E26" s="967">
        <f>F32</f>
        <v>157058</v>
      </c>
      <c r="F26" s="967">
        <v>155397</v>
      </c>
      <c r="G26" s="119"/>
      <c r="I26" s="135"/>
      <c r="J26" s="112">
        <v>192027</v>
      </c>
      <c r="K26" s="112">
        <v>25041</v>
      </c>
    </row>
    <row r="27" spans="2:12">
      <c r="B27" s="1095" t="s">
        <v>853</v>
      </c>
      <c r="C27" s="1095"/>
      <c r="D27" s="112"/>
      <c r="E27" s="967"/>
      <c r="F27" s="967"/>
      <c r="G27" s="119"/>
    </row>
    <row r="28" spans="2:12">
      <c r="B28" s="1094" t="s">
        <v>854</v>
      </c>
      <c r="C28" s="1094"/>
      <c r="D28" s="112"/>
      <c r="E28" s="967"/>
      <c r="F28" s="967"/>
      <c r="G28" s="119"/>
    </row>
    <row r="29" spans="2:12">
      <c r="B29" s="1094" t="s">
        <v>896</v>
      </c>
      <c r="C29" s="1094"/>
      <c r="D29" s="112"/>
      <c r="E29" s="971"/>
      <c r="F29" s="971">
        <v>0</v>
      </c>
      <c r="G29" s="138">
        <v>0</v>
      </c>
      <c r="K29" s="112">
        <v>0</v>
      </c>
      <c r="L29" s="112">
        <v>0</v>
      </c>
    </row>
    <row r="30" spans="2:12" ht="16">
      <c r="B30" s="136" t="s">
        <v>855</v>
      </c>
      <c r="C30" s="112"/>
      <c r="D30" s="112"/>
      <c r="E30" s="971">
        <v>-13597</v>
      </c>
      <c r="F30" s="971">
        <v>-42918</v>
      </c>
      <c r="G30" s="138">
        <v>0</v>
      </c>
      <c r="J30" s="112">
        <v>-12010</v>
      </c>
      <c r="K30" s="112">
        <v>52840</v>
      </c>
      <c r="L30" s="112">
        <v>0</v>
      </c>
    </row>
    <row r="31" spans="2:12" ht="16">
      <c r="B31" s="136" t="s">
        <v>856</v>
      </c>
      <c r="C31" s="112"/>
      <c r="D31" s="112"/>
      <c r="E31" s="971">
        <v>56046</v>
      </c>
      <c r="F31" s="971">
        <v>44579</v>
      </c>
      <c r="G31" s="138">
        <v>0</v>
      </c>
      <c r="J31" s="112">
        <v>-24620</v>
      </c>
      <c r="K31" s="112">
        <v>114146</v>
      </c>
      <c r="L31" s="112">
        <v>0</v>
      </c>
    </row>
    <row r="32" spans="2:12">
      <c r="B32" s="129"/>
      <c r="C32" s="129"/>
      <c r="D32" s="129"/>
      <c r="E32" s="972">
        <f>SUM(E26:E31)</f>
        <v>199507</v>
      </c>
      <c r="F32" s="972">
        <f>SUM(F26:F31)</f>
        <v>157058</v>
      </c>
      <c r="G32" s="129">
        <f>SUM(G26:G31)</f>
        <v>0</v>
      </c>
      <c r="J32" s="112">
        <v>155397</v>
      </c>
      <c r="K32" s="112">
        <v>192027</v>
      </c>
      <c r="L32" s="112">
        <v>0</v>
      </c>
    </row>
    <row r="33" spans="2:9">
      <c r="B33" s="118" t="s">
        <v>857</v>
      </c>
      <c r="C33" s="112"/>
      <c r="D33" s="112"/>
      <c r="E33" s="968"/>
      <c r="F33" s="968"/>
      <c r="G33" s="139"/>
    </row>
    <row r="34" spans="2:9">
      <c r="B34" s="115" t="s">
        <v>858</v>
      </c>
      <c r="C34" s="112"/>
      <c r="D34" s="112"/>
      <c r="E34" s="968">
        <v>0</v>
      </c>
      <c r="F34" s="968">
        <v>0</v>
      </c>
      <c r="G34" s="139"/>
    </row>
    <row r="35" spans="2:9" ht="32">
      <c r="B35" s="140" t="s">
        <v>859</v>
      </c>
      <c r="C35" s="112"/>
      <c r="D35" s="112"/>
      <c r="E35" s="968"/>
      <c r="F35" s="968"/>
      <c r="G35" s="139"/>
    </row>
    <row r="36" spans="2:9">
      <c r="B36" s="115" t="s">
        <v>860</v>
      </c>
      <c r="C36" s="112"/>
      <c r="D36" s="112"/>
      <c r="E36" s="968">
        <v>0</v>
      </c>
      <c r="F36" s="971">
        <v>-117116</v>
      </c>
      <c r="G36" s="132">
        <v>0</v>
      </c>
    </row>
    <row r="37" spans="2:9">
      <c r="B37" s="129"/>
      <c r="C37" s="129"/>
      <c r="D37" s="129"/>
      <c r="E37" s="972">
        <f>SUM(E34:E36)</f>
        <v>0</v>
      </c>
      <c r="F37" s="973">
        <f>SUM(F34:F36)</f>
        <v>-117116</v>
      </c>
      <c r="G37" s="132"/>
    </row>
    <row r="38" spans="2:9" ht="17" thickBot="1">
      <c r="B38" s="141" t="s">
        <v>861</v>
      </c>
      <c r="C38" s="142"/>
      <c r="D38" s="142"/>
      <c r="E38" s="974">
        <f>+E19+E24+E32-E26</f>
        <v>730309</v>
      </c>
      <c r="F38" s="974">
        <f>+F19+F24+F32-F26+F36</f>
        <v>477450</v>
      </c>
      <c r="G38" s="129" t="e">
        <f>+G24+G32+G36</f>
        <v>#VALUE!</v>
      </c>
      <c r="I38" s="135"/>
    </row>
    <row r="39" spans="2:9" ht="10.5" customHeight="1" thickTop="1">
      <c r="B39" s="115"/>
      <c r="C39" s="139"/>
      <c r="D39" s="139"/>
      <c r="E39" s="968"/>
      <c r="F39" s="967"/>
      <c r="G39" s="139"/>
    </row>
    <row r="40" spans="2:9">
      <c r="B40" s="1093" t="s">
        <v>862</v>
      </c>
      <c r="C40" s="1093"/>
    </row>
    <row r="41" spans="2:9" ht="16">
      <c r="B41" s="113" t="s">
        <v>863</v>
      </c>
    </row>
    <row r="42" spans="2:9" ht="29.25" customHeight="1">
      <c r="B42" s="1081" t="s">
        <v>864</v>
      </c>
      <c r="C42" s="1081"/>
      <c r="D42" s="1081"/>
      <c r="E42" s="1081"/>
      <c r="F42" s="1081"/>
      <c r="G42" s="1081"/>
    </row>
    <row r="43" spans="2:9" ht="15.75" customHeight="1">
      <c r="E43" s="143" t="s">
        <v>1503</v>
      </c>
      <c r="F43" s="143" t="s">
        <v>1408</v>
      </c>
      <c r="G43" s="129" t="s">
        <v>847</v>
      </c>
    </row>
    <row r="44" spans="2:9" ht="16">
      <c r="B44" s="112" t="s">
        <v>276</v>
      </c>
      <c r="E44" s="144">
        <v>7.4999999999999997E-2</v>
      </c>
      <c r="F44" s="144">
        <v>7.3999999999999996E-2</v>
      </c>
      <c r="G44" s="145">
        <v>7.9799999999999996E-2</v>
      </c>
    </row>
    <row r="45" spans="2:9" ht="16">
      <c r="B45" s="112" t="s">
        <v>865</v>
      </c>
      <c r="E45" s="144">
        <v>7.4999999999999997E-2</v>
      </c>
      <c r="F45" s="144">
        <v>7.4999999999999997E-2</v>
      </c>
      <c r="G45" s="145">
        <v>0.105</v>
      </c>
    </row>
    <row r="46" spans="2:9" ht="16">
      <c r="B46" s="112" t="s">
        <v>866</v>
      </c>
      <c r="D46" s="146" t="s">
        <v>867</v>
      </c>
      <c r="E46" s="144"/>
      <c r="F46" s="144"/>
      <c r="G46" s="145"/>
    </row>
    <row r="47" spans="2:9" ht="16">
      <c r="D47" s="146" t="s">
        <v>868</v>
      </c>
      <c r="E47" s="144">
        <v>0.05</v>
      </c>
      <c r="F47" s="144">
        <v>0.05</v>
      </c>
      <c r="G47" s="145"/>
    </row>
    <row r="48" spans="2:9" ht="16">
      <c r="D48" s="146" t="s">
        <v>869</v>
      </c>
      <c r="E48" s="144">
        <v>0.03</v>
      </c>
      <c r="F48" s="144">
        <v>0.03</v>
      </c>
      <c r="G48" s="145"/>
    </row>
    <row r="49" spans="2:9" ht="16">
      <c r="D49" s="146" t="s">
        <v>870</v>
      </c>
      <c r="E49" s="144">
        <v>0.02</v>
      </c>
      <c r="F49" s="144">
        <v>0.02</v>
      </c>
      <c r="G49" s="145"/>
    </row>
    <row r="50" spans="2:9" ht="48">
      <c r="B50" s="112" t="s">
        <v>871</v>
      </c>
      <c r="E50" s="144" t="s">
        <v>1122</v>
      </c>
      <c r="F50" s="144" t="s">
        <v>1122</v>
      </c>
      <c r="G50" s="145"/>
    </row>
    <row r="51" spans="2:9">
      <c r="E51" s="144"/>
      <c r="F51" s="144"/>
      <c r="G51" s="145"/>
    </row>
    <row r="52" spans="2:9" ht="41.25" customHeight="1">
      <c r="B52" s="1081" t="s">
        <v>1123</v>
      </c>
      <c r="C52" s="1081"/>
      <c r="D52" s="1081"/>
      <c r="E52" s="1081"/>
      <c r="F52" s="1081"/>
      <c r="G52" s="1081"/>
    </row>
    <row r="53" spans="2:9" ht="30" customHeight="1">
      <c r="B53" s="1086" t="s">
        <v>894</v>
      </c>
      <c r="C53" s="1086"/>
      <c r="D53" s="1086"/>
      <c r="E53" s="1086"/>
      <c r="F53" s="1086"/>
      <c r="G53" s="117"/>
    </row>
    <row r="54" spans="2:9" ht="31.5" customHeight="1">
      <c r="B54" s="1086" t="s">
        <v>895</v>
      </c>
      <c r="C54" s="1086"/>
      <c r="D54" s="1086"/>
      <c r="E54" s="1086"/>
      <c r="F54" s="1086"/>
      <c r="G54" s="117"/>
    </row>
    <row r="55" spans="2:9" ht="16">
      <c r="B55" s="113" t="s">
        <v>872</v>
      </c>
    </row>
    <row r="56" spans="2:9" ht="52.5" customHeight="1">
      <c r="B56" s="1081" t="s">
        <v>873</v>
      </c>
      <c r="C56" s="1081"/>
      <c r="D56" s="1081"/>
      <c r="E56" s="1081"/>
      <c r="F56" s="1081"/>
      <c r="G56" s="1081"/>
    </row>
    <row r="57" spans="2:9">
      <c r="B57" s="125"/>
      <c r="C57" s="1087" t="s">
        <v>1503</v>
      </c>
      <c r="D57" s="1087"/>
      <c r="E57" s="1088" t="s">
        <v>1408</v>
      </c>
      <c r="F57" s="1088"/>
      <c r="G57" s="116"/>
    </row>
    <row r="58" spans="2:9" ht="16">
      <c r="B58" s="125"/>
      <c r="C58" s="147" t="s">
        <v>874</v>
      </c>
      <c r="D58" s="147" t="s">
        <v>875</v>
      </c>
      <c r="E58" s="148" t="s">
        <v>874</v>
      </c>
      <c r="F58" s="148" t="s">
        <v>875</v>
      </c>
      <c r="G58" s="116"/>
    </row>
    <row r="59" spans="2:9" ht="32.25" customHeight="1">
      <c r="B59" s="149" t="s">
        <v>876</v>
      </c>
      <c r="C59" s="150">
        <v>-8.6699999999999999E-2</v>
      </c>
      <c r="D59" s="150">
        <v>9.7799999999999998E-2</v>
      </c>
      <c r="E59" s="150">
        <v>-8.8800000000000004E-2</v>
      </c>
      <c r="F59" s="150">
        <v>0.10050000000000001</v>
      </c>
      <c r="G59" s="151"/>
    </row>
    <row r="60" spans="2:9" ht="30.75" customHeight="1">
      <c r="B60" s="149" t="s">
        <v>877</v>
      </c>
      <c r="C60" s="150">
        <v>9.7299999999999998E-2</v>
      </c>
      <c r="D60" s="150">
        <v>-8.6999999999999994E-2</v>
      </c>
      <c r="E60" s="150">
        <v>9.9900000000000003E-2</v>
      </c>
      <c r="F60" s="150">
        <v>-8.9200000000000002E-2</v>
      </c>
      <c r="G60" s="151"/>
    </row>
    <row r="61" spans="2:9" ht="16">
      <c r="B61" s="1084"/>
      <c r="C61" s="1084"/>
      <c r="D61" s="1084"/>
      <c r="E61" s="1084"/>
      <c r="F61" s="1084"/>
      <c r="G61" s="1084"/>
    </row>
    <row r="63" spans="2:9">
      <c r="B63" s="1085" t="s">
        <v>878</v>
      </c>
      <c r="C63" s="1085"/>
      <c r="D63" s="1085"/>
      <c r="E63" s="1085"/>
      <c r="F63" s="125"/>
      <c r="G63" s="125"/>
    </row>
    <row r="64" spans="2:9" ht="34.5" customHeight="1">
      <c r="B64" s="125"/>
      <c r="C64" s="112"/>
      <c r="D64" s="112"/>
      <c r="E64" s="152" t="s">
        <v>1638</v>
      </c>
      <c r="F64" s="152" t="s">
        <v>1639</v>
      </c>
      <c r="G64" s="125"/>
      <c r="I64" s="66"/>
    </row>
    <row r="65" spans="2:10">
      <c r="B65" s="1083" t="s">
        <v>879</v>
      </c>
      <c r="C65" s="1083"/>
      <c r="D65" s="153"/>
      <c r="E65" s="975">
        <v>20802</v>
      </c>
      <c r="F65" s="975">
        <v>9203</v>
      </c>
      <c r="G65" s="976"/>
      <c r="I65" s="154">
        <f>ROUND(9203,0)</f>
        <v>9203</v>
      </c>
    </row>
    <row r="66" spans="2:10" ht="16">
      <c r="B66" s="125" t="s">
        <v>880</v>
      </c>
      <c r="C66" s="125"/>
      <c r="D66" s="125"/>
      <c r="E66" s="975">
        <v>20779</v>
      </c>
      <c r="F66" s="975">
        <v>15613</v>
      </c>
      <c r="G66" s="976"/>
      <c r="I66" s="154">
        <f>ROUND(15613,0)</f>
        <v>15613</v>
      </c>
    </row>
    <row r="67" spans="2:10" ht="16">
      <c r="B67" s="125" t="s">
        <v>881</v>
      </c>
      <c r="C67" s="125"/>
      <c r="D67" s="125"/>
      <c r="E67" s="975">
        <v>23591</v>
      </c>
      <c r="F67" s="975">
        <v>16503</v>
      </c>
      <c r="G67" s="976"/>
      <c r="I67" s="154">
        <f>ROUND(16503,0)</f>
        <v>16503</v>
      </c>
    </row>
    <row r="68" spans="2:10" ht="16">
      <c r="B68" s="125" t="s">
        <v>882</v>
      </c>
      <c r="C68" s="125"/>
      <c r="D68" s="125"/>
      <c r="E68" s="975">
        <v>27502</v>
      </c>
      <c r="F68" s="975">
        <v>17995</v>
      </c>
      <c r="G68" s="976"/>
      <c r="I68" s="154">
        <f>ROUND(17995,0)</f>
        <v>17995</v>
      </c>
    </row>
    <row r="69" spans="2:10" ht="16">
      <c r="B69" s="125" t="s">
        <v>883</v>
      </c>
      <c r="C69" s="125"/>
      <c r="D69" s="125"/>
      <c r="E69" s="975">
        <v>31414</v>
      </c>
      <c r="F69" s="975">
        <v>20251</v>
      </c>
      <c r="G69" s="976"/>
      <c r="I69" s="154">
        <f>ROUND(20251,0)</f>
        <v>20251</v>
      </c>
    </row>
    <row r="70" spans="2:10" ht="16">
      <c r="B70" s="125" t="s">
        <v>884</v>
      </c>
      <c r="C70" s="125"/>
      <c r="D70" s="125"/>
      <c r="E70" s="975">
        <v>30296</v>
      </c>
      <c r="F70" s="975">
        <v>20377</v>
      </c>
      <c r="G70" s="976"/>
      <c r="I70" s="154">
        <f>ROUND(20377,0)</f>
        <v>20377</v>
      </c>
    </row>
    <row r="71" spans="2:10" ht="16">
      <c r="B71" s="125" t="s">
        <v>885</v>
      </c>
      <c r="C71" s="125"/>
      <c r="D71" s="125"/>
      <c r="E71" s="975">
        <v>30735</v>
      </c>
      <c r="F71" s="975">
        <v>19546</v>
      </c>
      <c r="G71" s="976"/>
      <c r="I71" s="154">
        <f>ROUND(19546,0)</f>
        <v>19546</v>
      </c>
    </row>
    <row r="72" spans="2:10" ht="16">
      <c r="B72" s="125" t="s">
        <v>886</v>
      </c>
      <c r="C72" s="125"/>
      <c r="D72" s="125"/>
      <c r="E72" s="975">
        <v>29807</v>
      </c>
      <c r="F72" s="975">
        <v>20193</v>
      </c>
      <c r="G72" s="976"/>
      <c r="I72" s="154">
        <f>ROUND(20193,0)</f>
        <v>20193</v>
      </c>
    </row>
    <row r="73" spans="2:10" ht="16">
      <c r="B73" s="125" t="s">
        <v>887</v>
      </c>
      <c r="C73" s="125"/>
      <c r="D73" s="125"/>
      <c r="E73" s="975">
        <v>42893</v>
      </c>
      <c r="F73" s="975">
        <v>19368</v>
      </c>
      <c r="G73" s="976"/>
      <c r="I73" s="154">
        <f>ROUND(19368,0)</f>
        <v>19368</v>
      </c>
    </row>
    <row r="74" spans="2:10" ht="16">
      <c r="B74" s="125" t="s">
        <v>888</v>
      </c>
      <c r="C74" s="125"/>
      <c r="D74" s="125"/>
      <c r="E74" s="975">
        <v>3600549</v>
      </c>
      <c r="F74" s="975">
        <v>2404691</v>
      </c>
      <c r="G74" s="976"/>
      <c r="I74" s="154">
        <f>ROUND(2404691,0)</f>
        <v>2404691</v>
      </c>
    </row>
    <row r="75" spans="2:10">
      <c r="B75" s="125"/>
      <c r="C75" s="125"/>
      <c r="D75" s="125"/>
      <c r="E75" s="125"/>
      <c r="F75" s="125"/>
      <c r="G75" s="125"/>
    </row>
    <row r="76" spans="2:10" ht="31.5" customHeight="1">
      <c r="B76" s="1081" t="s">
        <v>1669</v>
      </c>
      <c r="C76" s="1081"/>
      <c r="D76" s="1081"/>
      <c r="E76" s="1081"/>
      <c r="F76" s="1081"/>
      <c r="G76" s="1081"/>
    </row>
    <row r="77" spans="2:10">
      <c r="B77" s="116"/>
      <c r="C77" s="116"/>
      <c r="D77" s="116"/>
      <c r="E77" s="116"/>
      <c r="F77" s="116"/>
      <c r="G77" s="116"/>
    </row>
    <row r="78" spans="2:10">
      <c r="B78" s="118" t="s">
        <v>889</v>
      </c>
      <c r="C78" s="116"/>
      <c r="D78" s="116"/>
      <c r="E78" s="116"/>
      <c r="F78" s="116"/>
      <c r="G78" s="116"/>
    </row>
    <row r="79" spans="2:10" ht="44.25" customHeight="1">
      <c r="B79" s="1082" t="s">
        <v>1727</v>
      </c>
      <c r="C79" s="1082"/>
      <c r="D79" s="1082"/>
      <c r="E79" s="1082"/>
      <c r="F79" s="1082"/>
      <c r="G79" s="116"/>
      <c r="I79" s="112">
        <f>+Notes!C444</f>
        <v>479272</v>
      </c>
      <c r="J79" s="112">
        <f>+Notes!D444</f>
        <v>493373</v>
      </c>
    </row>
    <row r="80" spans="2:10">
      <c r="B80" s="1083"/>
      <c r="C80" s="1083"/>
      <c r="D80" s="1083"/>
      <c r="E80" s="1083"/>
      <c r="F80" s="1083"/>
      <c r="G80" s="1083"/>
    </row>
    <row r="81" spans="1:4" hidden="1">
      <c r="A81" s="27">
        <f>+A5+1</f>
        <v>36</v>
      </c>
      <c r="B81" s="28" t="s">
        <v>890</v>
      </c>
      <c r="C81" s="23"/>
      <c r="D81" s="23"/>
    </row>
    <row r="82" spans="1:4" hidden="1">
      <c r="A82" s="29">
        <v>1</v>
      </c>
      <c r="B82" s="28" t="s">
        <v>800</v>
      </c>
      <c r="C82" s="23"/>
      <c r="D82" s="23"/>
    </row>
    <row r="83" spans="1:4" hidden="1">
      <c r="A83" s="25"/>
      <c r="B83" s="28"/>
      <c r="C83" s="23"/>
      <c r="D83" s="23"/>
    </row>
    <row r="84" spans="1:4" hidden="1">
      <c r="A84" s="29" t="s">
        <v>399</v>
      </c>
      <c r="B84" s="28" t="s">
        <v>801</v>
      </c>
      <c r="C84" s="23"/>
      <c r="D84" s="23"/>
    </row>
    <row r="85" spans="1:4" hidden="1">
      <c r="A85" s="27" t="s">
        <v>802</v>
      </c>
      <c r="B85" s="22" t="s">
        <v>803</v>
      </c>
      <c r="C85" s="23"/>
      <c r="D85" s="23"/>
    </row>
    <row r="86" spans="1:4" hidden="1">
      <c r="A86" s="30"/>
      <c r="B86" s="31" t="s">
        <v>804</v>
      </c>
      <c r="C86" s="23"/>
      <c r="D86" s="23"/>
    </row>
    <row r="87" spans="1:4" hidden="1">
      <c r="A87" s="30"/>
      <c r="B87" s="31"/>
      <c r="C87" s="23"/>
      <c r="D87" s="640"/>
    </row>
    <row r="88" spans="1:4" hidden="1">
      <c r="A88" s="27" t="s">
        <v>436</v>
      </c>
      <c r="B88" s="22" t="s">
        <v>805</v>
      </c>
      <c r="C88" s="32"/>
      <c r="D88" s="32"/>
    </row>
    <row r="89" spans="1:4" hidden="1">
      <c r="A89" s="30" t="s">
        <v>802</v>
      </c>
      <c r="B89" s="31" t="s">
        <v>806</v>
      </c>
      <c r="C89" s="32"/>
      <c r="D89" s="32"/>
    </row>
    <row r="90" spans="1:4" hidden="1">
      <c r="A90" s="30" t="s">
        <v>807</v>
      </c>
      <c r="B90" s="31" t="s">
        <v>808</v>
      </c>
      <c r="C90" s="23"/>
      <c r="D90" s="23"/>
    </row>
    <row r="91" spans="1:4" hidden="1">
      <c r="A91" s="30" t="s">
        <v>809</v>
      </c>
      <c r="B91" s="31" t="s">
        <v>810</v>
      </c>
      <c r="C91" s="23"/>
      <c r="D91" s="23"/>
    </row>
    <row r="92" spans="1:4" hidden="1">
      <c r="A92" s="30" t="s">
        <v>811</v>
      </c>
      <c r="B92" s="31" t="s">
        <v>891</v>
      </c>
      <c r="C92" s="23"/>
      <c r="D92" s="23"/>
    </row>
    <row r="93" spans="1:4" hidden="1">
      <c r="A93" s="30" t="s">
        <v>812</v>
      </c>
      <c r="B93" s="31" t="s">
        <v>813</v>
      </c>
      <c r="C93" s="23"/>
      <c r="D93" s="23"/>
    </row>
    <row r="94" spans="1:4" hidden="1">
      <c r="A94" s="30"/>
      <c r="B94" s="641"/>
      <c r="C94" s="23"/>
      <c r="D94" s="23"/>
    </row>
    <row r="95" spans="1:4" hidden="1">
      <c r="A95" s="29" t="s">
        <v>807</v>
      </c>
      <c r="B95" s="28" t="s">
        <v>818</v>
      </c>
      <c r="C95" s="23"/>
      <c r="D95" s="23"/>
    </row>
    <row r="96" spans="1:4" hidden="1">
      <c r="A96" s="30"/>
      <c r="B96" s="31" t="s">
        <v>145</v>
      </c>
      <c r="C96" s="23"/>
      <c r="D96" s="23"/>
    </row>
    <row r="97" spans="1:5" hidden="1">
      <c r="A97" s="30"/>
      <c r="B97" s="31" t="s">
        <v>146</v>
      </c>
      <c r="C97" s="23"/>
      <c r="D97" s="23"/>
    </row>
    <row r="98" spans="1:5" hidden="1">
      <c r="A98" s="30"/>
      <c r="B98" s="31" t="s">
        <v>830</v>
      </c>
      <c r="C98" s="23"/>
      <c r="D98" s="23"/>
    </row>
    <row r="99" spans="1:5" hidden="1">
      <c r="A99" s="30"/>
      <c r="B99" s="31" t="s">
        <v>815</v>
      </c>
      <c r="C99" s="23"/>
      <c r="D99" s="23"/>
    </row>
    <row r="100" spans="1:5" hidden="1">
      <c r="A100" s="30"/>
      <c r="B100" s="31"/>
      <c r="C100" s="23"/>
      <c r="D100" s="23"/>
    </row>
    <row r="101" spans="1:5" hidden="1">
      <c r="A101" s="29" t="s">
        <v>809</v>
      </c>
      <c r="B101" s="22" t="s">
        <v>892</v>
      </c>
      <c r="C101" s="23"/>
      <c r="D101" s="23"/>
    </row>
    <row r="102" spans="1:5" hidden="1">
      <c r="A102" s="29"/>
      <c r="B102" s="31" t="s">
        <v>819</v>
      </c>
      <c r="C102" s="23"/>
      <c r="D102" s="23"/>
    </row>
    <row r="103" spans="1:5">
      <c r="B103" s="29"/>
      <c r="C103" s="31"/>
      <c r="D103" s="23"/>
      <c r="E103" s="23"/>
    </row>
  </sheetData>
  <mergeCells count="27">
    <mergeCell ref="B9:G9"/>
    <mergeCell ref="A1:F1"/>
    <mergeCell ref="A2:F2"/>
    <mergeCell ref="A3:F3"/>
    <mergeCell ref="B7:G7"/>
    <mergeCell ref="B8:G8"/>
    <mergeCell ref="B52:G52"/>
    <mergeCell ref="B40:C40"/>
    <mergeCell ref="B29:C29"/>
    <mergeCell ref="B28:C28"/>
    <mergeCell ref="B27:C27"/>
    <mergeCell ref="B10:G10"/>
    <mergeCell ref="B11:G11"/>
    <mergeCell ref="B16:G16"/>
    <mergeCell ref="E17:G17"/>
    <mergeCell ref="B42:G42"/>
    <mergeCell ref="B53:F53"/>
    <mergeCell ref="B54:F54"/>
    <mergeCell ref="B56:G56"/>
    <mergeCell ref="C57:D57"/>
    <mergeCell ref="E57:F57"/>
    <mergeCell ref="B76:G76"/>
    <mergeCell ref="B79:F79"/>
    <mergeCell ref="B80:G80"/>
    <mergeCell ref="B61:G61"/>
    <mergeCell ref="B63:E63"/>
    <mergeCell ref="B65:C65"/>
  </mergeCells>
  <pageMargins left="0.74803149606299213" right="0.70866141732283472" top="0.5" bottom="0.43" header="0.31496062992125984" footer="0.31496062992125984"/>
  <pageSetup paperSize="9" scale="83" orientation="portrait" r:id="rId1"/>
  <rowBreaks count="1" manualBreakCount="1">
    <brk id="50"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BB957-B6EF-45DB-82EB-47963A54B43B}">
  <dimension ref="A1:Q200"/>
  <sheetViews>
    <sheetView tabSelected="1" topLeftCell="A30" zoomScaleNormal="100" workbookViewId="0">
      <selection activeCell="I58" sqref="I58"/>
    </sheetView>
  </sheetViews>
  <sheetFormatPr baseColWidth="10" defaultColWidth="8.83203125" defaultRowHeight="15"/>
  <cols>
    <col min="1" max="1" width="4.1640625" style="23" customWidth="1"/>
    <col min="2" max="2" width="57.1640625" style="23" customWidth="1"/>
    <col min="3" max="3" width="14.1640625" style="24" customWidth="1"/>
    <col min="4" max="4" width="14.5" style="23" customWidth="1"/>
    <col min="5" max="5" width="13" style="23" customWidth="1"/>
    <col min="6" max="6" width="14.5" style="23" bestFit="1" customWidth="1"/>
    <col min="7" max="8" width="9.1640625" style="23"/>
    <col min="9" max="9" width="17.33203125" style="23" customWidth="1"/>
    <col min="10" max="12" width="9.1640625" style="23"/>
    <col min="13" max="13" width="14.6640625" style="23" bestFit="1" customWidth="1"/>
    <col min="14" max="15" width="9.1640625" style="23"/>
    <col min="16" max="16" width="16" style="23" customWidth="1"/>
    <col min="17" max="17" width="9.5" style="23" bestFit="1" customWidth="1"/>
    <col min="18" max="257" width="9.1640625" style="23"/>
    <col min="258" max="258" width="4.1640625" style="23" customWidth="1"/>
    <col min="259" max="259" width="59.6640625" style="23" customWidth="1"/>
    <col min="260" max="260" width="13.1640625" style="23" customWidth="1"/>
    <col min="261" max="261" width="12.1640625" style="23" customWidth="1"/>
    <col min="262" max="262" width="11.5" style="23" customWidth="1"/>
    <col min="263" max="263" width="12.6640625" style="23" customWidth="1"/>
    <col min="264" max="264" width="13" style="23" customWidth="1"/>
    <col min="265" max="265" width="11.5" style="23" customWidth="1"/>
    <col min="266" max="513" width="9.1640625" style="23"/>
    <col min="514" max="514" width="4.1640625" style="23" customWidth="1"/>
    <col min="515" max="515" width="59.6640625" style="23" customWidth="1"/>
    <col min="516" max="516" width="13.1640625" style="23" customWidth="1"/>
    <col min="517" max="517" width="12.1640625" style="23" customWidth="1"/>
    <col min="518" max="518" width="11.5" style="23" customWidth="1"/>
    <col min="519" max="519" width="12.6640625" style="23" customWidth="1"/>
    <col min="520" max="520" width="13" style="23" customWidth="1"/>
    <col min="521" max="521" width="11.5" style="23" customWidth="1"/>
    <col min="522" max="769" width="9.1640625" style="23"/>
    <col min="770" max="770" width="4.1640625" style="23" customWidth="1"/>
    <col min="771" max="771" width="59.6640625" style="23" customWidth="1"/>
    <col min="772" max="772" width="13.1640625" style="23" customWidth="1"/>
    <col min="773" max="773" width="12.1640625" style="23" customWidth="1"/>
    <col min="774" max="774" width="11.5" style="23" customWidth="1"/>
    <col min="775" max="775" width="12.6640625" style="23" customWidth="1"/>
    <col min="776" max="776" width="13" style="23" customWidth="1"/>
    <col min="777" max="777" width="11.5" style="23" customWidth="1"/>
    <col min="778" max="1025" width="9.1640625" style="23"/>
    <col min="1026" max="1026" width="4.1640625" style="23" customWidth="1"/>
    <col min="1027" max="1027" width="59.6640625" style="23" customWidth="1"/>
    <col min="1028" max="1028" width="13.1640625" style="23" customWidth="1"/>
    <col min="1029" max="1029" width="12.1640625" style="23" customWidth="1"/>
    <col min="1030" max="1030" width="11.5" style="23" customWidth="1"/>
    <col min="1031" max="1031" width="12.6640625" style="23" customWidth="1"/>
    <col min="1032" max="1032" width="13" style="23" customWidth="1"/>
    <col min="1033" max="1033" width="11.5" style="23" customWidth="1"/>
    <col min="1034" max="1281" width="9.1640625" style="23"/>
    <col min="1282" max="1282" width="4.1640625" style="23" customWidth="1"/>
    <col min="1283" max="1283" width="59.6640625" style="23" customWidth="1"/>
    <col min="1284" max="1284" width="13.1640625" style="23" customWidth="1"/>
    <col min="1285" max="1285" width="12.1640625" style="23" customWidth="1"/>
    <col min="1286" max="1286" width="11.5" style="23" customWidth="1"/>
    <col min="1287" max="1287" width="12.6640625" style="23" customWidth="1"/>
    <col min="1288" max="1288" width="13" style="23" customWidth="1"/>
    <col min="1289" max="1289" width="11.5" style="23" customWidth="1"/>
    <col min="1290" max="1537" width="9.1640625" style="23"/>
    <col min="1538" max="1538" width="4.1640625" style="23" customWidth="1"/>
    <col min="1539" max="1539" width="59.6640625" style="23" customWidth="1"/>
    <col min="1540" max="1540" width="13.1640625" style="23" customWidth="1"/>
    <col min="1541" max="1541" width="12.1640625" style="23" customWidth="1"/>
    <col min="1542" max="1542" width="11.5" style="23" customWidth="1"/>
    <col min="1543" max="1543" width="12.6640625" style="23" customWidth="1"/>
    <col min="1544" max="1544" width="13" style="23" customWidth="1"/>
    <col min="1545" max="1545" width="11.5" style="23" customWidth="1"/>
    <col min="1546" max="1793" width="9.1640625" style="23"/>
    <col min="1794" max="1794" width="4.1640625" style="23" customWidth="1"/>
    <col min="1795" max="1795" width="59.6640625" style="23" customWidth="1"/>
    <col min="1796" max="1796" width="13.1640625" style="23" customWidth="1"/>
    <col min="1797" max="1797" width="12.1640625" style="23" customWidth="1"/>
    <col min="1798" max="1798" width="11.5" style="23" customWidth="1"/>
    <col min="1799" max="1799" width="12.6640625" style="23" customWidth="1"/>
    <col min="1800" max="1800" width="13" style="23" customWidth="1"/>
    <col min="1801" max="1801" width="11.5" style="23" customWidth="1"/>
    <col min="1802" max="2049" width="9.1640625" style="23"/>
    <col min="2050" max="2050" width="4.1640625" style="23" customWidth="1"/>
    <col min="2051" max="2051" width="59.6640625" style="23" customWidth="1"/>
    <col min="2052" max="2052" width="13.1640625" style="23" customWidth="1"/>
    <col min="2053" max="2053" width="12.1640625" style="23" customWidth="1"/>
    <col min="2054" max="2054" width="11.5" style="23" customWidth="1"/>
    <col min="2055" max="2055" width="12.6640625" style="23" customWidth="1"/>
    <col min="2056" max="2056" width="13" style="23" customWidth="1"/>
    <col min="2057" max="2057" width="11.5" style="23" customWidth="1"/>
    <col min="2058" max="2305" width="9.1640625" style="23"/>
    <col min="2306" max="2306" width="4.1640625" style="23" customWidth="1"/>
    <col min="2307" max="2307" width="59.6640625" style="23" customWidth="1"/>
    <col min="2308" max="2308" width="13.1640625" style="23" customWidth="1"/>
    <col min="2309" max="2309" width="12.1640625" style="23" customWidth="1"/>
    <col min="2310" max="2310" width="11.5" style="23" customWidth="1"/>
    <col min="2311" max="2311" width="12.6640625" style="23" customWidth="1"/>
    <col min="2312" max="2312" width="13" style="23" customWidth="1"/>
    <col min="2313" max="2313" width="11.5" style="23" customWidth="1"/>
    <col min="2314" max="2561" width="9.1640625" style="23"/>
    <col min="2562" max="2562" width="4.1640625" style="23" customWidth="1"/>
    <col min="2563" max="2563" width="59.6640625" style="23" customWidth="1"/>
    <col min="2564" max="2564" width="13.1640625" style="23" customWidth="1"/>
    <col min="2565" max="2565" width="12.1640625" style="23" customWidth="1"/>
    <col min="2566" max="2566" width="11.5" style="23" customWidth="1"/>
    <col min="2567" max="2567" width="12.6640625" style="23" customWidth="1"/>
    <col min="2568" max="2568" width="13" style="23" customWidth="1"/>
    <col min="2569" max="2569" width="11.5" style="23" customWidth="1"/>
    <col min="2570" max="2817" width="9.1640625" style="23"/>
    <col min="2818" max="2818" width="4.1640625" style="23" customWidth="1"/>
    <col min="2819" max="2819" width="59.6640625" style="23" customWidth="1"/>
    <col min="2820" max="2820" width="13.1640625" style="23" customWidth="1"/>
    <col min="2821" max="2821" width="12.1640625" style="23" customWidth="1"/>
    <col min="2822" max="2822" width="11.5" style="23" customWidth="1"/>
    <col min="2823" max="2823" width="12.6640625" style="23" customWidth="1"/>
    <col min="2824" max="2824" width="13" style="23" customWidth="1"/>
    <col min="2825" max="2825" width="11.5" style="23" customWidth="1"/>
    <col min="2826" max="3073" width="9.1640625" style="23"/>
    <col min="3074" max="3074" width="4.1640625" style="23" customWidth="1"/>
    <col min="3075" max="3075" width="59.6640625" style="23" customWidth="1"/>
    <col min="3076" max="3076" width="13.1640625" style="23" customWidth="1"/>
    <col min="3077" max="3077" width="12.1640625" style="23" customWidth="1"/>
    <col min="3078" max="3078" width="11.5" style="23" customWidth="1"/>
    <col min="3079" max="3079" width="12.6640625" style="23" customWidth="1"/>
    <col min="3080" max="3080" width="13" style="23" customWidth="1"/>
    <col min="3081" max="3081" width="11.5" style="23" customWidth="1"/>
    <col min="3082" max="3329" width="9.1640625" style="23"/>
    <col min="3330" max="3330" width="4.1640625" style="23" customWidth="1"/>
    <col min="3331" max="3331" width="59.6640625" style="23" customWidth="1"/>
    <col min="3332" max="3332" width="13.1640625" style="23" customWidth="1"/>
    <col min="3333" max="3333" width="12.1640625" style="23" customWidth="1"/>
    <col min="3334" max="3334" width="11.5" style="23" customWidth="1"/>
    <col min="3335" max="3335" width="12.6640625" style="23" customWidth="1"/>
    <col min="3336" max="3336" width="13" style="23" customWidth="1"/>
    <col min="3337" max="3337" width="11.5" style="23" customWidth="1"/>
    <col min="3338" max="3585" width="9.1640625" style="23"/>
    <col min="3586" max="3586" width="4.1640625" style="23" customWidth="1"/>
    <col min="3587" max="3587" width="59.6640625" style="23" customWidth="1"/>
    <col min="3588" max="3588" width="13.1640625" style="23" customWidth="1"/>
    <col min="3589" max="3589" width="12.1640625" style="23" customWidth="1"/>
    <col min="3590" max="3590" width="11.5" style="23" customWidth="1"/>
    <col min="3591" max="3591" width="12.6640625" style="23" customWidth="1"/>
    <col min="3592" max="3592" width="13" style="23" customWidth="1"/>
    <col min="3593" max="3593" width="11.5" style="23" customWidth="1"/>
    <col min="3594" max="3841" width="9.1640625" style="23"/>
    <col min="3842" max="3842" width="4.1640625" style="23" customWidth="1"/>
    <col min="3843" max="3843" width="59.6640625" style="23" customWidth="1"/>
    <col min="3844" max="3844" width="13.1640625" style="23" customWidth="1"/>
    <col min="3845" max="3845" width="12.1640625" style="23" customWidth="1"/>
    <col min="3846" max="3846" width="11.5" style="23" customWidth="1"/>
    <col min="3847" max="3847" width="12.6640625" style="23" customWidth="1"/>
    <col min="3848" max="3848" width="13" style="23" customWidth="1"/>
    <col min="3849" max="3849" width="11.5" style="23" customWidth="1"/>
    <col min="3850" max="4097" width="9.1640625" style="23"/>
    <col min="4098" max="4098" width="4.1640625" style="23" customWidth="1"/>
    <col min="4099" max="4099" width="59.6640625" style="23" customWidth="1"/>
    <col min="4100" max="4100" width="13.1640625" style="23" customWidth="1"/>
    <col min="4101" max="4101" width="12.1640625" style="23" customWidth="1"/>
    <col min="4102" max="4102" width="11.5" style="23" customWidth="1"/>
    <col min="4103" max="4103" width="12.6640625" style="23" customWidth="1"/>
    <col min="4104" max="4104" width="13" style="23" customWidth="1"/>
    <col min="4105" max="4105" width="11.5" style="23" customWidth="1"/>
    <col min="4106" max="4353" width="9.1640625" style="23"/>
    <col min="4354" max="4354" width="4.1640625" style="23" customWidth="1"/>
    <col min="4355" max="4355" width="59.6640625" style="23" customWidth="1"/>
    <col min="4356" max="4356" width="13.1640625" style="23" customWidth="1"/>
    <col min="4357" max="4357" width="12.1640625" style="23" customWidth="1"/>
    <col min="4358" max="4358" width="11.5" style="23" customWidth="1"/>
    <col min="4359" max="4359" width="12.6640625" style="23" customWidth="1"/>
    <col min="4360" max="4360" width="13" style="23" customWidth="1"/>
    <col min="4361" max="4361" width="11.5" style="23" customWidth="1"/>
    <col min="4362" max="4609" width="9.1640625" style="23"/>
    <col min="4610" max="4610" width="4.1640625" style="23" customWidth="1"/>
    <col min="4611" max="4611" width="59.6640625" style="23" customWidth="1"/>
    <col min="4612" max="4612" width="13.1640625" style="23" customWidth="1"/>
    <col min="4613" max="4613" width="12.1640625" style="23" customWidth="1"/>
    <col min="4614" max="4614" width="11.5" style="23" customWidth="1"/>
    <col min="4615" max="4615" width="12.6640625" style="23" customWidth="1"/>
    <col min="4616" max="4616" width="13" style="23" customWidth="1"/>
    <col min="4617" max="4617" width="11.5" style="23" customWidth="1"/>
    <col min="4618" max="4865" width="9.1640625" style="23"/>
    <col min="4866" max="4866" width="4.1640625" style="23" customWidth="1"/>
    <col min="4867" max="4867" width="59.6640625" style="23" customWidth="1"/>
    <col min="4868" max="4868" width="13.1640625" style="23" customWidth="1"/>
    <col min="4869" max="4869" width="12.1640625" style="23" customWidth="1"/>
    <col min="4870" max="4870" width="11.5" style="23" customWidth="1"/>
    <col min="4871" max="4871" width="12.6640625" style="23" customWidth="1"/>
    <col min="4872" max="4872" width="13" style="23" customWidth="1"/>
    <col min="4873" max="4873" width="11.5" style="23" customWidth="1"/>
    <col min="4874" max="5121" width="9.1640625" style="23"/>
    <col min="5122" max="5122" width="4.1640625" style="23" customWidth="1"/>
    <col min="5123" max="5123" width="59.6640625" style="23" customWidth="1"/>
    <col min="5124" max="5124" width="13.1640625" style="23" customWidth="1"/>
    <col min="5125" max="5125" width="12.1640625" style="23" customWidth="1"/>
    <col min="5126" max="5126" width="11.5" style="23" customWidth="1"/>
    <col min="5127" max="5127" width="12.6640625" style="23" customWidth="1"/>
    <col min="5128" max="5128" width="13" style="23" customWidth="1"/>
    <col min="5129" max="5129" width="11.5" style="23" customWidth="1"/>
    <col min="5130" max="5377" width="9.1640625" style="23"/>
    <col min="5378" max="5378" width="4.1640625" style="23" customWidth="1"/>
    <col min="5379" max="5379" width="59.6640625" style="23" customWidth="1"/>
    <col min="5380" max="5380" width="13.1640625" style="23" customWidth="1"/>
    <col min="5381" max="5381" width="12.1640625" style="23" customWidth="1"/>
    <col min="5382" max="5382" width="11.5" style="23" customWidth="1"/>
    <col min="5383" max="5383" width="12.6640625" style="23" customWidth="1"/>
    <col min="5384" max="5384" width="13" style="23" customWidth="1"/>
    <col min="5385" max="5385" width="11.5" style="23" customWidth="1"/>
    <col min="5386" max="5633" width="9.1640625" style="23"/>
    <col min="5634" max="5634" width="4.1640625" style="23" customWidth="1"/>
    <col min="5635" max="5635" width="59.6640625" style="23" customWidth="1"/>
    <col min="5636" max="5636" width="13.1640625" style="23" customWidth="1"/>
    <col min="5637" max="5637" width="12.1640625" style="23" customWidth="1"/>
    <col min="5638" max="5638" width="11.5" style="23" customWidth="1"/>
    <col min="5639" max="5639" width="12.6640625" style="23" customWidth="1"/>
    <col min="5640" max="5640" width="13" style="23" customWidth="1"/>
    <col min="5641" max="5641" width="11.5" style="23" customWidth="1"/>
    <col min="5642" max="5889" width="9.1640625" style="23"/>
    <col min="5890" max="5890" width="4.1640625" style="23" customWidth="1"/>
    <col min="5891" max="5891" width="59.6640625" style="23" customWidth="1"/>
    <col min="5892" max="5892" width="13.1640625" style="23" customWidth="1"/>
    <col min="5893" max="5893" width="12.1640625" style="23" customWidth="1"/>
    <col min="5894" max="5894" width="11.5" style="23" customWidth="1"/>
    <col min="5895" max="5895" width="12.6640625" style="23" customWidth="1"/>
    <col min="5896" max="5896" width="13" style="23" customWidth="1"/>
    <col min="5897" max="5897" width="11.5" style="23" customWidth="1"/>
    <col min="5898" max="6145" width="9.1640625" style="23"/>
    <col min="6146" max="6146" width="4.1640625" style="23" customWidth="1"/>
    <col min="6147" max="6147" width="59.6640625" style="23" customWidth="1"/>
    <col min="6148" max="6148" width="13.1640625" style="23" customWidth="1"/>
    <col min="6149" max="6149" width="12.1640625" style="23" customWidth="1"/>
    <col min="6150" max="6150" width="11.5" style="23" customWidth="1"/>
    <col min="6151" max="6151" width="12.6640625" style="23" customWidth="1"/>
    <col min="6152" max="6152" width="13" style="23" customWidth="1"/>
    <col min="6153" max="6153" width="11.5" style="23" customWidth="1"/>
    <col min="6154" max="6401" width="9.1640625" style="23"/>
    <col min="6402" max="6402" width="4.1640625" style="23" customWidth="1"/>
    <col min="6403" max="6403" width="59.6640625" style="23" customWidth="1"/>
    <col min="6404" max="6404" width="13.1640625" style="23" customWidth="1"/>
    <col min="6405" max="6405" width="12.1640625" style="23" customWidth="1"/>
    <col min="6406" max="6406" width="11.5" style="23" customWidth="1"/>
    <col min="6407" max="6407" width="12.6640625" style="23" customWidth="1"/>
    <col min="6408" max="6408" width="13" style="23" customWidth="1"/>
    <col min="6409" max="6409" width="11.5" style="23" customWidth="1"/>
    <col min="6410" max="6657" width="9.1640625" style="23"/>
    <col min="6658" max="6658" width="4.1640625" style="23" customWidth="1"/>
    <col min="6659" max="6659" width="59.6640625" style="23" customWidth="1"/>
    <col min="6660" max="6660" width="13.1640625" style="23" customWidth="1"/>
    <col min="6661" max="6661" width="12.1640625" style="23" customWidth="1"/>
    <col min="6662" max="6662" width="11.5" style="23" customWidth="1"/>
    <col min="6663" max="6663" width="12.6640625" style="23" customWidth="1"/>
    <col min="6664" max="6664" width="13" style="23" customWidth="1"/>
    <col min="6665" max="6665" width="11.5" style="23" customWidth="1"/>
    <col min="6666" max="6913" width="9.1640625" style="23"/>
    <col min="6914" max="6914" width="4.1640625" style="23" customWidth="1"/>
    <col min="6915" max="6915" width="59.6640625" style="23" customWidth="1"/>
    <col min="6916" max="6916" width="13.1640625" style="23" customWidth="1"/>
    <col min="6917" max="6917" width="12.1640625" style="23" customWidth="1"/>
    <col min="6918" max="6918" width="11.5" style="23" customWidth="1"/>
    <col min="6919" max="6919" width="12.6640625" style="23" customWidth="1"/>
    <col min="6920" max="6920" width="13" style="23" customWidth="1"/>
    <col min="6921" max="6921" width="11.5" style="23" customWidth="1"/>
    <col min="6922" max="7169" width="9.1640625" style="23"/>
    <col min="7170" max="7170" width="4.1640625" style="23" customWidth="1"/>
    <col min="7171" max="7171" width="59.6640625" style="23" customWidth="1"/>
    <col min="7172" max="7172" width="13.1640625" style="23" customWidth="1"/>
    <col min="7173" max="7173" width="12.1640625" style="23" customWidth="1"/>
    <col min="7174" max="7174" width="11.5" style="23" customWidth="1"/>
    <col min="7175" max="7175" width="12.6640625" style="23" customWidth="1"/>
    <col min="7176" max="7176" width="13" style="23" customWidth="1"/>
    <col min="7177" max="7177" width="11.5" style="23" customWidth="1"/>
    <col min="7178" max="7425" width="9.1640625" style="23"/>
    <col min="7426" max="7426" width="4.1640625" style="23" customWidth="1"/>
    <col min="7427" max="7427" width="59.6640625" style="23" customWidth="1"/>
    <col min="7428" max="7428" width="13.1640625" style="23" customWidth="1"/>
    <col min="7429" max="7429" width="12.1640625" style="23" customWidth="1"/>
    <col min="7430" max="7430" width="11.5" style="23" customWidth="1"/>
    <col min="7431" max="7431" width="12.6640625" style="23" customWidth="1"/>
    <col min="7432" max="7432" width="13" style="23" customWidth="1"/>
    <col min="7433" max="7433" width="11.5" style="23" customWidth="1"/>
    <col min="7434" max="7681" width="9.1640625" style="23"/>
    <col min="7682" max="7682" width="4.1640625" style="23" customWidth="1"/>
    <col min="7683" max="7683" width="59.6640625" style="23" customWidth="1"/>
    <col min="7684" max="7684" width="13.1640625" style="23" customWidth="1"/>
    <col min="7685" max="7685" width="12.1640625" style="23" customWidth="1"/>
    <col min="7686" max="7686" width="11.5" style="23" customWidth="1"/>
    <col min="7687" max="7687" width="12.6640625" style="23" customWidth="1"/>
    <col min="7688" max="7688" width="13" style="23" customWidth="1"/>
    <col min="7689" max="7689" width="11.5" style="23" customWidth="1"/>
    <col min="7690" max="7937" width="9.1640625" style="23"/>
    <col min="7938" max="7938" width="4.1640625" style="23" customWidth="1"/>
    <col min="7939" max="7939" width="59.6640625" style="23" customWidth="1"/>
    <col min="7940" max="7940" width="13.1640625" style="23" customWidth="1"/>
    <col min="7941" max="7941" width="12.1640625" style="23" customWidth="1"/>
    <col min="7942" max="7942" width="11.5" style="23" customWidth="1"/>
    <col min="7943" max="7943" width="12.6640625" style="23" customWidth="1"/>
    <col min="7944" max="7944" width="13" style="23" customWidth="1"/>
    <col min="7945" max="7945" width="11.5" style="23" customWidth="1"/>
    <col min="7946" max="8193" width="9.1640625" style="23"/>
    <col min="8194" max="8194" width="4.1640625" style="23" customWidth="1"/>
    <col min="8195" max="8195" width="59.6640625" style="23" customWidth="1"/>
    <col min="8196" max="8196" width="13.1640625" style="23" customWidth="1"/>
    <col min="8197" max="8197" width="12.1640625" style="23" customWidth="1"/>
    <col min="8198" max="8198" width="11.5" style="23" customWidth="1"/>
    <col min="8199" max="8199" width="12.6640625" style="23" customWidth="1"/>
    <col min="8200" max="8200" width="13" style="23" customWidth="1"/>
    <col min="8201" max="8201" width="11.5" style="23" customWidth="1"/>
    <col min="8202" max="8449" width="9.1640625" style="23"/>
    <col min="8450" max="8450" width="4.1640625" style="23" customWidth="1"/>
    <col min="8451" max="8451" width="59.6640625" style="23" customWidth="1"/>
    <col min="8452" max="8452" width="13.1640625" style="23" customWidth="1"/>
    <col min="8453" max="8453" width="12.1640625" style="23" customWidth="1"/>
    <col min="8454" max="8454" width="11.5" style="23" customWidth="1"/>
    <col min="8455" max="8455" width="12.6640625" style="23" customWidth="1"/>
    <col min="8456" max="8456" width="13" style="23" customWidth="1"/>
    <col min="8457" max="8457" width="11.5" style="23" customWidth="1"/>
    <col min="8458" max="8705" width="9.1640625" style="23"/>
    <col min="8706" max="8706" width="4.1640625" style="23" customWidth="1"/>
    <col min="8707" max="8707" width="59.6640625" style="23" customWidth="1"/>
    <col min="8708" max="8708" width="13.1640625" style="23" customWidth="1"/>
    <col min="8709" max="8709" width="12.1640625" style="23" customWidth="1"/>
    <col min="8710" max="8710" width="11.5" style="23" customWidth="1"/>
    <col min="8711" max="8711" width="12.6640625" style="23" customWidth="1"/>
    <col min="8712" max="8712" width="13" style="23" customWidth="1"/>
    <col min="8713" max="8713" width="11.5" style="23" customWidth="1"/>
    <col min="8714" max="8961" width="9.1640625" style="23"/>
    <col min="8962" max="8962" width="4.1640625" style="23" customWidth="1"/>
    <col min="8963" max="8963" width="59.6640625" style="23" customWidth="1"/>
    <col min="8964" max="8964" width="13.1640625" style="23" customWidth="1"/>
    <col min="8965" max="8965" width="12.1640625" style="23" customWidth="1"/>
    <col min="8966" max="8966" width="11.5" style="23" customWidth="1"/>
    <col min="8967" max="8967" width="12.6640625" style="23" customWidth="1"/>
    <col min="8968" max="8968" width="13" style="23" customWidth="1"/>
    <col min="8969" max="8969" width="11.5" style="23" customWidth="1"/>
    <col min="8970" max="9217" width="9.1640625" style="23"/>
    <col min="9218" max="9218" width="4.1640625" style="23" customWidth="1"/>
    <col min="9219" max="9219" width="59.6640625" style="23" customWidth="1"/>
    <col min="9220" max="9220" width="13.1640625" style="23" customWidth="1"/>
    <col min="9221" max="9221" width="12.1640625" style="23" customWidth="1"/>
    <col min="9222" max="9222" width="11.5" style="23" customWidth="1"/>
    <col min="9223" max="9223" width="12.6640625" style="23" customWidth="1"/>
    <col min="9224" max="9224" width="13" style="23" customWidth="1"/>
    <col min="9225" max="9225" width="11.5" style="23" customWidth="1"/>
    <col min="9226" max="9473" width="9.1640625" style="23"/>
    <col min="9474" max="9474" width="4.1640625" style="23" customWidth="1"/>
    <col min="9475" max="9475" width="59.6640625" style="23" customWidth="1"/>
    <col min="9476" max="9476" width="13.1640625" style="23" customWidth="1"/>
    <col min="9477" max="9477" width="12.1640625" style="23" customWidth="1"/>
    <col min="9478" max="9478" width="11.5" style="23" customWidth="1"/>
    <col min="9479" max="9479" width="12.6640625" style="23" customWidth="1"/>
    <col min="9480" max="9480" width="13" style="23" customWidth="1"/>
    <col min="9481" max="9481" width="11.5" style="23" customWidth="1"/>
    <col min="9482" max="9729" width="9.1640625" style="23"/>
    <col min="9730" max="9730" width="4.1640625" style="23" customWidth="1"/>
    <col min="9731" max="9731" width="59.6640625" style="23" customWidth="1"/>
    <col min="9732" max="9732" width="13.1640625" style="23" customWidth="1"/>
    <col min="9733" max="9733" width="12.1640625" style="23" customWidth="1"/>
    <col min="9734" max="9734" width="11.5" style="23" customWidth="1"/>
    <col min="9735" max="9735" width="12.6640625" style="23" customWidth="1"/>
    <col min="9736" max="9736" width="13" style="23" customWidth="1"/>
    <col min="9737" max="9737" width="11.5" style="23" customWidth="1"/>
    <col min="9738" max="9985" width="9.1640625" style="23"/>
    <col min="9986" max="9986" width="4.1640625" style="23" customWidth="1"/>
    <col min="9987" max="9987" width="59.6640625" style="23" customWidth="1"/>
    <col min="9988" max="9988" width="13.1640625" style="23" customWidth="1"/>
    <col min="9989" max="9989" width="12.1640625" style="23" customWidth="1"/>
    <col min="9990" max="9990" width="11.5" style="23" customWidth="1"/>
    <col min="9991" max="9991" width="12.6640625" style="23" customWidth="1"/>
    <col min="9992" max="9992" width="13" style="23" customWidth="1"/>
    <col min="9993" max="9993" width="11.5" style="23" customWidth="1"/>
    <col min="9994" max="10241" width="9.1640625" style="23"/>
    <col min="10242" max="10242" width="4.1640625" style="23" customWidth="1"/>
    <col min="10243" max="10243" width="59.6640625" style="23" customWidth="1"/>
    <col min="10244" max="10244" width="13.1640625" style="23" customWidth="1"/>
    <col min="10245" max="10245" width="12.1640625" style="23" customWidth="1"/>
    <col min="10246" max="10246" width="11.5" style="23" customWidth="1"/>
    <col min="10247" max="10247" width="12.6640625" style="23" customWidth="1"/>
    <col min="10248" max="10248" width="13" style="23" customWidth="1"/>
    <col min="10249" max="10249" width="11.5" style="23" customWidth="1"/>
    <col min="10250" max="10497" width="9.1640625" style="23"/>
    <col min="10498" max="10498" width="4.1640625" style="23" customWidth="1"/>
    <col min="10499" max="10499" width="59.6640625" style="23" customWidth="1"/>
    <col min="10500" max="10500" width="13.1640625" style="23" customWidth="1"/>
    <col min="10501" max="10501" width="12.1640625" style="23" customWidth="1"/>
    <col min="10502" max="10502" width="11.5" style="23" customWidth="1"/>
    <col min="10503" max="10503" width="12.6640625" style="23" customWidth="1"/>
    <col min="10504" max="10504" width="13" style="23" customWidth="1"/>
    <col min="10505" max="10505" width="11.5" style="23" customWidth="1"/>
    <col min="10506" max="10753" width="9.1640625" style="23"/>
    <col min="10754" max="10754" width="4.1640625" style="23" customWidth="1"/>
    <col min="10755" max="10755" width="59.6640625" style="23" customWidth="1"/>
    <col min="10756" max="10756" width="13.1640625" style="23" customWidth="1"/>
    <col min="10757" max="10757" width="12.1640625" style="23" customWidth="1"/>
    <col min="10758" max="10758" width="11.5" style="23" customWidth="1"/>
    <col min="10759" max="10759" width="12.6640625" style="23" customWidth="1"/>
    <col min="10760" max="10760" width="13" style="23" customWidth="1"/>
    <col min="10761" max="10761" width="11.5" style="23" customWidth="1"/>
    <col min="10762" max="11009" width="9.1640625" style="23"/>
    <col min="11010" max="11010" width="4.1640625" style="23" customWidth="1"/>
    <col min="11011" max="11011" width="59.6640625" style="23" customWidth="1"/>
    <col min="11012" max="11012" width="13.1640625" style="23" customWidth="1"/>
    <col min="11013" max="11013" width="12.1640625" style="23" customWidth="1"/>
    <col min="11014" max="11014" width="11.5" style="23" customWidth="1"/>
    <col min="11015" max="11015" width="12.6640625" style="23" customWidth="1"/>
    <col min="11016" max="11016" width="13" style="23" customWidth="1"/>
    <col min="11017" max="11017" width="11.5" style="23" customWidth="1"/>
    <col min="11018" max="11265" width="9.1640625" style="23"/>
    <col min="11266" max="11266" width="4.1640625" style="23" customWidth="1"/>
    <col min="11267" max="11267" width="59.6640625" style="23" customWidth="1"/>
    <col min="11268" max="11268" width="13.1640625" style="23" customWidth="1"/>
    <col min="11269" max="11269" width="12.1640625" style="23" customWidth="1"/>
    <col min="11270" max="11270" width="11.5" style="23" customWidth="1"/>
    <col min="11271" max="11271" width="12.6640625" style="23" customWidth="1"/>
    <col min="11272" max="11272" width="13" style="23" customWidth="1"/>
    <col min="11273" max="11273" width="11.5" style="23" customWidth="1"/>
    <col min="11274" max="11521" width="9.1640625" style="23"/>
    <col min="11522" max="11522" width="4.1640625" style="23" customWidth="1"/>
    <col min="11523" max="11523" width="59.6640625" style="23" customWidth="1"/>
    <col min="11524" max="11524" width="13.1640625" style="23" customWidth="1"/>
    <col min="11525" max="11525" width="12.1640625" style="23" customWidth="1"/>
    <col min="11526" max="11526" width="11.5" style="23" customWidth="1"/>
    <col min="11527" max="11527" width="12.6640625" style="23" customWidth="1"/>
    <col min="11528" max="11528" width="13" style="23" customWidth="1"/>
    <col min="11529" max="11529" width="11.5" style="23" customWidth="1"/>
    <col min="11530" max="11777" width="9.1640625" style="23"/>
    <col min="11778" max="11778" width="4.1640625" style="23" customWidth="1"/>
    <col min="11779" max="11779" width="59.6640625" style="23" customWidth="1"/>
    <col min="11780" max="11780" width="13.1640625" style="23" customWidth="1"/>
    <col min="11781" max="11781" width="12.1640625" style="23" customWidth="1"/>
    <col min="11782" max="11782" width="11.5" style="23" customWidth="1"/>
    <col min="11783" max="11783" width="12.6640625" style="23" customWidth="1"/>
    <col min="11784" max="11784" width="13" style="23" customWidth="1"/>
    <col min="11785" max="11785" width="11.5" style="23" customWidth="1"/>
    <col min="11786" max="12033" width="9.1640625" style="23"/>
    <col min="12034" max="12034" width="4.1640625" style="23" customWidth="1"/>
    <col min="12035" max="12035" width="59.6640625" style="23" customWidth="1"/>
    <col min="12036" max="12036" width="13.1640625" style="23" customWidth="1"/>
    <col min="12037" max="12037" width="12.1640625" style="23" customWidth="1"/>
    <col min="12038" max="12038" width="11.5" style="23" customWidth="1"/>
    <col min="12039" max="12039" width="12.6640625" style="23" customWidth="1"/>
    <col min="12040" max="12040" width="13" style="23" customWidth="1"/>
    <col min="12041" max="12041" width="11.5" style="23" customWidth="1"/>
    <col min="12042" max="12289" width="9.1640625" style="23"/>
    <col min="12290" max="12290" width="4.1640625" style="23" customWidth="1"/>
    <col min="12291" max="12291" width="59.6640625" style="23" customWidth="1"/>
    <col min="12292" max="12292" width="13.1640625" style="23" customWidth="1"/>
    <col min="12293" max="12293" width="12.1640625" style="23" customWidth="1"/>
    <col min="12294" max="12294" width="11.5" style="23" customWidth="1"/>
    <col min="12295" max="12295" width="12.6640625" style="23" customWidth="1"/>
    <col min="12296" max="12296" width="13" style="23" customWidth="1"/>
    <col min="12297" max="12297" width="11.5" style="23" customWidth="1"/>
    <col min="12298" max="12545" width="9.1640625" style="23"/>
    <col min="12546" max="12546" width="4.1640625" style="23" customWidth="1"/>
    <col min="12547" max="12547" width="59.6640625" style="23" customWidth="1"/>
    <col min="12548" max="12548" width="13.1640625" style="23" customWidth="1"/>
    <col min="12549" max="12549" width="12.1640625" style="23" customWidth="1"/>
    <col min="12550" max="12550" width="11.5" style="23" customWidth="1"/>
    <col min="12551" max="12551" width="12.6640625" style="23" customWidth="1"/>
    <col min="12552" max="12552" width="13" style="23" customWidth="1"/>
    <col min="12553" max="12553" width="11.5" style="23" customWidth="1"/>
    <col min="12554" max="12801" width="9.1640625" style="23"/>
    <col min="12802" max="12802" width="4.1640625" style="23" customWidth="1"/>
    <col min="12803" max="12803" width="59.6640625" style="23" customWidth="1"/>
    <col min="12804" max="12804" width="13.1640625" style="23" customWidth="1"/>
    <col min="12805" max="12805" width="12.1640625" style="23" customWidth="1"/>
    <col min="12806" max="12806" width="11.5" style="23" customWidth="1"/>
    <col min="12807" max="12807" width="12.6640625" style="23" customWidth="1"/>
    <col min="12808" max="12808" width="13" style="23" customWidth="1"/>
    <col min="12809" max="12809" width="11.5" style="23" customWidth="1"/>
    <col min="12810" max="13057" width="9.1640625" style="23"/>
    <col min="13058" max="13058" width="4.1640625" style="23" customWidth="1"/>
    <col min="13059" max="13059" width="59.6640625" style="23" customWidth="1"/>
    <col min="13060" max="13060" width="13.1640625" style="23" customWidth="1"/>
    <col min="13061" max="13061" width="12.1640625" style="23" customWidth="1"/>
    <col min="13062" max="13062" width="11.5" style="23" customWidth="1"/>
    <col min="13063" max="13063" width="12.6640625" style="23" customWidth="1"/>
    <col min="13064" max="13064" width="13" style="23" customWidth="1"/>
    <col min="13065" max="13065" width="11.5" style="23" customWidth="1"/>
    <col min="13066" max="13313" width="9.1640625" style="23"/>
    <col min="13314" max="13314" width="4.1640625" style="23" customWidth="1"/>
    <col min="13315" max="13315" width="59.6640625" style="23" customWidth="1"/>
    <col min="13316" max="13316" width="13.1640625" style="23" customWidth="1"/>
    <col min="13317" max="13317" width="12.1640625" style="23" customWidth="1"/>
    <col min="13318" max="13318" width="11.5" style="23" customWidth="1"/>
    <col min="13319" max="13319" width="12.6640625" style="23" customWidth="1"/>
    <col min="13320" max="13320" width="13" style="23" customWidth="1"/>
    <col min="13321" max="13321" width="11.5" style="23" customWidth="1"/>
    <col min="13322" max="13569" width="9.1640625" style="23"/>
    <col min="13570" max="13570" width="4.1640625" style="23" customWidth="1"/>
    <col min="13571" max="13571" width="59.6640625" style="23" customWidth="1"/>
    <col min="13572" max="13572" width="13.1640625" style="23" customWidth="1"/>
    <col min="13573" max="13573" width="12.1640625" style="23" customWidth="1"/>
    <col min="13574" max="13574" width="11.5" style="23" customWidth="1"/>
    <col min="13575" max="13575" width="12.6640625" style="23" customWidth="1"/>
    <col min="13576" max="13576" width="13" style="23" customWidth="1"/>
    <col min="13577" max="13577" width="11.5" style="23" customWidth="1"/>
    <col min="13578" max="13825" width="9.1640625" style="23"/>
    <col min="13826" max="13826" width="4.1640625" style="23" customWidth="1"/>
    <col min="13827" max="13827" width="59.6640625" style="23" customWidth="1"/>
    <col min="13828" max="13828" width="13.1640625" style="23" customWidth="1"/>
    <col min="13829" max="13829" width="12.1640625" style="23" customWidth="1"/>
    <col min="13830" max="13830" width="11.5" style="23" customWidth="1"/>
    <col min="13831" max="13831" width="12.6640625" style="23" customWidth="1"/>
    <col min="13832" max="13832" width="13" style="23" customWidth="1"/>
    <col min="13833" max="13833" width="11.5" style="23" customWidth="1"/>
    <col min="13834" max="14081" width="9.1640625" style="23"/>
    <col min="14082" max="14082" width="4.1640625" style="23" customWidth="1"/>
    <col min="14083" max="14083" width="59.6640625" style="23" customWidth="1"/>
    <col min="14084" max="14084" width="13.1640625" style="23" customWidth="1"/>
    <col min="14085" max="14085" width="12.1640625" style="23" customWidth="1"/>
    <col min="14086" max="14086" width="11.5" style="23" customWidth="1"/>
    <col min="14087" max="14087" width="12.6640625" style="23" customWidth="1"/>
    <col min="14088" max="14088" width="13" style="23" customWidth="1"/>
    <col min="14089" max="14089" width="11.5" style="23" customWidth="1"/>
    <col min="14090" max="14337" width="9.1640625" style="23"/>
    <col min="14338" max="14338" width="4.1640625" style="23" customWidth="1"/>
    <col min="14339" max="14339" width="59.6640625" style="23" customWidth="1"/>
    <col min="14340" max="14340" width="13.1640625" style="23" customWidth="1"/>
    <col min="14341" max="14341" width="12.1640625" style="23" customWidth="1"/>
    <col min="14342" max="14342" width="11.5" style="23" customWidth="1"/>
    <col min="14343" max="14343" width="12.6640625" style="23" customWidth="1"/>
    <col min="14344" max="14344" width="13" style="23" customWidth="1"/>
    <col min="14345" max="14345" width="11.5" style="23" customWidth="1"/>
    <col min="14346" max="14593" width="9.1640625" style="23"/>
    <col min="14594" max="14594" width="4.1640625" style="23" customWidth="1"/>
    <col min="14595" max="14595" width="59.6640625" style="23" customWidth="1"/>
    <col min="14596" max="14596" width="13.1640625" style="23" customWidth="1"/>
    <col min="14597" max="14597" width="12.1640625" style="23" customWidth="1"/>
    <col min="14598" max="14598" width="11.5" style="23" customWidth="1"/>
    <col min="14599" max="14599" width="12.6640625" style="23" customWidth="1"/>
    <col min="14600" max="14600" width="13" style="23" customWidth="1"/>
    <col min="14601" max="14601" width="11.5" style="23" customWidth="1"/>
    <col min="14602" max="14849" width="9.1640625" style="23"/>
    <col min="14850" max="14850" width="4.1640625" style="23" customWidth="1"/>
    <col min="14851" max="14851" width="59.6640625" style="23" customWidth="1"/>
    <col min="14852" max="14852" width="13.1640625" style="23" customWidth="1"/>
    <col min="14853" max="14853" width="12.1640625" style="23" customWidth="1"/>
    <col min="14854" max="14854" width="11.5" style="23" customWidth="1"/>
    <col min="14855" max="14855" width="12.6640625" style="23" customWidth="1"/>
    <col min="14856" max="14856" width="13" style="23" customWidth="1"/>
    <col min="14857" max="14857" width="11.5" style="23" customWidth="1"/>
    <col min="14858" max="15105" width="9.1640625" style="23"/>
    <col min="15106" max="15106" width="4.1640625" style="23" customWidth="1"/>
    <col min="15107" max="15107" width="59.6640625" style="23" customWidth="1"/>
    <col min="15108" max="15108" width="13.1640625" style="23" customWidth="1"/>
    <col min="15109" max="15109" width="12.1640625" style="23" customWidth="1"/>
    <col min="15110" max="15110" width="11.5" style="23" customWidth="1"/>
    <col min="15111" max="15111" width="12.6640625" style="23" customWidth="1"/>
    <col min="15112" max="15112" width="13" style="23" customWidth="1"/>
    <col min="15113" max="15113" width="11.5" style="23" customWidth="1"/>
    <col min="15114" max="15361" width="9.1640625" style="23"/>
    <col min="15362" max="15362" width="4.1640625" style="23" customWidth="1"/>
    <col min="15363" max="15363" width="59.6640625" style="23" customWidth="1"/>
    <col min="15364" max="15364" width="13.1640625" style="23" customWidth="1"/>
    <col min="15365" max="15365" width="12.1640625" style="23" customWidth="1"/>
    <col min="15366" max="15366" width="11.5" style="23" customWidth="1"/>
    <col min="15367" max="15367" width="12.6640625" style="23" customWidth="1"/>
    <col min="15368" max="15368" width="13" style="23" customWidth="1"/>
    <col min="15369" max="15369" width="11.5" style="23" customWidth="1"/>
    <col min="15370" max="15617" width="9.1640625" style="23"/>
    <col min="15618" max="15618" width="4.1640625" style="23" customWidth="1"/>
    <col min="15619" max="15619" width="59.6640625" style="23" customWidth="1"/>
    <col min="15620" max="15620" width="13.1640625" style="23" customWidth="1"/>
    <col min="15621" max="15621" width="12.1640625" style="23" customWidth="1"/>
    <col min="15622" max="15622" width="11.5" style="23" customWidth="1"/>
    <col min="15623" max="15623" width="12.6640625" style="23" customWidth="1"/>
    <col min="15624" max="15624" width="13" style="23" customWidth="1"/>
    <col min="15625" max="15625" width="11.5" style="23" customWidth="1"/>
    <col min="15626" max="15873" width="9.1640625" style="23"/>
    <col min="15874" max="15874" width="4.1640625" style="23" customWidth="1"/>
    <col min="15875" max="15875" width="59.6640625" style="23" customWidth="1"/>
    <col min="15876" max="15876" width="13.1640625" style="23" customWidth="1"/>
    <col min="15877" max="15877" width="12.1640625" style="23" customWidth="1"/>
    <col min="15878" max="15878" width="11.5" style="23" customWidth="1"/>
    <col min="15879" max="15879" width="12.6640625" style="23" customWidth="1"/>
    <col min="15880" max="15880" width="13" style="23" customWidth="1"/>
    <col min="15881" max="15881" width="11.5" style="23" customWidth="1"/>
    <col min="15882" max="16129" width="9.1640625" style="23"/>
    <col min="16130" max="16130" width="4.1640625" style="23" customWidth="1"/>
    <col min="16131" max="16131" width="59.6640625" style="23" customWidth="1"/>
    <col min="16132" max="16132" width="13.1640625" style="23" customWidth="1"/>
    <col min="16133" max="16133" width="12.1640625" style="23" customWidth="1"/>
    <col min="16134" max="16134" width="11.5" style="23" customWidth="1"/>
    <col min="16135" max="16135" width="12.6640625" style="23" customWidth="1"/>
    <col min="16136" max="16136" width="13" style="23" customWidth="1"/>
    <col min="16137" max="16137" width="11.5" style="23" customWidth="1"/>
    <col min="16138" max="16384" width="9.1640625" style="23"/>
  </cols>
  <sheetData>
    <row r="1" spans="1:8">
      <c r="A1" s="22" t="s">
        <v>1163</v>
      </c>
    </row>
    <row r="2" spans="1:8">
      <c r="A2" s="1096" t="s">
        <v>926</v>
      </c>
      <c r="B2" s="1096"/>
      <c r="C2" s="1096"/>
      <c r="D2" s="1096"/>
      <c r="E2" s="1096"/>
      <c r="F2" s="1096"/>
    </row>
    <row r="3" spans="1:8">
      <c r="A3" s="1097" t="str">
        <f>BS!A3</f>
        <v>[Currency: Indian Rupees(Rs.'000)]</v>
      </c>
      <c r="B3" s="1097"/>
      <c r="C3" s="1097"/>
      <c r="D3" s="1097"/>
      <c r="E3" s="1097"/>
      <c r="F3" s="1097"/>
    </row>
    <row r="4" spans="1:8">
      <c r="A4" s="27">
        <f>+'Employee benefits Note 35'!A5+1</f>
        <v>36</v>
      </c>
      <c r="B4" s="28" t="s">
        <v>890</v>
      </c>
      <c r="C4" s="23"/>
    </row>
    <row r="5" spans="1:8">
      <c r="A5" s="29">
        <v>1</v>
      </c>
      <c r="B5" s="28" t="s">
        <v>800</v>
      </c>
      <c r="C5" s="23"/>
    </row>
    <row r="6" spans="1:8">
      <c r="A6" s="25"/>
      <c r="B6" s="28"/>
      <c r="C6" s="23"/>
    </row>
    <row r="7" spans="1:8">
      <c r="A7" s="29" t="s">
        <v>399</v>
      </c>
      <c r="B7" s="28" t="s">
        <v>801</v>
      </c>
      <c r="C7" s="23"/>
    </row>
    <row r="8" spans="1:8">
      <c r="A8" s="27" t="s">
        <v>802</v>
      </c>
      <c r="B8" s="22" t="s">
        <v>803</v>
      </c>
      <c r="C8" s="23"/>
    </row>
    <row r="9" spans="1:8">
      <c r="A9" s="30"/>
      <c r="B9" s="31" t="s">
        <v>806</v>
      </c>
      <c r="C9" s="23"/>
      <c r="H9" s="639"/>
    </row>
    <row r="10" spans="1:8">
      <c r="A10" s="30"/>
      <c r="B10" s="31"/>
      <c r="C10" s="23"/>
      <c r="H10" s="639"/>
    </row>
    <row r="11" spans="1:8" s="32" customFormat="1">
      <c r="A11" s="27" t="s">
        <v>436</v>
      </c>
      <c r="B11" s="1099" t="s">
        <v>805</v>
      </c>
      <c r="C11" s="1099"/>
      <c r="D11" s="1099"/>
      <c r="E11" s="1099"/>
      <c r="F11" s="1099"/>
    </row>
    <row r="12" spans="1:8" s="32" customFormat="1">
      <c r="A12" s="30" t="s">
        <v>802</v>
      </c>
      <c r="B12" s="31" t="s">
        <v>1661</v>
      </c>
    </row>
    <row r="13" spans="1:8">
      <c r="A13" s="30" t="s">
        <v>807</v>
      </c>
      <c r="B13" s="31" t="s">
        <v>1701</v>
      </c>
      <c r="C13" s="23"/>
    </row>
    <row r="14" spans="1:8">
      <c r="A14" s="30" t="s">
        <v>809</v>
      </c>
      <c r="B14" s="31" t="s">
        <v>1702</v>
      </c>
      <c r="C14" s="23"/>
    </row>
    <row r="15" spans="1:8">
      <c r="A15" s="30" t="s">
        <v>811</v>
      </c>
      <c r="B15" s="31" t="s">
        <v>1703</v>
      </c>
      <c r="C15" s="23"/>
    </row>
    <row r="16" spans="1:8">
      <c r="A16" s="30" t="s">
        <v>812</v>
      </c>
      <c r="B16" s="31" t="s">
        <v>815</v>
      </c>
      <c r="C16" s="23"/>
    </row>
    <row r="17" spans="1:6">
      <c r="A17" s="30" t="s">
        <v>814</v>
      </c>
      <c r="B17" s="31" t="s">
        <v>817</v>
      </c>
      <c r="C17" s="23"/>
    </row>
    <row r="18" spans="1:6">
      <c r="A18" s="30" t="s">
        <v>816</v>
      </c>
      <c r="B18" s="31" t="s">
        <v>1029</v>
      </c>
      <c r="C18" s="23"/>
    </row>
    <row r="19" spans="1:6">
      <c r="A19" s="30" t="s">
        <v>1057</v>
      </c>
      <c r="B19" s="31" t="s">
        <v>1084</v>
      </c>
      <c r="C19" s="23"/>
    </row>
    <row r="20" spans="1:6">
      <c r="A20" s="30" t="s">
        <v>1090</v>
      </c>
      <c r="B20" s="23" t="s">
        <v>1164</v>
      </c>
      <c r="C20" s="23"/>
    </row>
    <row r="21" spans="1:6">
      <c r="A21" s="30" t="s">
        <v>1092</v>
      </c>
      <c r="B21" s="23" t="s">
        <v>1656</v>
      </c>
      <c r="C21" s="23"/>
    </row>
    <row r="22" spans="1:6">
      <c r="A22" s="30" t="s">
        <v>1657</v>
      </c>
      <c r="B22" s="23" t="s">
        <v>1658</v>
      </c>
      <c r="C22" s="23"/>
    </row>
    <row r="23" spans="1:6">
      <c r="A23" s="30" t="s">
        <v>1659</v>
      </c>
      <c r="B23" s="23" t="s">
        <v>1719</v>
      </c>
      <c r="C23" s="23"/>
    </row>
    <row r="24" spans="1:6">
      <c r="A24" s="30" t="s">
        <v>1699</v>
      </c>
      <c r="B24" s="23" t="s">
        <v>1700</v>
      </c>
      <c r="C24" s="23"/>
    </row>
    <row r="25" spans="1:6">
      <c r="A25" s="30"/>
      <c r="C25" s="23"/>
    </row>
    <row r="26" spans="1:6">
      <c r="A26" s="29" t="s">
        <v>807</v>
      </c>
      <c r="B26" s="28" t="s">
        <v>818</v>
      </c>
      <c r="C26" s="23"/>
    </row>
    <row r="27" spans="1:6">
      <c r="A27" s="30"/>
      <c r="B27" s="31" t="s">
        <v>145</v>
      </c>
      <c r="C27" s="23"/>
    </row>
    <row r="28" spans="1:6">
      <c r="A28" s="30"/>
      <c r="B28" s="31" t="s">
        <v>146</v>
      </c>
      <c r="C28" s="23"/>
    </row>
    <row r="29" spans="1:6">
      <c r="A29" s="30"/>
      <c r="B29" s="31" t="s">
        <v>1406</v>
      </c>
      <c r="C29" s="23"/>
    </row>
    <row r="30" spans="1:6">
      <c r="A30" s="30"/>
      <c r="B30" s="31"/>
      <c r="C30" s="23"/>
    </row>
    <row r="31" spans="1:6">
      <c r="A31" s="29" t="s">
        <v>809</v>
      </c>
      <c r="B31" s="1100" t="s">
        <v>892</v>
      </c>
      <c r="C31" s="1100"/>
      <c r="D31" s="1100"/>
      <c r="E31" s="1100"/>
      <c r="F31" s="1100"/>
    </row>
    <row r="32" spans="1:6">
      <c r="A32" s="29"/>
      <c r="B32" s="31" t="s">
        <v>1165</v>
      </c>
      <c r="C32" s="23"/>
    </row>
    <row r="33" spans="1:11">
      <c r="A33" s="25"/>
      <c r="B33" s="26"/>
      <c r="K33" s="23" t="s">
        <v>772</v>
      </c>
    </row>
    <row r="34" spans="1:11">
      <c r="A34" s="29" t="s">
        <v>1166</v>
      </c>
      <c r="B34" s="26" t="s">
        <v>820</v>
      </c>
    </row>
    <row r="35" spans="1:11" ht="7" customHeight="1">
      <c r="A35" s="25"/>
      <c r="B35" s="26"/>
    </row>
    <row r="36" spans="1:11" ht="64">
      <c r="A36" s="25"/>
      <c r="B36" s="33" t="s">
        <v>821</v>
      </c>
      <c r="C36" s="34" t="s">
        <v>803</v>
      </c>
      <c r="D36" s="34" t="s">
        <v>818</v>
      </c>
      <c r="E36" s="35" t="s">
        <v>1167</v>
      </c>
      <c r="F36" s="34" t="s">
        <v>1168</v>
      </c>
    </row>
    <row r="37" spans="1:11">
      <c r="A37" s="25"/>
      <c r="B37" s="36" t="s">
        <v>1169</v>
      </c>
      <c r="C37" s="37"/>
      <c r="D37" s="37"/>
      <c r="E37" s="38"/>
      <c r="F37" s="39"/>
    </row>
    <row r="38" spans="1:11">
      <c r="A38" s="25"/>
      <c r="B38" s="40" t="s">
        <v>822</v>
      </c>
      <c r="C38" s="977">
        <v>1109218</v>
      </c>
      <c r="D38" s="977"/>
      <c r="E38" s="977"/>
      <c r="F38" s="978"/>
    </row>
    <row r="39" spans="1:11">
      <c r="A39" s="25"/>
      <c r="B39" s="40"/>
      <c r="C39" s="977">
        <v>-2048416</v>
      </c>
      <c r="D39" s="977"/>
      <c r="E39" s="977"/>
      <c r="F39" s="978"/>
    </row>
    <row r="40" spans="1:11">
      <c r="A40" s="25"/>
      <c r="B40" s="40" t="s">
        <v>1170</v>
      </c>
      <c r="C40" s="977">
        <v>0</v>
      </c>
      <c r="D40" s="977"/>
      <c r="E40" s="977"/>
      <c r="F40" s="978"/>
    </row>
    <row r="41" spans="1:11">
      <c r="A41" s="25"/>
      <c r="B41" s="40"/>
      <c r="C41" s="977">
        <v>-143000</v>
      </c>
      <c r="D41" s="977"/>
      <c r="E41" s="977"/>
      <c r="F41" s="978"/>
    </row>
    <row r="42" spans="1:11">
      <c r="A42" s="25"/>
      <c r="B42" s="40" t="s">
        <v>1029</v>
      </c>
      <c r="C42" s="977"/>
      <c r="D42" s="977"/>
      <c r="E42" s="977"/>
      <c r="F42" s="977">
        <v>700439</v>
      </c>
    </row>
    <row r="43" spans="1:11">
      <c r="A43" s="25"/>
      <c r="B43" s="40"/>
      <c r="C43" s="977"/>
      <c r="D43" s="977"/>
      <c r="E43" s="977"/>
      <c r="F43" s="977">
        <v>-574093</v>
      </c>
    </row>
    <row r="44" spans="1:11">
      <c r="A44" s="25"/>
      <c r="B44" s="40" t="s">
        <v>1164</v>
      </c>
      <c r="C44" s="977"/>
      <c r="D44" s="977"/>
      <c r="E44" s="977"/>
      <c r="F44" s="977">
        <v>0</v>
      </c>
    </row>
    <row r="45" spans="1:11">
      <c r="A45" s="25"/>
      <c r="B45" s="40"/>
      <c r="C45" s="977"/>
      <c r="D45" s="977"/>
      <c r="E45" s="977"/>
      <c r="F45" s="977">
        <v>-157762</v>
      </c>
    </row>
    <row r="46" spans="1:11">
      <c r="A46" s="25"/>
      <c r="B46" s="40" t="s">
        <v>1656</v>
      </c>
      <c r="C46" s="977"/>
      <c r="D46" s="977"/>
      <c r="E46" s="977"/>
      <c r="F46" s="977">
        <v>1028500</v>
      </c>
    </row>
    <row r="47" spans="1:11">
      <c r="A47" s="25"/>
      <c r="B47" s="40"/>
      <c r="C47" s="977"/>
      <c r="D47" s="977"/>
      <c r="E47" s="977"/>
      <c r="F47" s="977">
        <v>0</v>
      </c>
    </row>
    <row r="48" spans="1:11">
      <c r="A48" s="25"/>
      <c r="B48" s="40" t="s">
        <v>1658</v>
      </c>
      <c r="C48" s="977"/>
      <c r="D48" s="977"/>
      <c r="E48" s="977"/>
      <c r="F48" s="977">
        <v>733115</v>
      </c>
    </row>
    <row r="49" spans="1:15">
      <c r="A49" s="25"/>
      <c r="B49" s="40"/>
      <c r="C49" s="977"/>
      <c r="D49" s="977"/>
      <c r="E49" s="977"/>
      <c r="F49" s="977">
        <v>0</v>
      </c>
    </row>
    <row r="50" spans="1:15">
      <c r="A50" s="25"/>
      <c r="B50" s="36" t="s">
        <v>1171</v>
      </c>
      <c r="C50" s="977"/>
      <c r="D50" s="977"/>
      <c r="E50" s="977"/>
      <c r="F50" s="977"/>
    </row>
    <row r="51" spans="1:15">
      <c r="A51" s="25"/>
      <c r="B51" s="40" t="s">
        <v>382</v>
      </c>
      <c r="C51" s="977">
        <v>0</v>
      </c>
      <c r="D51" s="977"/>
      <c r="E51" s="977"/>
      <c r="F51" s="977"/>
    </row>
    <row r="52" spans="1:15">
      <c r="A52" s="25"/>
      <c r="B52" s="40"/>
      <c r="C52" s="977">
        <v>-30115</v>
      </c>
      <c r="D52" s="977"/>
      <c r="E52" s="977"/>
      <c r="F52" s="977"/>
      <c r="M52" s="41"/>
    </row>
    <row r="53" spans="1:15">
      <c r="A53" s="25"/>
      <c r="B53" s="36" t="s">
        <v>1172</v>
      </c>
      <c r="C53" s="977"/>
      <c r="D53" s="977"/>
      <c r="E53" s="977"/>
      <c r="F53" s="977"/>
      <c r="M53" s="41"/>
      <c r="O53" s="23" t="s">
        <v>772</v>
      </c>
    </row>
    <row r="54" spans="1:15">
      <c r="A54" s="25"/>
      <c r="B54" s="40" t="s">
        <v>823</v>
      </c>
      <c r="C54" s="977"/>
      <c r="D54" s="977"/>
      <c r="E54" s="977"/>
      <c r="F54" s="977">
        <v>32597</v>
      </c>
      <c r="J54" s="42"/>
      <c r="M54" s="41"/>
    </row>
    <row r="55" spans="1:15">
      <c r="A55" s="25"/>
      <c r="B55" s="40"/>
      <c r="C55" s="977"/>
      <c r="D55" s="977"/>
      <c r="E55" s="977"/>
      <c r="F55" s="977">
        <v>-17885</v>
      </c>
      <c r="J55" s="42"/>
      <c r="M55" s="41"/>
    </row>
    <row r="56" spans="1:15">
      <c r="A56" s="25"/>
      <c r="B56" s="40" t="s">
        <v>1702</v>
      </c>
      <c r="C56" s="977"/>
      <c r="D56" s="977"/>
      <c r="E56" s="977"/>
      <c r="F56" s="977">
        <v>383977</v>
      </c>
    </row>
    <row r="57" spans="1:15">
      <c r="A57" s="25"/>
      <c r="B57" s="40"/>
      <c r="C57" s="977"/>
      <c r="D57" s="977"/>
      <c r="E57" s="977"/>
      <c r="F57" s="977">
        <v>-119187</v>
      </c>
    </row>
    <row r="58" spans="1:15">
      <c r="A58" s="25"/>
      <c r="B58" s="40" t="s">
        <v>824</v>
      </c>
      <c r="C58" s="977"/>
      <c r="D58" s="977"/>
      <c r="E58" s="977"/>
      <c r="F58" s="977">
        <v>0</v>
      </c>
    </row>
    <row r="59" spans="1:15">
      <c r="A59" s="25"/>
      <c r="B59" s="40"/>
      <c r="C59" s="977"/>
      <c r="D59" s="977"/>
      <c r="E59" s="977"/>
      <c r="F59" s="977">
        <v>-66383</v>
      </c>
    </row>
    <row r="60" spans="1:15">
      <c r="A60" s="25"/>
      <c r="B60" s="40" t="s">
        <v>1058</v>
      </c>
      <c r="C60" s="977"/>
      <c r="D60" s="977"/>
      <c r="E60" s="977"/>
      <c r="F60" s="977">
        <v>0</v>
      </c>
    </row>
    <row r="61" spans="1:15">
      <c r="A61" s="25"/>
      <c r="B61" s="40"/>
      <c r="C61" s="977"/>
      <c r="D61" s="977"/>
      <c r="E61" s="977"/>
      <c r="F61" s="977">
        <v>-77768</v>
      </c>
    </row>
    <row r="62" spans="1:15">
      <c r="A62" s="25"/>
      <c r="B62" s="40" t="s">
        <v>1164</v>
      </c>
      <c r="C62" s="977"/>
      <c r="D62" s="977"/>
      <c r="E62" s="977"/>
      <c r="F62" s="977">
        <v>0</v>
      </c>
    </row>
    <row r="63" spans="1:15">
      <c r="A63" s="25"/>
      <c r="B63" s="40"/>
      <c r="C63" s="977"/>
      <c r="D63" s="977"/>
      <c r="E63" s="977"/>
      <c r="F63" s="977">
        <v>-303659.65999999997</v>
      </c>
    </row>
    <row r="64" spans="1:15">
      <c r="A64" s="25"/>
      <c r="B64" s="40" t="s">
        <v>1029</v>
      </c>
      <c r="C64" s="977"/>
      <c r="D64" s="977"/>
      <c r="E64" s="977"/>
      <c r="F64" s="977">
        <v>0</v>
      </c>
    </row>
    <row r="65" spans="1:17">
      <c r="A65" s="25"/>
      <c r="B65" s="40"/>
      <c r="C65" s="977"/>
      <c r="D65" s="977"/>
      <c r="E65" s="977"/>
      <c r="F65" s="977">
        <v>-232460</v>
      </c>
    </row>
    <row r="66" spans="1:17">
      <c r="A66" s="25"/>
      <c r="B66" s="40" t="s">
        <v>145</v>
      </c>
      <c r="C66" s="977"/>
      <c r="D66" s="977">
        <v>18075</v>
      </c>
      <c r="E66" s="977"/>
      <c r="F66" s="977"/>
      <c r="J66" s="42"/>
    </row>
    <row r="67" spans="1:17">
      <c r="A67" s="25"/>
      <c r="B67" s="40"/>
      <c r="C67" s="977"/>
      <c r="D67" s="977">
        <v>-22891.33</v>
      </c>
      <c r="E67" s="977"/>
      <c r="F67" s="977"/>
      <c r="J67" s="42"/>
    </row>
    <row r="68" spans="1:17">
      <c r="A68" s="25"/>
      <c r="B68" s="40" t="s">
        <v>146</v>
      </c>
      <c r="C68" s="977"/>
      <c r="D68" s="977">
        <v>27257</v>
      </c>
      <c r="E68" s="977"/>
      <c r="F68" s="977"/>
    </row>
    <row r="69" spans="1:17">
      <c r="A69" s="25"/>
      <c r="B69" s="40"/>
      <c r="C69" s="977"/>
      <c r="D69" s="977">
        <v>-13035.52</v>
      </c>
      <c r="E69" s="977"/>
      <c r="F69" s="977"/>
    </row>
    <row r="70" spans="1:17">
      <c r="A70" s="25"/>
      <c r="B70" s="40" t="s">
        <v>1083</v>
      </c>
      <c r="C70" s="977"/>
      <c r="D70" s="977">
        <v>57200</v>
      </c>
      <c r="E70" s="977"/>
      <c r="F70" s="977"/>
    </row>
    <row r="71" spans="1:17">
      <c r="A71" s="25"/>
      <c r="B71" s="40"/>
      <c r="C71" s="977"/>
      <c r="D71" s="977">
        <v>-2437.5</v>
      </c>
      <c r="E71" s="977"/>
      <c r="F71" s="977"/>
    </row>
    <row r="72" spans="1:17">
      <c r="A72" s="25"/>
      <c r="B72" s="40" t="s">
        <v>825</v>
      </c>
      <c r="C72" s="977"/>
      <c r="D72" s="977"/>
      <c r="E72" s="977"/>
      <c r="F72" s="977">
        <v>1693</v>
      </c>
      <c r="Q72" s="41"/>
    </row>
    <row r="73" spans="1:17">
      <c r="A73" s="25"/>
      <c r="B73" s="40"/>
      <c r="C73" s="977"/>
      <c r="D73" s="977"/>
      <c r="E73" s="977"/>
      <c r="F73" s="977">
        <v>-6230.01</v>
      </c>
      <c r="Q73" s="41"/>
    </row>
    <row r="74" spans="1:17">
      <c r="A74" s="25"/>
      <c r="B74" s="40" t="s">
        <v>1661</v>
      </c>
      <c r="C74" s="977"/>
      <c r="D74" s="977"/>
      <c r="E74" s="977"/>
      <c r="F74" s="977">
        <v>49970</v>
      </c>
      <c r="Q74" s="41"/>
    </row>
    <row r="75" spans="1:17">
      <c r="A75" s="25"/>
      <c r="B75" s="40"/>
      <c r="C75" s="977"/>
      <c r="D75" s="977"/>
      <c r="E75" s="977"/>
      <c r="F75" s="977">
        <v>-73713.350000000006</v>
      </c>
      <c r="Q75" s="41"/>
    </row>
    <row r="76" spans="1:17">
      <c r="A76" s="25"/>
      <c r="B76" s="36" t="s">
        <v>1704</v>
      </c>
      <c r="C76" s="977"/>
      <c r="D76" s="977"/>
      <c r="E76" s="977"/>
      <c r="F76" s="977"/>
      <c r="Q76" s="41"/>
    </row>
    <row r="77" spans="1:17">
      <c r="A77" s="25"/>
      <c r="B77" s="40" t="s">
        <v>808</v>
      </c>
      <c r="C77" s="977"/>
      <c r="D77" s="977"/>
      <c r="E77" s="977"/>
      <c r="F77" s="977">
        <v>0</v>
      </c>
      <c r="Q77" s="41"/>
    </row>
    <row r="78" spans="1:17">
      <c r="A78" s="25"/>
      <c r="B78" s="40"/>
      <c r="C78" s="977"/>
      <c r="D78" s="977"/>
      <c r="E78" s="977"/>
      <c r="F78" s="977">
        <v>-5000</v>
      </c>
      <c r="Q78" s="41"/>
    </row>
    <row r="79" spans="1:17" ht="7.5" customHeight="1">
      <c r="A79" s="25"/>
      <c r="B79" s="40"/>
      <c r="C79" s="977"/>
      <c r="D79" s="977"/>
      <c r="E79" s="977"/>
      <c r="F79" s="977"/>
      <c r="Q79" s="41"/>
    </row>
    <row r="80" spans="1:17" ht="14.25" customHeight="1">
      <c r="A80" s="25"/>
      <c r="B80" s="43" t="s">
        <v>1173</v>
      </c>
      <c r="C80" s="977"/>
      <c r="D80" s="977"/>
      <c r="E80" s="977"/>
      <c r="F80" s="977"/>
      <c r="Q80" s="41"/>
    </row>
    <row r="81" spans="1:17">
      <c r="A81" s="25"/>
      <c r="B81" s="40" t="s">
        <v>823</v>
      </c>
      <c r="C81" s="977"/>
      <c r="D81" s="977"/>
      <c r="E81" s="977"/>
      <c r="F81" s="977">
        <v>350175</v>
      </c>
      <c r="Q81" s="41"/>
    </row>
    <row r="82" spans="1:17">
      <c r="A82" s="25"/>
      <c r="B82" s="40"/>
      <c r="C82" s="977"/>
      <c r="D82" s="977"/>
      <c r="E82" s="977"/>
      <c r="F82" s="977">
        <v>-364688</v>
      </c>
      <c r="Q82" s="41"/>
    </row>
    <row r="83" spans="1:17" ht="11.25" customHeight="1">
      <c r="A83" s="25"/>
      <c r="B83" s="40"/>
      <c r="C83" s="977"/>
      <c r="D83" s="977"/>
      <c r="E83" s="977"/>
      <c r="F83" s="977"/>
      <c r="Q83" s="41"/>
    </row>
    <row r="84" spans="1:17">
      <c r="A84" s="25"/>
      <c r="B84" s="36" t="s">
        <v>1174</v>
      </c>
      <c r="C84" s="977"/>
      <c r="D84" s="977"/>
      <c r="E84" s="977"/>
      <c r="F84" s="977"/>
      <c r="Q84" s="41"/>
    </row>
    <row r="85" spans="1:17">
      <c r="A85" s="25"/>
      <c r="B85" s="40" t="s">
        <v>823</v>
      </c>
      <c r="C85" s="977"/>
      <c r="D85" s="977"/>
      <c r="E85" s="977"/>
      <c r="F85" s="977">
        <v>498211</v>
      </c>
      <c r="Q85" s="41"/>
    </row>
    <row r="86" spans="1:17">
      <c r="A86" s="25"/>
      <c r="B86" s="44"/>
      <c r="C86" s="979"/>
      <c r="D86" s="979"/>
      <c r="E86" s="979"/>
      <c r="F86" s="979">
        <v>-200000</v>
      </c>
      <c r="Q86" s="41"/>
    </row>
    <row r="87" spans="1:17">
      <c r="A87" s="25"/>
      <c r="B87" s="45"/>
      <c r="C87" s="980"/>
      <c r="D87" s="980"/>
      <c r="E87" s="980"/>
      <c r="F87" s="981" t="s">
        <v>1175</v>
      </c>
      <c r="Q87" s="41"/>
    </row>
    <row r="88" spans="1:17">
      <c r="A88" s="29" t="s">
        <v>1166</v>
      </c>
      <c r="B88" s="26" t="s">
        <v>1176</v>
      </c>
      <c r="C88" s="982"/>
      <c r="D88" s="982"/>
      <c r="E88" s="982"/>
      <c r="F88" s="982"/>
      <c r="Q88" s="41"/>
    </row>
    <row r="89" spans="1:17">
      <c r="A89" s="25"/>
      <c r="B89" s="26"/>
      <c r="C89" s="982"/>
      <c r="D89" s="982"/>
      <c r="E89" s="982"/>
      <c r="F89" s="982"/>
      <c r="Q89" s="41"/>
    </row>
    <row r="90" spans="1:17" ht="64">
      <c r="A90" s="25"/>
      <c r="B90" s="33" t="s">
        <v>821</v>
      </c>
      <c r="C90" s="983" t="s">
        <v>803</v>
      </c>
      <c r="D90" s="983" t="s">
        <v>818</v>
      </c>
      <c r="E90" s="984" t="s">
        <v>1167</v>
      </c>
      <c r="F90" s="985" t="s">
        <v>1168</v>
      </c>
      <c r="Q90" s="41"/>
    </row>
    <row r="91" spans="1:17">
      <c r="A91" s="25"/>
      <c r="B91" s="40"/>
      <c r="C91" s="977"/>
      <c r="D91" s="977"/>
      <c r="E91" s="977"/>
      <c r="F91" s="977"/>
      <c r="Q91" s="41"/>
    </row>
    <row r="92" spans="1:17">
      <c r="A92" s="25"/>
      <c r="B92" s="36" t="s">
        <v>1177</v>
      </c>
      <c r="C92" s="977"/>
      <c r="D92" s="977"/>
      <c r="E92" s="977"/>
      <c r="F92" s="977"/>
      <c r="Q92" s="41"/>
    </row>
    <row r="93" spans="1:17">
      <c r="A93" s="25"/>
      <c r="B93" s="46" t="s">
        <v>823</v>
      </c>
      <c r="C93" s="977"/>
      <c r="D93" s="977"/>
      <c r="E93" s="977"/>
      <c r="F93" s="977">
        <v>8414</v>
      </c>
      <c r="Q93" s="41"/>
    </row>
    <row r="94" spans="1:17">
      <c r="A94" s="25"/>
      <c r="B94" s="46"/>
      <c r="C94" s="977"/>
      <c r="D94" s="977"/>
      <c r="E94" s="977"/>
      <c r="F94" s="977">
        <v>-5806</v>
      </c>
      <c r="Q94" s="41"/>
    </row>
    <row r="95" spans="1:17">
      <c r="A95" s="25"/>
      <c r="B95" s="40" t="s">
        <v>808</v>
      </c>
      <c r="C95" s="977"/>
      <c r="D95" s="977"/>
      <c r="E95" s="977"/>
      <c r="F95" s="977">
        <v>0</v>
      </c>
      <c r="Q95" s="41"/>
    </row>
    <row r="96" spans="1:17">
      <c r="A96" s="25"/>
      <c r="B96" s="46"/>
      <c r="C96" s="977"/>
      <c r="D96" s="977"/>
      <c r="E96" s="977"/>
      <c r="F96" s="977">
        <v>-5500</v>
      </c>
      <c r="Q96" s="41"/>
    </row>
    <row r="97" spans="1:17">
      <c r="A97" s="25"/>
      <c r="B97" s="46" t="s">
        <v>1705</v>
      </c>
      <c r="C97" s="977"/>
      <c r="D97" s="977"/>
      <c r="E97" s="977"/>
      <c r="F97" s="977">
        <v>2100</v>
      </c>
      <c r="Q97" s="41"/>
    </row>
    <row r="98" spans="1:17">
      <c r="A98" s="25"/>
      <c r="B98" s="46"/>
      <c r="C98" s="977"/>
      <c r="D98" s="977"/>
      <c r="E98" s="977"/>
      <c r="F98" s="977">
        <v>-29467.8</v>
      </c>
      <c r="Q98" s="41"/>
    </row>
    <row r="99" spans="1:17">
      <c r="A99" s="25"/>
      <c r="B99" s="46" t="s">
        <v>1164</v>
      </c>
      <c r="C99" s="977"/>
      <c r="D99" s="977"/>
      <c r="E99" s="977"/>
      <c r="F99" s="977">
        <v>0</v>
      </c>
      <c r="Q99" s="41"/>
    </row>
    <row r="100" spans="1:17">
      <c r="A100" s="25"/>
      <c r="B100" s="40"/>
      <c r="C100" s="977"/>
      <c r="D100" s="977"/>
      <c r="E100" s="977"/>
      <c r="F100" s="977">
        <v>-248181</v>
      </c>
      <c r="Q100" s="41"/>
    </row>
    <row r="101" spans="1:17">
      <c r="A101" s="25"/>
      <c r="B101" s="47" t="s">
        <v>1179</v>
      </c>
      <c r="C101" s="977"/>
      <c r="D101" s="977"/>
      <c r="E101" s="977"/>
      <c r="F101" s="977"/>
      <c r="Q101" s="41"/>
    </row>
    <row r="102" spans="1:17">
      <c r="A102" s="25"/>
      <c r="B102" s="46" t="s">
        <v>823</v>
      </c>
      <c r="C102" s="977"/>
      <c r="D102" s="977"/>
      <c r="E102" s="977"/>
      <c r="F102" s="977">
        <v>60000</v>
      </c>
      <c r="Q102" s="41"/>
    </row>
    <row r="103" spans="1:17">
      <c r="A103" s="25"/>
      <c r="B103" s="46"/>
      <c r="C103" s="977"/>
      <c r="D103" s="977"/>
      <c r="E103" s="977"/>
      <c r="F103" s="977">
        <v>-60000</v>
      </c>
      <c r="Q103" s="41"/>
    </row>
    <row r="104" spans="1:17">
      <c r="A104" s="25"/>
      <c r="B104" s="47" t="s">
        <v>1662</v>
      </c>
      <c r="C104" s="977"/>
      <c r="D104" s="977"/>
      <c r="E104" s="977"/>
      <c r="F104" s="977"/>
      <c r="Q104" s="41"/>
    </row>
    <row r="105" spans="1:17">
      <c r="A105" s="25"/>
      <c r="B105" s="46" t="s">
        <v>1058</v>
      </c>
      <c r="C105" s="977"/>
      <c r="D105" s="977"/>
      <c r="E105" s="977"/>
      <c r="F105" s="977">
        <v>60000</v>
      </c>
      <c r="Q105" s="41"/>
    </row>
    <row r="106" spans="1:17">
      <c r="A106" s="25"/>
      <c r="B106" s="46"/>
      <c r="C106" s="977"/>
      <c r="D106" s="977"/>
      <c r="E106" s="977"/>
      <c r="F106" s="977">
        <v>0</v>
      </c>
      <c r="Q106" s="41"/>
    </row>
    <row r="107" spans="1:17">
      <c r="A107" s="25"/>
      <c r="B107" s="47" t="s">
        <v>1663</v>
      </c>
      <c r="C107" s="977"/>
      <c r="D107" s="977"/>
      <c r="E107" s="977"/>
      <c r="F107" s="977"/>
      <c r="Q107" s="41"/>
    </row>
    <row r="108" spans="1:17">
      <c r="A108" s="25"/>
      <c r="B108" s="46" t="s">
        <v>1660</v>
      </c>
      <c r="C108" s="977"/>
      <c r="D108" s="977"/>
      <c r="E108" s="977"/>
      <c r="F108" s="977">
        <v>40000</v>
      </c>
      <c r="Q108" s="41"/>
    </row>
    <row r="109" spans="1:17">
      <c r="A109" s="25"/>
      <c r="B109" s="46"/>
      <c r="C109" s="977"/>
      <c r="D109" s="977"/>
      <c r="E109" s="977"/>
      <c r="F109" s="977">
        <v>0</v>
      </c>
      <c r="Q109" s="41"/>
    </row>
    <row r="110" spans="1:17">
      <c r="A110" s="25"/>
      <c r="B110" s="47" t="s">
        <v>1180</v>
      </c>
      <c r="C110" s="977"/>
      <c r="D110" s="977"/>
      <c r="E110" s="977"/>
      <c r="F110" s="977"/>
      <c r="Q110" s="41"/>
    </row>
    <row r="111" spans="1:17">
      <c r="A111" s="25"/>
      <c r="B111" s="46" t="s">
        <v>1029</v>
      </c>
      <c r="C111" s="977"/>
      <c r="D111" s="977"/>
      <c r="E111" s="977"/>
      <c r="F111" s="977">
        <v>267335</v>
      </c>
      <c r="Q111" s="41"/>
    </row>
    <row r="112" spans="1:17">
      <c r="A112" s="25"/>
      <c r="B112" s="40"/>
      <c r="C112" s="977"/>
      <c r="D112" s="977"/>
      <c r="E112" s="977"/>
      <c r="F112" s="977">
        <v>0</v>
      </c>
      <c r="Q112" s="41"/>
    </row>
    <row r="113" spans="1:17">
      <c r="A113" s="25"/>
      <c r="B113" s="46" t="s">
        <v>1702</v>
      </c>
      <c r="C113" s="977"/>
      <c r="D113" s="977"/>
      <c r="E113" s="977"/>
      <c r="F113" s="977">
        <v>0</v>
      </c>
      <c r="Q113" s="41"/>
    </row>
    <row r="114" spans="1:17">
      <c r="A114" s="25"/>
      <c r="B114" s="40"/>
      <c r="C114" s="977"/>
      <c r="D114" s="977"/>
      <c r="E114" s="977"/>
      <c r="F114" s="977">
        <v>-204084</v>
      </c>
      <c r="Q114" s="41"/>
    </row>
    <row r="115" spans="1:17">
      <c r="A115" s="25"/>
      <c r="B115" s="36" t="s">
        <v>826</v>
      </c>
      <c r="C115" s="977"/>
      <c r="D115" s="977"/>
      <c r="E115" s="977"/>
      <c r="F115" s="977"/>
      <c r="Q115" s="41"/>
    </row>
    <row r="116" spans="1:17">
      <c r="A116" s="25"/>
      <c r="B116" s="40" t="s">
        <v>145</v>
      </c>
      <c r="C116" s="977"/>
      <c r="D116" s="977">
        <v>0</v>
      </c>
      <c r="E116" s="977"/>
      <c r="F116" s="977"/>
      <c r="Q116" s="41"/>
    </row>
    <row r="117" spans="1:17">
      <c r="A117" s="25"/>
      <c r="B117" s="40"/>
      <c r="C117" s="977"/>
      <c r="D117" s="977">
        <v>-7550000</v>
      </c>
      <c r="E117" s="977"/>
      <c r="F117" s="977"/>
      <c r="Q117" s="41"/>
    </row>
    <row r="118" spans="1:17">
      <c r="A118" s="25"/>
      <c r="B118" s="40" t="s">
        <v>1181</v>
      </c>
      <c r="C118" s="977">
        <v>0</v>
      </c>
      <c r="D118" s="977"/>
      <c r="E118" s="977"/>
      <c r="F118" s="977"/>
      <c r="Q118" s="41"/>
    </row>
    <row r="119" spans="1:17">
      <c r="A119" s="25"/>
      <c r="B119" s="40"/>
      <c r="C119" s="977">
        <v>-2850000</v>
      </c>
      <c r="D119" s="977"/>
      <c r="E119" s="977"/>
      <c r="F119" s="977"/>
      <c r="Q119" s="41"/>
    </row>
    <row r="120" spans="1:17">
      <c r="A120" s="25"/>
      <c r="B120" s="40" t="s">
        <v>1407</v>
      </c>
      <c r="C120" s="977">
        <v>0</v>
      </c>
      <c r="D120" s="977"/>
      <c r="E120" s="977"/>
      <c r="F120" s="977"/>
      <c r="Q120" s="41"/>
    </row>
    <row r="121" spans="1:17">
      <c r="A121" s="25"/>
      <c r="B121" s="40"/>
      <c r="C121" s="977">
        <v>-120000</v>
      </c>
      <c r="D121" s="977"/>
      <c r="E121" s="977"/>
      <c r="F121" s="977"/>
      <c r="Q121" s="41"/>
    </row>
    <row r="122" spans="1:17">
      <c r="A122" s="25"/>
      <c r="B122" s="36" t="s">
        <v>827</v>
      </c>
      <c r="C122" s="977"/>
      <c r="D122" s="977"/>
      <c r="E122" s="977"/>
      <c r="F122" s="977"/>
      <c r="Q122" s="41"/>
    </row>
    <row r="123" spans="1:17">
      <c r="A123" s="25"/>
      <c r="B123" s="40" t="s">
        <v>145</v>
      </c>
      <c r="C123" s="977"/>
      <c r="D123" s="977">
        <v>0</v>
      </c>
      <c r="E123" s="977"/>
      <c r="F123" s="977"/>
      <c r="Q123" s="41"/>
    </row>
    <row r="124" spans="1:17">
      <c r="A124" s="25"/>
      <c r="B124" s="40"/>
      <c r="C124" s="977"/>
      <c r="D124" s="977">
        <v>-1550006</v>
      </c>
      <c r="E124" s="977"/>
      <c r="F124" s="977"/>
      <c r="Q124" s="41"/>
    </row>
    <row r="125" spans="1:17">
      <c r="A125" s="25"/>
      <c r="B125" s="40" t="s">
        <v>1706</v>
      </c>
      <c r="C125" s="977"/>
      <c r="D125" s="977">
        <v>0</v>
      </c>
      <c r="E125" s="977"/>
      <c r="F125" s="977"/>
      <c r="Q125" s="41"/>
    </row>
    <row r="126" spans="1:17">
      <c r="A126" s="25"/>
      <c r="B126" s="40"/>
      <c r="C126" s="977"/>
      <c r="D126" s="977">
        <v>-5999994</v>
      </c>
      <c r="E126" s="977"/>
      <c r="F126" s="977"/>
      <c r="Q126" s="41"/>
    </row>
    <row r="127" spans="1:17">
      <c r="A127" s="25"/>
      <c r="B127" s="40" t="s">
        <v>1178</v>
      </c>
      <c r="C127" s="977">
        <v>0</v>
      </c>
      <c r="D127" s="977"/>
      <c r="E127" s="977"/>
      <c r="F127" s="977"/>
      <c r="Q127" s="41"/>
    </row>
    <row r="128" spans="1:17">
      <c r="A128" s="25"/>
      <c r="B128" s="40"/>
      <c r="C128" s="977">
        <v>-270000</v>
      </c>
      <c r="D128" s="977"/>
      <c r="E128" s="977"/>
      <c r="F128" s="977"/>
      <c r="Q128" s="41"/>
    </row>
    <row r="129" spans="1:17">
      <c r="A129" s="25"/>
      <c r="B129" s="36" t="s">
        <v>1182</v>
      </c>
      <c r="C129" s="977"/>
      <c r="D129" s="977"/>
      <c r="E129" s="977"/>
      <c r="F129" s="977"/>
      <c r="Q129" s="41"/>
    </row>
    <row r="130" spans="1:17">
      <c r="A130" s="25"/>
      <c r="B130" s="40" t="s">
        <v>1702</v>
      </c>
      <c r="C130" s="977"/>
      <c r="D130" s="977"/>
      <c r="E130" s="977"/>
      <c r="F130" s="977">
        <v>0</v>
      </c>
      <c r="Q130" s="41"/>
    </row>
    <row r="131" spans="1:17">
      <c r="A131" s="25"/>
      <c r="B131" s="40"/>
      <c r="C131" s="977"/>
      <c r="D131" s="977"/>
      <c r="E131" s="977"/>
      <c r="F131" s="977">
        <v>-11620</v>
      </c>
      <c r="Q131" s="41"/>
    </row>
    <row r="132" spans="1:17">
      <c r="A132" s="25"/>
      <c r="B132" s="40"/>
      <c r="C132" s="977"/>
      <c r="D132" s="977"/>
      <c r="E132" s="977"/>
      <c r="F132" s="977"/>
      <c r="Q132" s="41"/>
    </row>
    <row r="133" spans="1:17">
      <c r="A133" s="25"/>
      <c r="B133" s="36" t="s">
        <v>1183</v>
      </c>
      <c r="C133" s="977"/>
      <c r="D133" s="977"/>
      <c r="E133" s="977"/>
      <c r="F133" s="977"/>
      <c r="Q133" s="41"/>
    </row>
    <row r="134" spans="1:17">
      <c r="A134" s="25"/>
      <c r="B134" s="40" t="s">
        <v>1178</v>
      </c>
      <c r="C134" s="977">
        <v>0</v>
      </c>
      <c r="D134" s="977"/>
      <c r="E134" s="977"/>
      <c r="F134" s="977"/>
      <c r="Q134" s="41"/>
    </row>
    <row r="135" spans="1:17">
      <c r="A135" s="25"/>
      <c r="B135" s="40"/>
      <c r="C135" s="977">
        <v>-17499966</v>
      </c>
      <c r="D135" s="977"/>
      <c r="E135" s="977"/>
      <c r="F135" s="977"/>
      <c r="Q135" s="41"/>
    </row>
    <row r="136" spans="1:17">
      <c r="A136" s="25"/>
      <c r="B136" s="36" t="s">
        <v>201</v>
      </c>
      <c r="C136" s="977"/>
      <c r="D136" s="977"/>
      <c r="E136" s="977"/>
      <c r="F136" s="977"/>
      <c r="Q136" s="41"/>
    </row>
    <row r="137" spans="1:17">
      <c r="A137" s="25"/>
      <c r="B137" s="40" t="s">
        <v>382</v>
      </c>
      <c r="C137" s="977">
        <v>0</v>
      </c>
      <c r="D137" s="977"/>
      <c r="E137" s="977"/>
      <c r="F137" s="977"/>
      <c r="Q137" s="41"/>
    </row>
    <row r="138" spans="1:17">
      <c r="A138" s="25"/>
      <c r="B138" s="40"/>
      <c r="C138" s="977">
        <v>-1013333</v>
      </c>
      <c r="D138" s="977"/>
      <c r="E138" s="977"/>
      <c r="F138" s="977"/>
      <c r="Q138" s="41"/>
    </row>
    <row r="139" spans="1:17">
      <c r="A139" s="25"/>
      <c r="B139" s="36" t="s">
        <v>1059</v>
      </c>
      <c r="C139" s="977"/>
      <c r="D139" s="977"/>
      <c r="E139" s="977"/>
      <c r="F139" s="977"/>
      <c r="Q139" s="41"/>
    </row>
    <row r="140" spans="1:17">
      <c r="A140" s="25"/>
      <c r="B140" s="40" t="s">
        <v>382</v>
      </c>
      <c r="C140" s="977">
        <v>0</v>
      </c>
      <c r="D140" s="977"/>
      <c r="E140" s="977"/>
      <c r="F140" s="977"/>
      <c r="Q140" s="41"/>
    </row>
    <row r="141" spans="1:17">
      <c r="A141" s="25"/>
      <c r="B141" s="40"/>
      <c r="C141" s="977">
        <v>-787106</v>
      </c>
      <c r="D141" s="977"/>
      <c r="E141" s="977"/>
      <c r="F141" s="977"/>
      <c r="Q141" s="41"/>
    </row>
    <row r="142" spans="1:17">
      <c r="A142" s="25"/>
      <c r="B142" s="48" t="s">
        <v>828</v>
      </c>
      <c r="C142" s="977"/>
      <c r="D142" s="977"/>
      <c r="E142" s="977"/>
      <c r="F142" s="977"/>
    </row>
    <row r="143" spans="1:17">
      <c r="A143" s="25"/>
      <c r="B143" s="52" t="s">
        <v>829</v>
      </c>
      <c r="C143" s="986"/>
      <c r="D143" s="986"/>
      <c r="E143" s="986"/>
      <c r="F143" s="987"/>
    </row>
    <row r="144" spans="1:17">
      <c r="A144" s="25"/>
      <c r="B144" s="51" t="s">
        <v>1409</v>
      </c>
      <c r="C144" s="977"/>
      <c r="D144" s="980"/>
      <c r="E144" s="977"/>
      <c r="F144" s="977">
        <v>121869.42</v>
      </c>
    </row>
    <row r="145" spans="1:13">
      <c r="A145" s="25"/>
      <c r="B145" s="51"/>
      <c r="C145" s="977"/>
      <c r="D145" s="980"/>
      <c r="E145" s="977"/>
      <c r="F145" s="977">
        <v>-121869.42</v>
      </c>
    </row>
    <row r="146" spans="1:13" ht="16">
      <c r="A146" s="25"/>
      <c r="B146" s="43" t="s">
        <v>1490</v>
      </c>
      <c r="C146" s="977"/>
      <c r="D146" s="982"/>
      <c r="E146" s="977"/>
      <c r="F146" s="977"/>
      <c r="I146" s="24"/>
      <c r="J146" s="24"/>
      <c r="K146" s="24"/>
      <c r="L146" s="24"/>
      <c r="M146" s="24"/>
    </row>
    <row r="147" spans="1:13" ht="16">
      <c r="A147" s="25"/>
      <c r="B147" s="53" t="s">
        <v>823</v>
      </c>
      <c r="C147" s="977"/>
      <c r="D147" s="982"/>
      <c r="E147" s="977"/>
      <c r="F147" s="977">
        <v>174000</v>
      </c>
      <c r="I147" s="24"/>
      <c r="J147" s="24"/>
      <c r="K147" s="24"/>
      <c r="L147" s="24"/>
      <c r="M147" s="24"/>
    </row>
    <row r="148" spans="1:13">
      <c r="A148" s="25"/>
      <c r="B148" s="44"/>
      <c r="C148" s="979"/>
      <c r="D148" s="979"/>
      <c r="E148" s="979"/>
      <c r="F148" s="979">
        <v>-174000</v>
      </c>
      <c r="I148" s="24"/>
      <c r="J148" s="24"/>
      <c r="K148" s="24"/>
      <c r="L148" s="24"/>
      <c r="M148" s="24"/>
    </row>
    <row r="149" spans="1:13" s="24" customFormat="1">
      <c r="A149" s="25"/>
      <c r="B149" s="26"/>
      <c r="C149" s="982"/>
      <c r="D149" s="982"/>
      <c r="E149" s="982"/>
      <c r="F149" s="982"/>
    </row>
    <row r="150" spans="1:13">
      <c r="B150" s="32" t="s">
        <v>1707</v>
      </c>
      <c r="C150" s="988"/>
      <c r="D150" s="988"/>
      <c r="E150" s="988"/>
      <c r="F150" s="988"/>
    </row>
    <row r="151" spans="1:13">
      <c r="C151" s="988"/>
      <c r="D151" s="988"/>
      <c r="E151" s="988"/>
      <c r="F151" s="988"/>
    </row>
    <row r="152" spans="1:13">
      <c r="C152" s="988"/>
      <c r="D152" s="988"/>
      <c r="E152" s="988"/>
      <c r="F152" s="988"/>
    </row>
    <row r="153" spans="1:13">
      <c r="C153" s="988"/>
      <c r="D153" s="988"/>
      <c r="E153" s="988"/>
      <c r="F153" s="988"/>
    </row>
    <row r="154" spans="1:13">
      <c r="C154" s="988"/>
      <c r="D154" s="988"/>
      <c r="E154" s="988"/>
      <c r="F154" s="988"/>
    </row>
    <row r="155" spans="1:13">
      <c r="C155" s="988"/>
      <c r="D155" s="988"/>
      <c r="E155" s="988"/>
      <c r="F155" s="988"/>
    </row>
    <row r="156" spans="1:13">
      <c r="C156" s="988"/>
      <c r="D156" s="988"/>
      <c r="E156" s="988"/>
      <c r="F156" s="988"/>
    </row>
    <row r="157" spans="1:13">
      <c r="C157" s="988"/>
      <c r="D157" s="988"/>
      <c r="E157" s="988"/>
      <c r="F157" s="988"/>
    </row>
    <row r="158" spans="1:13">
      <c r="C158" s="988"/>
      <c r="D158" s="988"/>
      <c r="E158" s="988"/>
      <c r="F158" s="988"/>
    </row>
    <row r="159" spans="1:13">
      <c r="C159" s="988"/>
      <c r="D159" s="988"/>
      <c r="E159" s="988"/>
      <c r="F159" s="988"/>
    </row>
    <row r="160" spans="1:13">
      <c r="C160" s="988"/>
      <c r="D160" s="988"/>
      <c r="E160" s="988"/>
      <c r="F160" s="988"/>
    </row>
    <row r="161" spans="3:6">
      <c r="C161" s="988"/>
      <c r="D161" s="988"/>
      <c r="E161" s="988"/>
      <c r="F161" s="988"/>
    </row>
    <row r="162" spans="3:6">
      <c r="C162" s="988"/>
      <c r="D162" s="988"/>
      <c r="E162" s="988"/>
      <c r="F162" s="988"/>
    </row>
    <row r="163" spans="3:6">
      <c r="C163" s="988"/>
      <c r="D163" s="988"/>
      <c r="E163" s="988"/>
      <c r="F163" s="988"/>
    </row>
    <row r="164" spans="3:6">
      <c r="C164" s="988"/>
      <c r="D164" s="988"/>
      <c r="E164" s="988"/>
      <c r="F164" s="988"/>
    </row>
    <row r="165" spans="3:6">
      <c r="C165" s="988"/>
      <c r="D165" s="988"/>
      <c r="E165" s="988"/>
      <c r="F165" s="988"/>
    </row>
    <row r="166" spans="3:6">
      <c r="C166" s="988"/>
      <c r="D166" s="988"/>
      <c r="E166" s="988"/>
      <c r="F166" s="988"/>
    </row>
    <row r="167" spans="3:6">
      <c r="C167" s="988"/>
      <c r="D167" s="988"/>
      <c r="E167" s="988"/>
      <c r="F167" s="988"/>
    </row>
    <row r="168" spans="3:6">
      <c r="C168" s="988"/>
      <c r="D168" s="988"/>
      <c r="E168" s="988"/>
      <c r="F168" s="988"/>
    </row>
    <row r="169" spans="3:6">
      <c r="C169" s="988"/>
      <c r="D169" s="988"/>
      <c r="E169" s="988"/>
      <c r="F169" s="988"/>
    </row>
    <row r="170" spans="3:6">
      <c r="C170" s="988"/>
      <c r="D170" s="988"/>
      <c r="E170" s="988"/>
      <c r="F170" s="988"/>
    </row>
    <row r="171" spans="3:6">
      <c r="C171" s="988"/>
      <c r="D171" s="988"/>
      <c r="E171" s="988"/>
      <c r="F171" s="988"/>
    </row>
    <row r="172" spans="3:6">
      <c r="C172" s="988"/>
      <c r="D172" s="988"/>
      <c r="E172" s="988"/>
      <c r="F172" s="988"/>
    </row>
    <row r="173" spans="3:6">
      <c r="C173" s="988"/>
      <c r="D173" s="988"/>
      <c r="E173" s="988"/>
      <c r="F173" s="988"/>
    </row>
    <row r="174" spans="3:6">
      <c r="C174" s="988"/>
      <c r="D174" s="988"/>
      <c r="E174" s="988"/>
      <c r="F174" s="988"/>
    </row>
    <row r="175" spans="3:6">
      <c r="C175" s="988"/>
      <c r="D175" s="988"/>
      <c r="E175" s="988"/>
      <c r="F175" s="988"/>
    </row>
    <row r="176" spans="3:6">
      <c r="C176" s="988"/>
      <c r="D176" s="988"/>
      <c r="E176" s="988"/>
      <c r="F176" s="988"/>
    </row>
    <row r="177" spans="3:6">
      <c r="C177" s="988"/>
      <c r="D177" s="988"/>
      <c r="E177" s="988"/>
      <c r="F177" s="988"/>
    </row>
    <row r="178" spans="3:6">
      <c r="C178" s="988"/>
      <c r="D178" s="988"/>
      <c r="E178" s="988"/>
      <c r="F178" s="988"/>
    </row>
    <row r="179" spans="3:6">
      <c r="C179" s="988"/>
      <c r="D179" s="988"/>
      <c r="E179" s="988"/>
      <c r="F179" s="988"/>
    </row>
    <row r="180" spans="3:6">
      <c r="C180" s="988"/>
      <c r="D180" s="988"/>
      <c r="E180" s="988"/>
      <c r="F180" s="988"/>
    </row>
    <row r="181" spans="3:6">
      <c r="C181" s="988"/>
      <c r="D181" s="988"/>
      <c r="E181" s="988"/>
      <c r="F181" s="988"/>
    </row>
    <row r="182" spans="3:6">
      <c r="C182" s="988"/>
      <c r="D182" s="988"/>
      <c r="E182" s="988"/>
      <c r="F182" s="988"/>
    </row>
    <row r="183" spans="3:6">
      <c r="C183" s="988"/>
      <c r="D183" s="988"/>
      <c r="E183" s="988"/>
      <c r="F183" s="988"/>
    </row>
    <row r="184" spans="3:6">
      <c r="C184" s="988"/>
      <c r="D184" s="988"/>
      <c r="E184" s="988"/>
      <c r="F184" s="988"/>
    </row>
    <row r="185" spans="3:6">
      <c r="C185" s="988"/>
      <c r="D185" s="988"/>
      <c r="E185" s="988"/>
      <c r="F185" s="988"/>
    </row>
    <row r="186" spans="3:6">
      <c r="C186" s="988"/>
      <c r="D186" s="988"/>
      <c r="E186" s="988"/>
      <c r="F186" s="988"/>
    </row>
    <row r="187" spans="3:6">
      <c r="C187" s="988"/>
      <c r="D187" s="988"/>
      <c r="E187" s="988"/>
      <c r="F187" s="988"/>
    </row>
    <row r="188" spans="3:6">
      <c r="C188" s="988"/>
      <c r="D188" s="988"/>
      <c r="E188" s="988"/>
      <c r="F188" s="988"/>
    </row>
    <row r="189" spans="3:6">
      <c r="C189" s="988"/>
      <c r="D189" s="988"/>
      <c r="E189" s="988"/>
      <c r="F189" s="988"/>
    </row>
    <row r="190" spans="3:6">
      <c r="C190" s="988"/>
      <c r="D190" s="988"/>
      <c r="E190" s="988"/>
      <c r="F190" s="988"/>
    </row>
    <row r="191" spans="3:6">
      <c r="C191" s="988"/>
      <c r="D191" s="988"/>
      <c r="E191" s="988"/>
      <c r="F191" s="988"/>
    </row>
    <row r="192" spans="3:6">
      <c r="C192" s="988"/>
      <c r="D192" s="988"/>
      <c r="E192" s="988"/>
      <c r="F192" s="988"/>
    </row>
    <row r="193" spans="3:6">
      <c r="C193" s="988"/>
      <c r="D193" s="988"/>
      <c r="E193" s="988"/>
      <c r="F193" s="988"/>
    </row>
    <row r="194" spans="3:6">
      <c r="C194" s="988"/>
      <c r="D194" s="988"/>
      <c r="E194" s="988"/>
      <c r="F194" s="988"/>
    </row>
    <row r="195" spans="3:6">
      <c r="C195" s="988"/>
      <c r="D195" s="988"/>
      <c r="E195" s="988"/>
      <c r="F195" s="988"/>
    </row>
    <row r="196" spans="3:6">
      <c r="C196" s="988"/>
      <c r="D196" s="988"/>
      <c r="E196" s="988"/>
      <c r="F196" s="988"/>
    </row>
    <row r="197" spans="3:6">
      <c r="C197" s="988"/>
      <c r="D197" s="988"/>
      <c r="E197" s="988"/>
      <c r="F197" s="988"/>
    </row>
    <row r="198" spans="3:6">
      <c r="C198" s="988"/>
      <c r="D198" s="988"/>
      <c r="E198" s="988"/>
      <c r="F198" s="988"/>
    </row>
    <row r="199" spans="3:6">
      <c r="C199" s="988"/>
      <c r="D199" s="988"/>
      <c r="E199" s="988"/>
      <c r="F199" s="988"/>
    </row>
    <row r="200" spans="3:6">
      <c r="C200" s="988"/>
      <c r="D200" s="988"/>
      <c r="E200" s="988"/>
      <c r="F200" s="988"/>
    </row>
  </sheetData>
  <mergeCells count="4">
    <mergeCell ref="A2:F2"/>
    <mergeCell ref="B11:F11"/>
    <mergeCell ref="B31:F31"/>
    <mergeCell ref="A3:F3"/>
  </mergeCells>
  <pageMargins left="0.59055118110236227" right="0.59055118110236227" top="0.59055118110236227" bottom="0.59055118110236227" header="0.31496062992125984" footer="0.31496062992125984"/>
  <pageSetup paperSize="9" scale="73" orientation="portrait" verticalDpi="300" r:id="rId1"/>
  <rowBreaks count="1" manualBreakCount="1">
    <brk id="87"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F1AFF-A81F-4531-B1BD-CDA6A94C07B6}">
  <dimension ref="A1:G30"/>
  <sheetViews>
    <sheetView showGridLines="0" workbookViewId="0">
      <selection activeCell="F4" sqref="F4"/>
    </sheetView>
  </sheetViews>
  <sheetFormatPr baseColWidth="10" defaultColWidth="9.1640625" defaultRowHeight="15"/>
  <cols>
    <col min="1" max="1" width="2.83203125" style="215" bestFit="1" customWidth="1"/>
    <col min="2" max="2" width="23.6640625" style="215" bestFit="1" customWidth="1"/>
    <col min="3" max="3" width="24.5" style="215" customWidth="1"/>
    <col min="4" max="4" width="20.5" style="215" customWidth="1"/>
    <col min="5" max="5" width="12.5" style="215" customWidth="1"/>
    <col min="6" max="6" width="13.33203125" style="215" customWidth="1"/>
    <col min="7" max="7" width="8.5" style="215" bestFit="1" customWidth="1"/>
    <col min="8" max="16384" width="9.1640625" style="215"/>
  </cols>
  <sheetData>
    <row r="1" spans="1:7">
      <c r="A1" s="1096" t="s">
        <v>925</v>
      </c>
      <c r="B1" s="1096"/>
      <c r="C1" s="1096"/>
      <c r="D1" s="1096"/>
      <c r="E1" s="1096"/>
      <c r="F1" s="1096"/>
    </row>
    <row r="2" spans="1:7">
      <c r="A2" s="1096" t="s">
        <v>926</v>
      </c>
      <c r="B2" s="1096"/>
      <c r="C2" s="1096"/>
      <c r="D2" s="1096"/>
      <c r="E2" s="1096"/>
      <c r="F2" s="1096"/>
    </row>
    <row r="3" spans="1:7">
      <c r="A3" s="1097" t="str">
        <f>FA!A3</f>
        <v>[Currency: Indian Rupees(Rs.'000)]</v>
      </c>
      <c r="B3" s="1097"/>
      <c r="C3" s="1097"/>
      <c r="D3" s="1097"/>
      <c r="E3" s="1097"/>
      <c r="F3" s="1097"/>
    </row>
    <row r="6" spans="1:7">
      <c r="A6" s="6">
        <f>'Note 36'!A4+1</f>
        <v>37</v>
      </c>
      <c r="B6" s="563" t="s">
        <v>1410</v>
      </c>
    </row>
    <row r="8" spans="1:7" s="628" customFormat="1" ht="32">
      <c r="B8" s="629" t="s">
        <v>0</v>
      </c>
      <c r="C8" s="629" t="s">
        <v>1464</v>
      </c>
      <c r="D8" s="629" t="s">
        <v>1465</v>
      </c>
      <c r="E8" s="629" t="s">
        <v>1466</v>
      </c>
      <c r="F8" s="629" t="s">
        <v>1467</v>
      </c>
      <c r="G8" s="629" t="s">
        <v>1468</v>
      </c>
    </row>
    <row r="9" spans="1:7" ht="16">
      <c r="B9" s="107" t="s">
        <v>1411</v>
      </c>
      <c r="C9" s="570" t="s">
        <v>133</v>
      </c>
      <c r="D9" s="570" t="s">
        <v>110</v>
      </c>
      <c r="E9" s="630">
        <f>BS!D26/BS!D52</f>
        <v>0.83784200316317181</v>
      </c>
      <c r="F9" s="630">
        <f>BS!E26/BS!E52</f>
        <v>2.2707841742818067</v>
      </c>
      <c r="G9" s="631">
        <f t="shared" ref="G9:G18" si="0">(E9-F9)/F9</f>
        <v>-0.6310340662700098</v>
      </c>
    </row>
    <row r="10" spans="1:7" s="632" customFormat="1" ht="16">
      <c r="B10" s="107" t="s">
        <v>1412</v>
      </c>
      <c r="C10" s="570" t="s">
        <v>1469</v>
      </c>
      <c r="D10" s="570" t="s">
        <v>1470</v>
      </c>
      <c r="E10" s="630">
        <f>(BS!D41+BS!D46)/BS!D35</f>
        <v>1.6038426403083894</v>
      </c>
      <c r="F10" s="630">
        <f>(BS!E41+BS!E46)/BS!E35</f>
        <v>5.9150706617139864E-2</v>
      </c>
      <c r="G10" s="631">
        <f t="shared" si="0"/>
        <v>26.114513621780645</v>
      </c>
    </row>
    <row r="11" spans="1:7" ht="32">
      <c r="B11" s="107" t="s">
        <v>1413</v>
      </c>
      <c r="C11" s="570" t="s">
        <v>1471</v>
      </c>
      <c r="D11" s="570" t="s">
        <v>1472</v>
      </c>
      <c r="E11" s="633">
        <f>(PL!D23+PL!D16+PL!D17)/(BS!D46+PL!D16)</f>
        <v>-4.1453003941393582</v>
      </c>
      <c r="F11" s="633">
        <f>(PL!E23+PL!E16+PL!E17)/(BS!E46+PL!E16)</f>
        <v>-7.2937794778975089</v>
      </c>
      <c r="G11" s="631">
        <f t="shared" si="0"/>
        <v>-0.43166633887123296</v>
      </c>
    </row>
    <row r="12" spans="1:7" ht="32">
      <c r="B12" s="107" t="s">
        <v>1414</v>
      </c>
      <c r="C12" s="570" t="s">
        <v>1473</v>
      </c>
      <c r="D12" s="570" t="s">
        <v>1474</v>
      </c>
      <c r="E12" s="634">
        <f>PL!D27/((BS!D35+BS!E35)/2)</f>
        <v>-1.6116007744074261</v>
      </c>
      <c r="F12" s="634">
        <f>PL!E27/((BS!E35+BS!F35)/2)</f>
        <v>-2.6554050529264233</v>
      </c>
      <c r="G12" s="631">
        <f t="shared" si="0"/>
        <v>-0.3930866507046295</v>
      </c>
    </row>
    <row r="13" spans="1:7" ht="16">
      <c r="B13" s="107" t="s">
        <v>1415</v>
      </c>
      <c r="C13" s="570" t="s">
        <v>1475</v>
      </c>
      <c r="D13" s="570" t="s">
        <v>1476</v>
      </c>
      <c r="E13" s="633">
        <f>(PL!D13+PL!D14)/((BS!D20+BS!E20)/2)</f>
        <v>1.7696477010656109</v>
      </c>
      <c r="F13" s="633">
        <f>(PL!E13+PL!E14)/((BS!E20+BS!F20)/2)</f>
        <v>2.1708904179936983</v>
      </c>
      <c r="G13" s="631">
        <f t="shared" si="0"/>
        <v>-0.18482863695114995</v>
      </c>
    </row>
    <row r="14" spans="1:7" ht="32">
      <c r="B14" s="107" t="s">
        <v>1416</v>
      </c>
      <c r="C14" s="570" t="s">
        <v>1477</v>
      </c>
      <c r="D14" s="570" t="s">
        <v>1478</v>
      </c>
      <c r="E14" s="633">
        <f>(PL!D8)/((BS!D22+BS!E22)/2)</f>
        <v>17.450107454478911</v>
      </c>
      <c r="F14" s="633">
        <f>(PL!E8)/((BS!E22+BS!F22)/2)</f>
        <v>13.334378612994772</v>
      </c>
      <c r="G14" s="631">
        <f t="shared" si="0"/>
        <v>0.30865546576525366</v>
      </c>
    </row>
    <row r="15" spans="1:7" ht="16">
      <c r="B15" s="107" t="s">
        <v>1417</v>
      </c>
      <c r="C15" s="570" t="s">
        <v>1479</v>
      </c>
      <c r="D15" s="570" t="s">
        <v>1480</v>
      </c>
      <c r="E15" s="635">
        <f>PL!D13/((BS!D48+BS!D49+BS!E49+BS!E48)/2)</f>
        <v>1.201501549084975</v>
      </c>
      <c r="F15" s="633">
        <f>PL!E13/((BS!E48+BS!E49+BS!F49+BS!F48)/2)</f>
        <v>2.2211127249711797</v>
      </c>
      <c r="G15" s="631">
        <f t="shared" si="0"/>
        <v>-0.45905422287805531</v>
      </c>
    </row>
    <row r="16" spans="1:7" ht="16">
      <c r="B16" s="107" t="s">
        <v>1418</v>
      </c>
      <c r="C16" s="570" t="s">
        <v>1481</v>
      </c>
      <c r="D16" s="570" t="s">
        <v>1482</v>
      </c>
      <c r="E16" s="633">
        <f>PL!D8/((BS!D35+BS!E35)/2)</f>
        <v>1.4779865296581025</v>
      </c>
      <c r="F16" s="633">
        <f>PL!E8/((BS!E35+BS!F35)/2)</f>
        <v>2.8473091492463785</v>
      </c>
      <c r="G16" s="631">
        <f t="shared" si="0"/>
        <v>-0.48091813983413295</v>
      </c>
    </row>
    <row r="17" spans="2:7" ht="16">
      <c r="B17" s="107" t="s">
        <v>1419</v>
      </c>
      <c r="C17" s="570" t="s">
        <v>1483</v>
      </c>
      <c r="D17" s="570" t="s">
        <v>1481</v>
      </c>
      <c r="E17" s="636">
        <f>PL!D27/PL!D8</f>
        <v>-1.0904028839696072</v>
      </c>
      <c r="F17" s="636">
        <f>PL!E27/PL!E8</f>
        <v>-0.93260159460705283</v>
      </c>
      <c r="G17" s="631">
        <f t="shared" si="0"/>
        <v>0.16920546809599135</v>
      </c>
    </row>
    <row r="18" spans="2:7" ht="32">
      <c r="B18" s="107" t="s">
        <v>1420</v>
      </c>
      <c r="C18" s="570" t="s">
        <v>1484</v>
      </c>
      <c r="D18" s="570" t="s">
        <v>1481</v>
      </c>
      <c r="E18" s="636">
        <f>(PL!D21+PL!D16)/PL!D8</f>
        <v>-1.0726010569366753</v>
      </c>
      <c r="F18" s="636">
        <f>(PL!E21+PL!E16)/PL!E8</f>
        <v>-0.86146854137657347</v>
      </c>
      <c r="G18" s="631">
        <f t="shared" si="0"/>
        <v>0.24508441738653058</v>
      </c>
    </row>
    <row r="19" spans="2:7" ht="32">
      <c r="B19" s="107" t="s">
        <v>1421</v>
      </c>
      <c r="C19" s="570" t="s">
        <v>1485</v>
      </c>
      <c r="D19" s="570" t="s">
        <v>1486</v>
      </c>
      <c r="E19" s="637" t="s">
        <v>1249</v>
      </c>
      <c r="F19" s="637" t="s">
        <v>1249</v>
      </c>
      <c r="G19" s="638"/>
    </row>
    <row r="20" spans="2:7">
      <c r="B20" s="108"/>
      <c r="C20" s="110"/>
      <c r="D20" s="137"/>
      <c r="E20" s="589"/>
      <c r="F20" s="589"/>
      <c r="G20" s="589"/>
    </row>
    <row r="21" spans="2:7">
      <c r="B21" s="109" t="s">
        <v>1487</v>
      </c>
      <c r="C21" s="110"/>
      <c r="E21" s="589"/>
      <c r="F21" s="589"/>
      <c r="G21" s="589"/>
    </row>
    <row r="22" spans="2:7">
      <c r="B22" s="110" t="s">
        <v>1714</v>
      </c>
      <c r="C22" s="110"/>
      <c r="E22" s="589"/>
      <c r="F22" s="589"/>
      <c r="G22" s="589"/>
    </row>
    <row r="23" spans="2:7">
      <c r="B23" s="110" t="s">
        <v>1715</v>
      </c>
      <c r="C23" s="110"/>
      <c r="E23" s="589"/>
      <c r="F23" s="589"/>
      <c r="G23" s="589"/>
    </row>
    <row r="24" spans="2:7">
      <c r="B24" s="110" t="s">
        <v>1716</v>
      </c>
    </row>
    <row r="25" spans="2:7">
      <c r="B25" s="110" t="s">
        <v>1717</v>
      </c>
    </row>
    <row r="26" spans="2:7">
      <c r="B26" s="110" t="s">
        <v>1718</v>
      </c>
    </row>
    <row r="27" spans="2:7">
      <c r="B27" s="110" t="s">
        <v>1488</v>
      </c>
    </row>
    <row r="28" spans="2:7">
      <c r="B28" s="110" t="s">
        <v>1489</v>
      </c>
    </row>
    <row r="29" spans="2:7">
      <c r="B29" s="110"/>
    </row>
    <row r="30" spans="2:7">
      <c r="B30" s="109"/>
    </row>
  </sheetData>
  <mergeCells count="3">
    <mergeCell ref="A1:F1"/>
    <mergeCell ref="A2:F2"/>
    <mergeCell ref="A3:F3"/>
  </mergeCells>
  <pageMargins left="0.7" right="0.7" top="0.75" bottom="0.75" header="0.3" footer="0.3"/>
  <pageSetup paperSize="9" orientation="portrait"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3">
    <tabColor rgb="FF92D050"/>
  </sheetPr>
  <dimension ref="A1:K55"/>
  <sheetViews>
    <sheetView showGridLines="0" view="pageBreakPreview" topLeftCell="A26" zoomScaleSheetLayoutView="100" workbookViewId="0">
      <selection activeCell="C36" sqref="C36:H36"/>
    </sheetView>
  </sheetViews>
  <sheetFormatPr baseColWidth="10" defaultColWidth="9.1640625" defaultRowHeight="15"/>
  <cols>
    <col min="1" max="1" width="3" style="582" bestFit="1" customWidth="1"/>
    <col min="2" max="2" width="40.33203125" style="110" customWidth="1"/>
    <col min="3" max="3" width="14.83203125" style="110" bestFit="1" customWidth="1"/>
    <col min="4" max="4" width="15.5" style="110" customWidth="1"/>
    <col min="5" max="5" width="16.1640625" style="110" bestFit="1" customWidth="1"/>
    <col min="6" max="6" width="16" style="110" bestFit="1" customWidth="1"/>
    <col min="7" max="7" width="14.1640625" style="110" customWidth="1"/>
    <col min="8" max="8" width="8.5" style="110" customWidth="1"/>
    <col min="9" max="9" width="10.83203125" style="110" hidden="1" customWidth="1"/>
    <col min="10" max="11" width="11.83203125" style="110" hidden="1" customWidth="1"/>
    <col min="12" max="12" width="0" style="110" hidden="1" customWidth="1"/>
    <col min="13" max="16384" width="9.1640625" style="110"/>
  </cols>
  <sheetData>
    <row r="1" spans="1:8">
      <c r="A1" s="1096" t="s">
        <v>925</v>
      </c>
      <c r="B1" s="1096"/>
      <c r="C1" s="1096"/>
      <c r="D1" s="1096"/>
      <c r="E1" s="1096"/>
      <c r="F1" s="1096"/>
    </row>
    <row r="2" spans="1:8">
      <c r="A2" s="1096" t="s">
        <v>926</v>
      </c>
      <c r="B2" s="1096"/>
      <c r="C2" s="1096"/>
      <c r="D2" s="1096"/>
      <c r="E2" s="1096"/>
      <c r="F2" s="1096"/>
    </row>
    <row r="3" spans="1:8">
      <c r="A3" s="1097" t="str">
        <f>BS!A3</f>
        <v>[Currency: Indian Rupees(Rs.'000)]</v>
      </c>
      <c r="B3" s="1097"/>
      <c r="C3" s="1097"/>
      <c r="D3" s="1097"/>
      <c r="E3" s="1097"/>
      <c r="F3" s="1097"/>
    </row>
    <row r="4" spans="1:8">
      <c r="A4" s="66"/>
      <c r="B4" s="66"/>
      <c r="C4" s="66"/>
      <c r="D4" s="66"/>
      <c r="E4" s="66"/>
      <c r="F4" s="66"/>
    </row>
    <row r="5" spans="1:8">
      <c r="A5" s="580">
        <f>'Note 37 ratios'!A6+1</f>
        <v>38</v>
      </c>
      <c r="B5" s="563" t="s">
        <v>400</v>
      </c>
      <c r="H5" s="559"/>
    </row>
    <row r="6" spans="1:8" ht="16">
      <c r="A6" s="580">
        <v>1</v>
      </c>
      <c r="B6" s="581" t="s">
        <v>401</v>
      </c>
    </row>
    <row r="7" spans="1:8" ht="7.5" customHeight="1">
      <c r="B7" s="581"/>
      <c r="H7" s="583"/>
    </row>
    <row r="8" spans="1:8">
      <c r="B8" s="1105" t="s">
        <v>0</v>
      </c>
      <c r="C8" s="1107" t="s">
        <v>1637</v>
      </c>
      <c r="D8" s="1108"/>
      <c r="E8" s="1107" t="s">
        <v>1422</v>
      </c>
      <c r="F8" s="1108"/>
      <c r="G8" s="1112"/>
      <c r="H8" s="1113"/>
    </row>
    <row r="9" spans="1:8">
      <c r="B9" s="1106"/>
      <c r="C9" s="524" t="s">
        <v>402</v>
      </c>
      <c r="D9" s="524" t="s">
        <v>403</v>
      </c>
      <c r="E9" s="524" t="s">
        <v>402</v>
      </c>
      <c r="F9" s="524" t="s">
        <v>403</v>
      </c>
      <c r="G9" s="543"/>
      <c r="H9" s="579"/>
    </row>
    <row r="10" spans="1:8">
      <c r="B10" s="101" t="s">
        <v>792</v>
      </c>
      <c r="C10" s="556"/>
      <c r="D10" s="556"/>
      <c r="E10" s="556"/>
      <c r="F10" s="556"/>
      <c r="G10" s="543"/>
      <c r="H10" s="579"/>
    </row>
    <row r="11" spans="1:8">
      <c r="B11" s="102" t="s">
        <v>155</v>
      </c>
      <c r="C11" s="989">
        <f>+Notes!C63</f>
        <v>275926</v>
      </c>
      <c r="D11" s="989">
        <f>+Notes!C62+Notes!C61</f>
        <v>129044</v>
      </c>
      <c r="E11" s="989">
        <f>+Notes!D63</f>
        <v>132339</v>
      </c>
      <c r="F11" s="989">
        <f>+Notes!D61+Notes!D62</f>
        <v>125000</v>
      </c>
      <c r="G11" s="545"/>
      <c r="H11" s="551"/>
    </row>
    <row r="12" spans="1:8">
      <c r="B12" s="584"/>
      <c r="C12" s="990"/>
      <c r="D12" s="990"/>
      <c r="E12" s="990"/>
      <c r="F12" s="990"/>
      <c r="G12" s="543"/>
      <c r="H12" s="579"/>
    </row>
    <row r="13" spans="1:8">
      <c r="B13" s="101" t="s">
        <v>405</v>
      </c>
      <c r="C13" s="991"/>
      <c r="D13" s="989"/>
      <c r="E13" s="992"/>
      <c r="F13" s="992"/>
      <c r="G13" s="586"/>
      <c r="H13" s="587"/>
    </row>
    <row r="14" spans="1:8">
      <c r="B14" s="102" t="s">
        <v>406</v>
      </c>
      <c r="C14" s="991"/>
      <c r="D14" s="989">
        <f>BS!D22</f>
        <v>2662259</v>
      </c>
      <c r="E14" s="992"/>
      <c r="F14" s="992">
        <f>BS!E22</f>
        <v>4706908</v>
      </c>
      <c r="G14" s="588"/>
      <c r="H14" s="589"/>
    </row>
    <row r="15" spans="1:8">
      <c r="B15" s="102" t="s">
        <v>149</v>
      </c>
      <c r="C15" s="991"/>
      <c r="D15" s="989">
        <f>BS!D23</f>
        <v>43169</v>
      </c>
      <c r="E15" s="992"/>
      <c r="F15" s="992">
        <f>BS!E23</f>
        <v>41102092</v>
      </c>
      <c r="G15" s="588"/>
      <c r="H15" s="589"/>
    </row>
    <row r="16" spans="1:8" hidden="1">
      <c r="B16" s="102" t="s">
        <v>407</v>
      </c>
      <c r="C16" s="991"/>
      <c r="D16" s="989"/>
      <c r="E16" s="992"/>
      <c r="F16" s="992"/>
      <c r="G16" s="588"/>
      <c r="H16" s="589"/>
    </row>
    <row r="17" spans="2:11">
      <c r="B17" s="102" t="s">
        <v>408</v>
      </c>
      <c r="C17" s="991"/>
      <c r="D17" s="989">
        <f>BS!D24</f>
        <v>3679</v>
      </c>
      <c r="E17" s="992"/>
      <c r="F17" s="992">
        <f>BS!E24</f>
        <v>93710</v>
      </c>
      <c r="G17" s="588"/>
      <c r="H17" s="589"/>
    </row>
    <row r="18" spans="2:11">
      <c r="B18" s="101" t="s">
        <v>409</v>
      </c>
      <c r="C18" s="991"/>
      <c r="D18" s="989"/>
      <c r="E18" s="992"/>
      <c r="F18" s="992"/>
      <c r="G18" s="588"/>
      <c r="H18" s="589"/>
    </row>
    <row r="19" spans="2:11">
      <c r="B19" s="102" t="s">
        <v>1189</v>
      </c>
      <c r="C19" s="991"/>
      <c r="D19" s="989">
        <f>+BS!D40</f>
        <v>0</v>
      </c>
      <c r="E19" s="992"/>
      <c r="F19" s="992">
        <f>+BS!E40</f>
        <v>0</v>
      </c>
      <c r="G19" s="588"/>
      <c r="H19" s="589"/>
    </row>
    <row r="20" spans="2:11">
      <c r="B20" s="101" t="s">
        <v>410</v>
      </c>
      <c r="C20" s="991"/>
      <c r="D20" s="989"/>
      <c r="E20" s="992"/>
      <c r="F20" s="992"/>
      <c r="G20" s="588"/>
      <c r="H20" s="589"/>
    </row>
    <row r="21" spans="2:11">
      <c r="B21" s="102" t="s">
        <v>411</v>
      </c>
      <c r="C21" s="991"/>
      <c r="D21" s="989">
        <f>BS!D48+BS!D49</f>
        <v>48366092</v>
      </c>
      <c r="E21" s="992"/>
      <c r="F21" s="992">
        <f>BS!E48+BSE28</f>
        <v>5514596</v>
      </c>
      <c r="G21" s="588"/>
      <c r="H21" s="589"/>
    </row>
    <row r="22" spans="2:11">
      <c r="B22" s="103" t="s">
        <v>123</v>
      </c>
      <c r="C22" s="993"/>
      <c r="D22" s="994">
        <f>BS!D50</f>
        <v>1893151</v>
      </c>
      <c r="E22" s="995"/>
      <c r="F22" s="995">
        <f>BS!E50</f>
        <v>1762027</v>
      </c>
      <c r="G22" s="588"/>
      <c r="H22" s="589"/>
    </row>
    <row r="23" spans="2:11">
      <c r="B23" s="581"/>
    </row>
    <row r="24" spans="2:11" ht="16">
      <c r="B24" s="591" t="s">
        <v>412</v>
      </c>
      <c r="C24" s="592"/>
      <c r="D24" s="592"/>
      <c r="E24" s="592"/>
      <c r="F24" s="592"/>
      <c r="G24" s="592"/>
      <c r="H24" s="593"/>
    </row>
    <row r="25" spans="2:11" ht="112.5" customHeight="1">
      <c r="B25" s="1114" t="s">
        <v>897</v>
      </c>
      <c r="C25" s="1114"/>
      <c r="D25" s="1114"/>
      <c r="E25" s="1114"/>
      <c r="F25" s="1114"/>
      <c r="G25" s="1114"/>
      <c r="H25" s="1114"/>
      <c r="I25" s="84"/>
      <c r="J25" s="84"/>
      <c r="K25" s="84"/>
    </row>
    <row r="26" spans="2:11" ht="31.5" customHeight="1">
      <c r="B26" s="1115" t="s">
        <v>1711</v>
      </c>
      <c r="C26" s="1115"/>
      <c r="D26" s="1115"/>
      <c r="E26" s="1115"/>
      <c r="F26" s="1115"/>
      <c r="G26" s="1115"/>
      <c r="H26" s="1115"/>
      <c r="I26" s="84"/>
      <c r="J26" s="84"/>
      <c r="K26" s="84"/>
    </row>
    <row r="27" spans="2:11" ht="54" customHeight="1">
      <c r="B27" s="1114" t="s">
        <v>1712</v>
      </c>
      <c r="C27" s="1114"/>
      <c r="D27" s="1114"/>
      <c r="E27" s="1114"/>
      <c r="F27" s="1114"/>
      <c r="G27" s="1114"/>
      <c r="H27" s="1114"/>
      <c r="I27" s="84"/>
      <c r="J27" s="84"/>
      <c r="K27" s="84"/>
    </row>
    <row r="28" spans="2:11" ht="33.75" customHeight="1">
      <c r="B28" s="1114" t="s">
        <v>1713</v>
      </c>
      <c r="C28" s="1114"/>
      <c r="D28" s="1114"/>
      <c r="E28" s="1114"/>
      <c r="F28" s="1114"/>
      <c r="G28" s="1114"/>
      <c r="H28" s="1114"/>
      <c r="I28" s="84"/>
      <c r="J28" s="84"/>
      <c r="K28" s="84"/>
    </row>
    <row r="29" spans="2:11">
      <c r="B29" s="594" t="s">
        <v>413</v>
      </c>
      <c r="C29" s="82"/>
      <c r="D29" s="82"/>
      <c r="E29" s="82"/>
      <c r="F29" s="82"/>
      <c r="G29" s="82"/>
      <c r="H29" s="82"/>
    </row>
    <row r="30" spans="2:11" ht="24" customHeight="1">
      <c r="B30" s="1101" t="s">
        <v>794</v>
      </c>
      <c r="C30" s="1101"/>
      <c r="D30" s="1101"/>
      <c r="E30" s="1101"/>
      <c r="F30" s="1101"/>
      <c r="G30" s="1101"/>
      <c r="H30" s="1101"/>
    </row>
    <row r="31" spans="2:11">
      <c r="B31" s="595" t="s">
        <v>414</v>
      </c>
      <c r="D31" s="596"/>
      <c r="E31" s="596"/>
      <c r="F31" s="596"/>
      <c r="G31" s="596"/>
      <c r="H31" s="597"/>
    </row>
    <row r="32" spans="2:11" ht="8.25" customHeight="1">
      <c r="B32" s="595"/>
      <c r="D32" s="596"/>
      <c r="E32" s="596"/>
      <c r="F32" s="596"/>
      <c r="G32" s="596"/>
      <c r="H32" s="597"/>
    </row>
    <row r="33" spans="2:11">
      <c r="B33" s="1117" t="s">
        <v>0</v>
      </c>
      <c r="C33" s="1109" t="str">
        <f>++C8</f>
        <v xml:space="preserve"> As at 31st March, 2023</v>
      </c>
      <c r="D33" s="1110"/>
      <c r="E33" s="1111"/>
      <c r="F33" s="1109" t="str">
        <f>+E8</f>
        <v xml:space="preserve"> As at 31st March, 2022</v>
      </c>
      <c r="G33" s="1110"/>
      <c r="H33" s="1111"/>
      <c r="I33" s="1109">
        <v>42461</v>
      </c>
      <c r="J33" s="1110"/>
      <c r="K33" s="1111"/>
    </row>
    <row r="34" spans="2:11">
      <c r="B34" s="1106"/>
      <c r="C34" s="524" t="s">
        <v>415</v>
      </c>
      <c r="D34" s="524" t="s">
        <v>416</v>
      </c>
      <c r="E34" s="598" t="s">
        <v>417</v>
      </c>
      <c r="F34" s="524" t="s">
        <v>415</v>
      </c>
      <c r="G34" s="524" t="s">
        <v>416</v>
      </c>
      <c r="H34" s="598" t="s">
        <v>417</v>
      </c>
      <c r="I34" s="524" t="s">
        <v>415</v>
      </c>
      <c r="J34" s="524" t="s">
        <v>416</v>
      </c>
      <c r="K34" s="598" t="s">
        <v>417</v>
      </c>
    </row>
    <row r="35" spans="2:11">
      <c r="B35" s="599" t="s">
        <v>404</v>
      </c>
      <c r="C35" s="600"/>
      <c r="D35" s="601"/>
      <c r="E35" s="601"/>
      <c r="F35" s="602"/>
      <c r="G35" s="603"/>
      <c r="H35" s="603"/>
      <c r="I35" s="602"/>
      <c r="J35" s="603"/>
      <c r="K35" s="585"/>
    </row>
    <row r="36" spans="2:11">
      <c r="B36" s="102" t="s">
        <v>791</v>
      </c>
      <c r="C36" s="991">
        <v>0</v>
      </c>
      <c r="D36" s="991">
        <v>0</v>
      </c>
      <c r="E36" s="991">
        <f>+C11</f>
        <v>275926</v>
      </c>
      <c r="F36" s="996">
        <v>0</v>
      </c>
      <c r="G36" s="997">
        <v>0</v>
      </c>
      <c r="H36" s="996">
        <f>+E11</f>
        <v>132339</v>
      </c>
      <c r="I36" s="605"/>
      <c r="J36" s="606">
        <v>0</v>
      </c>
      <c r="K36" s="605">
        <v>0</v>
      </c>
    </row>
    <row r="37" spans="2:11">
      <c r="B37" s="104"/>
      <c r="C37" s="590"/>
      <c r="D37" s="607"/>
      <c r="E37" s="607"/>
      <c r="F37" s="608"/>
      <c r="G37" s="609"/>
      <c r="H37" s="609"/>
      <c r="I37" s="608">
        <v>0</v>
      </c>
      <c r="J37" s="610">
        <v>0</v>
      </c>
      <c r="K37" s="590"/>
    </row>
    <row r="38" spans="2:11" ht="11.25" customHeight="1">
      <c r="B38" s="595"/>
      <c r="D38" s="596"/>
      <c r="E38" s="596"/>
      <c r="F38" s="596"/>
      <c r="G38" s="596"/>
      <c r="H38" s="597"/>
    </row>
    <row r="39" spans="2:11" hidden="1">
      <c r="B39" s="611" t="s">
        <v>418</v>
      </c>
      <c r="D39" s="596"/>
      <c r="E39" s="596"/>
      <c r="F39" s="596"/>
      <c r="G39" s="596"/>
      <c r="H39" s="597"/>
    </row>
    <row r="40" spans="2:11" ht="11.25" hidden="1" customHeight="1">
      <c r="B40" s="595"/>
      <c r="D40" s="596"/>
      <c r="E40" s="596"/>
      <c r="F40" s="596"/>
      <c r="G40" s="596"/>
      <c r="H40" s="597"/>
    </row>
    <row r="41" spans="2:11" hidden="1">
      <c r="B41" s="1118" t="s">
        <v>0</v>
      </c>
      <c r="C41" s="1102" t="str">
        <f>+C33</f>
        <v xml:space="preserve"> As at 31st March, 2023</v>
      </c>
      <c r="D41" s="1103"/>
      <c r="E41" s="1104"/>
      <c r="F41" s="1102" t="str">
        <f>+F33</f>
        <v xml:space="preserve"> As at 31st March, 2022</v>
      </c>
      <c r="G41" s="1103"/>
      <c r="H41" s="1104"/>
      <c r="I41" s="1102">
        <v>42461</v>
      </c>
      <c r="J41" s="1103"/>
      <c r="K41" s="1104"/>
    </row>
    <row r="42" spans="2:11" hidden="1">
      <c r="B42" s="1118"/>
      <c r="C42" s="598" t="s">
        <v>415</v>
      </c>
      <c r="D42" s="598" t="s">
        <v>416</v>
      </c>
      <c r="E42" s="598" t="s">
        <v>417</v>
      </c>
      <c r="F42" s="598" t="s">
        <v>415</v>
      </c>
      <c r="G42" s="598" t="s">
        <v>416</v>
      </c>
      <c r="H42" s="598" t="s">
        <v>417</v>
      </c>
      <c r="I42" s="598" t="s">
        <v>415</v>
      </c>
      <c r="J42" s="598" t="s">
        <v>416</v>
      </c>
      <c r="K42" s="598" t="s">
        <v>417</v>
      </c>
    </row>
    <row r="43" spans="2:11" hidden="1">
      <c r="B43" s="612" t="s">
        <v>419</v>
      </c>
      <c r="C43" s="613"/>
      <c r="D43" s="614"/>
      <c r="E43" s="614"/>
      <c r="F43" s="615"/>
      <c r="G43" s="616"/>
      <c r="H43" s="617"/>
      <c r="I43" s="615"/>
      <c r="J43" s="616"/>
      <c r="K43" s="614"/>
    </row>
    <row r="44" spans="2:11" hidden="1">
      <c r="B44" s="618" t="s">
        <v>793</v>
      </c>
      <c r="C44" s="604">
        <v>0</v>
      </c>
      <c r="D44" s="619">
        <v>0</v>
      </c>
      <c r="E44" s="620">
        <f>+D19</f>
        <v>0</v>
      </c>
      <c r="F44" s="605">
        <v>0</v>
      </c>
      <c r="G44" s="620">
        <v>0</v>
      </c>
      <c r="H44" s="621">
        <f>+F19</f>
        <v>0</v>
      </c>
      <c r="I44" s="605"/>
      <c r="J44" s="605"/>
      <c r="K44" s="622"/>
    </row>
    <row r="45" spans="2:11" ht="11.25" hidden="1" customHeight="1">
      <c r="B45" s="105"/>
      <c r="C45" s="623"/>
      <c r="D45" s="624"/>
      <c r="E45" s="624"/>
      <c r="F45" s="625"/>
      <c r="G45" s="626"/>
      <c r="H45" s="624"/>
      <c r="I45" s="625"/>
      <c r="J45" s="626"/>
      <c r="K45" s="624"/>
    </row>
    <row r="46" spans="2:11" ht="11.25" customHeight="1">
      <c r="B46" s="595"/>
      <c r="D46" s="596"/>
      <c r="E46" s="596"/>
      <c r="F46" s="596"/>
      <c r="G46" s="596"/>
      <c r="H46" s="597"/>
    </row>
    <row r="47" spans="2:11">
      <c r="B47" s="595" t="s">
        <v>420</v>
      </c>
      <c r="D47" s="596"/>
      <c r="E47" s="596"/>
      <c r="F47" s="596"/>
      <c r="G47" s="596"/>
      <c r="H47" s="597"/>
    </row>
    <row r="48" spans="2:11">
      <c r="B48" s="1119" t="s">
        <v>421</v>
      </c>
      <c r="C48" s="1119"/>
      <c r="D48" s="1119"/>
      <c r="E48" s="1119"/>
      <c r="F48" s="1119"/>
      <c r="G48" s="1119"/>
      <c r="H48" s="1119"/>
    </row>
    <row r="49" spans="2:11" ht="36.75" customHeight="1">
      <c r="B49" s="1114" t="s">
        <v>422</v>
      </c>
      <c r="C49" s="1016"/>
      <c r="D49" s="1016"/>
      <c r="E49" s="1016"/>
      <c r="F49" s="1016"/>
      <c r="G49" s="1016"/>
      <c r="H49" s="1016"/>
      <c r="I49" s="106"/>
      <c r="J49" s="106"/>
      <c r="K49" s="106"/>
    </row>
    <row r="50" spans="2:11" ht="35.25" customHeight="1">
      <c r="B50" s="1116" t="s">
        <v>423</v>
      </c>
      <c r="C50" s="1016"/>
      <c r="D50" s="1016"/>
      <c r="E50" s="1016"/>
      <c r="F50" s="1016"/>
      <c r="G50" s="1016"/>
      <c r="H50" s="1016"/>
      <c r="I50" s="627"/>
      <c r="J50" s="627"/>
      <c r="K50" s="627"/>
    </row>
    <row r="52" spans="2:11" ht="33.75" customHeight="1">
      <c r="I52" s="563"/>
    </row>
    <row r="55" spans="2:11" ht="45" customHeight="1">
      <c r="I55" s="563"/>
    </row>
  </sheetData>
  <mergeCells count="23">
    <mergeCell ref="B49:H49"/>
    <mergeCell ref="B50:H50"/>
    <mergeCell ref="B33:B34"/>
    <mergeCell ref="C33:E33"/>
    <mergeCell ref="F33:H33"/>
    <mergeCell ref="B41:B42"/>
    <mergeCell ref="C41:E41"/>
    <mergeCell ref="F41:H41"/>
    <mergeCell ref="B48:H48"/>
    <mergeCell ref="A1:F1"/>
    <mergeCell ref="A2:F2"/>
    <mergeCell ref="A3:F3"/>
    <mergeCell ref="B30:H30"/>
    <mergeCell ref="I41:K41"/>
    <mergeCell ref="B8:B9"/>
    <mergeCell ref="C8:D8"/>
    <mergeCell ref="E8:F8"/>
    <mergeCell ref="I33:K33"/>
    <mergeCell ref="G8:H8"/>
    <mergeCell ref="B25:H25"/>
    <mergeCell ref="B26:H26"/>
    <mergeCell ref="B27:H27"/>
    <mergeCell ref="B28:H28"/>
  </mergeCells>
  <hyperlinks>
    <hyperlink ref="B22" location="'Other Current Liabilities'!A1" display="Other current liabilities" xr:uid="{00000000-0004-0000-1A00-000000000000}"/>
  </hyperlinks>
  <pageMargins left="0.59" right="7.0000000000000007E-2" top="0.74803149606299213" bottom="0.74803149606299213" header="0.31496062992125984" footer="0.31496062992125984"/>
  <pageSetup paperSize="9" scale="75" orientation="portrait" r:id="rId1"/>
  <rowBreaks count="1" manualBreakCount="1">
    <brk id="30" max="7"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4">
    <tabColor rgb="FFFFFF00"/>
  </sheetPr>
  <dimension ref="A1:J41"/>
  <sheetViews>
    <sheetView showGridLines="0" view="pageBreakPreview" topLeftCell="A9" zoomScale="62" zoomScaleSheetLayoutView="62" workbookViewId="0">
      <selection activeCell="E18" sqref="E18"/>
    </sheetView>
  </sheetViews>
  <sheetFormatPr baseColWidth="10" defaultColWidth="9.1640625" defaultRowHeight="15"/>
  <cols>
    <col min="1" max="1" width="4.5" style="579" customWidth="1"/>
    <col min="2" max="2" width="34.5" style="84" customWidth="1"/>
    <col min="3" max="3" width="16" style="110" bestFit="1" customWidth="1"/>
    <col min="4" max="4" width="25.1640625" style="110" customWidth="1"/>
    <col min="5" max="5" width="24.6640625" style="110" customWidth="1"/>
    <col min="6" max="8" width="9.1640625" style="110"/>
    <col min="9" max="9" width="9.83203125" style="110" bestFit="1" customWidth="1"/>
    <col min="10" max="16384" width="9.1640625" style="110"/>
  </cols>
  <sheetData>
    <row r="1" spans="1:5" ht="16">
      <c r="A1" s="552">
        <v>2</v>
      </c>
      <c r="B1" s="553" t="s">
        <v>424</v>
      </c>
      <c r="C1" s="554"/>
      <c r="D1" s="554"/>
      <c r="E1" s="555"/>
    </row>
    <row r="2" spans="1:5" ht="8.25" customHeight="1">
      <c r="A2" s="556"/>
      <c r="B2" s="83"/>
      <c r="E2" s="529"/>
    </row>
    <row r="3" spans="1:5" ht="97.5" customHeight="1">
      <c r="A3" s="556"/>
      <c r="B3" s="1123" t="s">
        <v>425</v>
      </c>
      <c r="C3" s="1119"/>
      <c r="D3" s="1119"/>
      <c r="E3" s="1124"/>
    </row>
    <row r="4" spans="1:5" ht="7.5" customHeight="1">
      <c r="A4" s="556"/>
      <c r="B4" s="83"/>
      <c r="E4" s="529"/>
    </row>
    <row r="5" spans="1:5">
      <c r="A5" s="524" t="s">
        <v>399</v>
      </c>
      <c r="B5" s="525" t="s">
        <v>426</v>
      </c>
      <c r="C5" s="530"/>
      <c r="D5" s="530"/>
      <c r="E5" s="531"/>
    </row>
    <row r="6" spans="1:5" ht="31.5" customHeight="1">
      <c r="A6" s="556"/>
      <c r="B6" s="1120" t="s">
        <v>427</v>
      </c>
      <c r="C6" s="1121"/>
      <c r="D6" s="1121"/>
      <c r="E6" s="1122"/>
    </row>
    <row r="7" spans="1:5" ht="8.25" customHeight="1">
      <c r="A7" s="556"/>
      <c r="B7" s="1120"/>
      <c r="C7" s="1121"/>
      <c r="D7" s="1121"/>
      <c r="E7" s="1122"/>
    </row>
    <row r="8" spans="1:5">
      <c r="A8" s="556"/>
      <c r="B8" s="1125" t="s">
        <v>428</v>
      </c>
      <c r="C8" s="1126"/>
      <c r="D8" s="1126"/>
      <c r="E8" s="1127"/>
    </row>
    <row r="9" spans="1:5" ht="79.5" customHeight="1">
      <c r="A9" s="556"/>
      <c r="B9" s="1123" t="s">
        <v>429</v>
      </c>
      <c r="C9" s="1119"/>
      <c r="D9" s="1119"/>
      <c r="E9" s="1124"/>
    </row>
    <row r="10" spans="1:5" ht="31.5" customHeight="1">
      <c r="A10" s="556"/>
      <c r="B10" s="1120" t="s">
        <v>430</v>
      </c>
      <c r="C10" s="1121"/>
      <c r="D10" s="1121"/>
      <c r="E10" s="1122"/>
    </row>
    <row r="11" spans="1:5" ht="9" customHeight="1">
      <c r="A11" s="556"/>
      <c r="B11" s="83"/>
      <c r="C11" s="84"/>
      <c r="D11" s="84"/>
      <c r="E11" s="85"/>
    </row>
    <row r="12" spans="1:5" ht="29.25" customHeight="1">
      <c r="A12" s="556"/>
      <c r="B12" s="86" t="s">
        <v>431</v>
      </c>
      <c r="C12" s="84"/>
      <c r="D12" s="84"/>
      <c r="E12" s="85"/>
    </row>
    <row r="13" spans="1:5" ht="38.25" customHeight="1">
      <c r="A13" s="556"/>
      <c r="B13" s="87" t="s">
        <v>0</v>
      </c>
      <c r="C13" s="88"/>
      <c r="D13" s="89" t="str">
        <f>+Notes!C6</f>
        <v xml:space="preserve"> As at  31st March, 2023</v>
      </c>
      <c r="E13" s="89" t="str">
        <f>+Notes!D6</f>
        <v xml:space="preserve"> As at  31st March, 2022</v>
      </c>
    </row>
    <row r="14" spans="1:5" ht="16">
      <c r="A14" s="556"/>
      <c r="B14" s="83" t="s">
        <v>432</v>
      </c>
      <c r="C14" s="85"/>
      <c r="D14" s="998">
        <v>1045430</v>
      </c>
      <c r="E14" s="998">
        <v>3583245</v>
      </c>
    </row>
    <row r="15" spans="1:5" ht="16">
      <c r="A15" s="556"/>
      <c r="B15" s="83" t="s">
        <v>433</v>
      </c>
      <c r="C15" s="85"/>
      <c r="D15" s="998">
        <v>1120823</v>
      </c>
      <c r="E15" s="998">
        <v>42102</v>
      </c>
    </row>
    <row r="16" spans="1:5" ht="16">
      <c r="A16" s="556"/>
      <c r="B16" s="83" t="s">
        <v>434</v>
      </c>
      <c r="C16" s="85"/>
      <c r="D16" s="998">
        <v>111587</v>
      </c>
      <c r="E16" s="998">
        <v>474056</v>
      </c>
    </row>
    <row r="17" spans="1:10" ht="16">
      <c r="A17" s="556"/>
      <c r="B17" s="83" t="s">
        <v>435</v>
      </c>
      <c r="C17" s="85"/>
      <c r="D17" s="999">
        <v>384419</v>
      </c>
      <c r="E17" s="999">
        <v>607505</v>
      </c>
    </row>
    <row r="18" spans="1:10" ht="16">
      <c r="A18" s="556"/>
      <c r="B18" s="90" t="s">
        <v>51</v>
      </c>
      <c r="C18" s="91"/>
      <c r="D18" s="1000">
        <f>SUM(D14:D17)</f>
        <v>2662259</v>
      </c>
      <c r="E18" s="1004">
        <f>SUM(E14:E17)+8</f>
        <v>4706916</v>
      </c>
      <c r="G18" s="551"/>
      <c r="H18" s="551"/>
    </row>
    <row r="19" spans="1:10">
      <c r="A19" s="557"/>
      <c r="B19" s="99"/>
      <c r="C19" s="100"/>
      <c r="D19" s="100"/>
      <c r="E19" s="558"/>
      <c r="I19" s="559"/>
      <c r="J19" s="559"/>
    </row>
    <row r="20" spans="1:10" ht="16">
      <c r="A20" s="524" t="s">
        <v>436</v>
      </c>
      <c r="B20" s="560" t="s">
        <v>437</v>
      </c>
      <c r="C20" s="561"/>
      <c r="D20" s="561"/>
      <c r="E20" s="562"/>
    </row>
    <row r="21" spans="1:10" ht="45.75" customHeight="1">
      <c r="A21" s="556"/>
      <c r="B21" s="1120" t="s">
        <v>438</v>
      </c>
      <c r="C21" s="1121"/>
      <c r="D21" s="1121"/>
      <c r="E21" s="1122"/>
    </row>
    <row r="22" spans="1:10" ht="8.25" customHeight="1">
      <c r="A22" s="556"/>
      <c r="B22" s="1120"/>
      <c r="C22" s="1121"/>
      <c r="D22" s="1121"/>
      <c r="E22" s="1122"/>
    </row>
    <row r="23" spans="1:10">
      <c r="A23" s="556"/>
      <c r="B23" s="1134" t="s">
        <v>439</v>
      </c>
      <c r="C23" s="1135"/>
      <c r="D23" s="1135"/>
      <c r="E23" s="1136"/>
    </row>
    <row r="24" spans="1:10" ht="66.75" customHeight="1">
      <c r="A24" s="556"/>
      <c r="B24" s="1123" t="s">
        <v>440</v>
      </c>
      <c r="C24" s="1119"/>
      <c r="D24" s="1119"/>
      <c r="E24" s="1124"/>
    </row>
    <row r="25" spans="1:10">
      <c r="A25" s="557"/>
      <c r="B25" s="1137"/>
      <c r="C25" s="1138"/>
      <c r="D25" s="1138"/>
      <c r="E25" s="1139"/>
    </row>
    <row r="26" spans="1:10">
      <c r="A26" s="524" t="s">
        <v>441</v>
      </c>
      <c r="B26" s="564" t="s">
        <v>442</v>
      </c>
      <c r="C26" s="565"/>
      <c r="D26" s="565"/>
      <c r="E26" s="566"/>
    </row>
    <row r="27" spans="1:10">
      <c r="A27" s="528"/>
      <c r="B27" s="546"/>
      <c r="E27" s="529"/>
    </row>
    <row r="28" spans="1:10">
      <c r="A28" s="524" t="s">
        <v>443</v>
      </c>
      <c r="B28" s="564" t="s">
        <v>444</v>
      </c>
      <c r="C28" s="567"/>
      <c r="D28" s="567"/>
      <c r="E28" s="568"/>
      <c r="F28" s="563"/>
    </row>
    <row r="29" spans="1:10" ht="16.5" customHeight="1">
      <c r="A29" s="569"/>
      <c r="B29" s="1131" t="s">
        <v>1018</v>
      </c>
      <c r="C29" s="1131"/>
      <c r="D29" s="1131"/>
      <c r="E29" s="1131"/>
      <c r="F29" s="571"/>
    </row>
    <row r="30" spans="1:10" hidden="1">
      <c r="A30" s="528"/>
      <c r="B30" s="572"/>
      <c r="C30" s="532"/>
      <c r="D30" s="532"/>
      <c r="E30" s="533"/>
      <c r="F30" s="532"/>
    </row>
    <row r="31" spans="1:10" ht="84" hidden="1" customHeight="1">
      <c r="A31" s="528"/>
      <c r="B31" s="1132" t="s">
        <v>446</v>
      </c>
      <c r="C31" s="1114"/>
      <c r="D31" s="1114"/>
      <c r="E31" s="1133"/>
      <c r="F31" s="84"/>
    </row>
    <row r="32" spans="1:10" hidden="1">
      <c r="A32" s="528"/>
      <c r="B32" s="546"/>
      <c r="E32" s="529"/>
    </row>
    <row r="33" spans="1:5" ht="16" hidden="1">
      <c r="A33" s="528"/>
      <c r="B33" s="92" t="s">
        <v>447</v>
      </c>
      <c r="C33" s="93"/>
      <c r="D33" s="94" t="s">
        <v>480</v>
      </c>
      <c r="E33" s="94" t="s">
        <v>54</v>
      </c>
    </row>
    <row r="34" spans="1:5" ht="15" hidden="1" customHeight="1">
      <c r="A34" s="528"/>
      <c r="B34" s="95" t="s">
        <v>448</v>
      </c>
      <c r="C34" s="96"/>
      <c r="D34" s="97">
        <v>0</v>
      </c>
      <c r="E34" s="98">
        <f>SUM('Note 38 FVM_1'!C39:C39)*5%</f>
        <v>0</v>
      </c>
    </row>
    <row r="35" spans="1:5" ht="15" hidden="1" customHeight="1">
      <c r="A35" s="528"/>
      <c r="B35" s="99" t="s">
        <v>449</v>
      </c>
      <c r="C35" s="100"/>
      <c r="D35" s="80">
        <v>0</v>
      </c>
      <c r="E35" s="81">
        <f>-SUM('Note 38 FVM_1'!C39:C39)*5%</f>
        <v>0</v>
      </c>
    </row>
    <row r="36" spans="1:5" hidden="1">
      <c r="A36" s="534"/>
      <c r="B36" s="548"/>
      <c r="C36" s="535"/>
      <c r="D36" s="535"/>
      <c r="E36" s="536"/>
    </row>
    <row r="38" spans="1:5">
      <c r="A38" s="573">
        <f>+A1+1</f>
        <v>3</v>
      </c>
      <c r="B38" s="564" t="s">
        <v>450</v>
      </c>
      <c r="C38" s="565"/>
      <c r="D38" s="565"/>
      <c r="E38" s="566"/>
    </row>
    <row r="39" spans="1:5">
      <c r="A39" s="574"/>
      <c r="B39" s="575"/>
      <c r="C39" s="576"/>
      <c r="D39" s="576"/>
      <c r="E39" s="577"/>
    </row>
    <row r="40" spans="1:5" ht="16">
      <c r="A40" s="556" t="s">
        <v>395</v>
      </c>
      <c r="B40" s="578" t="s">
        <v>451</v>
      </c>
      <c r="C40" s="535"/>
      <c r="D40" s="535"/>
      <c r="E40" s="536"/>
    </row>
    <row r="41" spans="1:5" ht="131.25" customHeight="1">
      <c r="A41" s="534"/>
      <c r="B41" s="1128" t="s">
        <v>452</v>
      </c>
      <c r="C41" s="1129"/>
      <c r="D41" s="1129"/>
      <c r="E41" s="1130"/>
    </row>
  </sheetData>
  <mergeCells count="14">
    <mergeCell ref="B41:E41"/>
    <mergeCell ref="B29:E29"/>
    <mergeCell ref="B31:E31"/>
    <mergeCell ref="B21:E21"/>
    <mergeCell ref="B22:E22"/>
    <mergeCell ref="B23:E23"/>
    <mergeCell ref="B24:E24"/>
    <mergeCell ref="B25:E25"/>
    <mergeCell ref="B10:E10"/>
    <mergeCell ref="B3:E3"/>
    <mergeCell ref="B6:E6"/>
    <mergeCell ref="B7:E7"/>
    <mergeCell ref="B8:E8"/>
    <mergeCell ref="B9:E9"/>
  </mergeCells>
  <pageMargins left="0.70866141732283472" right="0.70866141732283472" top="0.5" bottom="0.43307086614173229" header="0.31496062992125984" footer="0.31496062992125984"/>
  <pageSetup paperSize="9" scale="7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5">
    <tabColor rgb="FF92D050"/>
    <pageSetUpPr fitToPage="1"/>
  </sheetPr>
  <dimension ref="A1:K18"/>
  <sheetViews>
    <sheetView showGridLines="0" view="pageBreakPreview" zoomScale="96" zoomScaleSheetLayoutView="96" workbookViewId="0">
      <selection activeCell="B25" sqref="B25"/>
    </sheetView>
  </sheetViews>
  <sheetFormatPr baseColWidth="10" defaultColWidth="9.1640625" defaultRowHeight="15"/>
  <cols>
    <col min="1" max="1" width="9.1640625" style="551"/>
    <col min="2" max="2" width="18.33203125" style="110" customWidth="1"/>
    <col min="3" max="3" width="12" style="110" customWidth="1"/>
    <col min="4" max="4" width="12.5" style="110" customWidth="1"/>
    <col min="5" max="5" width="14.83203125" style="110" customWidth="1"/>
    <col min="6" max="6" width="11" style="110" customWidth="1"/>
    <col min="7" max="7" width="12.5" style="110" customWidth="1"/>
    <col min="8" max="8" width="11" style="110" customWidth="1"/>
    <col min="9" max="10" width="8.33203125" style="110" customWidth="1"/>
    <col min="11" max="11" width="8.1640625" style="110" customWidth="1"/>
    <col min="12" max="16384" width="9.1640625" style="110"/>
  </cols>
  <sheetData>
    <row r="1" spans="1:11">
      <c r="A1" s="524" t="s">
        <v>441</v>
      </c>
      <c r="B1" s="525" t="s">
        <v>442</v>
      </c>
      <c r="C1" s="526"/>
      <c r="D1" s="526"/>
      <c r="E1" s="526"/>
      <c r="F1" s="526"/>
      <c r="G1" s="526"/>
      <c r="H1" s="526"/>
      <c r="I1" s="526"/>
      <c r="J1" s="526"/>
      <c r="K1" s="527"/>
    </row>
    <row r="2" spans="1:11">
      <c r="A2" s="528"/>
      <c r="K2" s="529"/>
    </row>
    <row r="3" spans="1:11">
      <c r="A3" s="524" t="s">
        <v>443</v>
      </c>
      <c r="B3" s="530" t="s">
        <v>444</v>
      </c>
      <c r="C3" s="530"/>
      <c r="D3" s="530"/>
      <c r="E3" s="530"/>
      <c r="F3" s="530"/>
      <c r="G3" s="530"/>
      <c r="H3" s="530"/>
      <c r="I3" s="530"/>
      <c r="J3" s="530"/>
      <c r="K3" s="531"/>
    </row>
    <row r="4" spans="1:11" ht="30" customHeight="1">
      <c r="A4" s="528"/>
      <c r="B4" s="1140" t="s">
        <v>445</v>
      </c>
      <c r="C4" s="1141"/>
      <c r="D4" s="1141"/>
      <c r="E4" s="1141"/>
      <c r="F4" s="1141"/>
      <c r="G4" s="1141"/>
      <c r="H4" s="1141"/>
      <c r="I4" s="1141"/>
      <c r="J4" s="1141"/>
      <c r="K4" s="1142"/>
    </row>
    <row r="5" spans="1:11" ht="7.5" customHeight="1">
      <c r="A5" s="528"/>
      <c r="B5" s="532"/>
      <c r="C5" s="532"/>
      <c r="D5" s="532"/>
      <c r="E5" s="532"/>
      <c r="F5" s="532"/>
      <c r="G5" s="532"/>
      <c r="H5" s="532"/>
      <c r="I5" s="532"/>
      <c r="J5" s="532"/>
      <c r="K5" s="533"/>
    </row>
    <row r="6" spans="1:11" ht="63.75" customHeight="1">
      <c r="A6" s="528"/>
      <c r="B6" s="1119" t="s">
        <v>446</v>
      </c>
      <c r="C6" s="1119"/>
      <c r="D6" s="1119"/>
      <c r="E6" s="1119"/>
      <c r="F6" s="1119"/>
      <c r="G6" s="1119"/>
      <c r="H6" s="1119"/>
      <c r="I6" s="1119"/>
      <c r="J6" s="1119"/>
      <c r="K6" s="1124"/>
    </row>
    <row r="7" spans="1:11">
      <c r="A7" s="528"/>
      <c r="K7" s="529"/>
    </row>
    <row r="8" spans="1:11" ht="32">
      <c r="A8" s="528"/>
      <c r="B8" s="1143" t="s">
        <v>447</v>
      </c>
      <c r="C8" s="1143"/>
      <c r="D8" s="1143"/>
      <c r="E8" s="1143"/>
      <c r="F8" s="77" t="str">
        <f>+Notes!C6</f>
        <v xml:space="preserve"> As at  31st March, 2023</v>
      </c>
      <c r="G8" s="77" t="str">
        <f>+Notes!D6</f>
        <v xml:space="preserve"> As at  31st March, 2022</v>
      </c>
      <c r="K8" s="529"/>
    </row>
    <row r="9" spans="1:11">
      <c r="A9" s="528"/>
      <c r="B9" s="1144" t="s">
        <v>448</v>
      </c>
      <c r="C9" s="1144"/>
      <c r="D9" s="1144"/>
      <c r="E9" s="1144"/>
      <c r="F9" s="78">
        <v>0</v>
      </c>
      <c r="G9" s="79">
        <f>SUM('Note 38 FVM_1'!E13:E13)*5%</f>
        <v>0</v>
      </c>
      <c r="K9" s="529"/>
    </row>
    <row r="10" spans="1:11">
      <c r="A10" s="528"/>
      <c r="B10" s="1145" t="s">
        <v>449</v>
      </c>
      <c r="C10" s="1145"/>
      <c r="D10" s="1145"/>
      <c r="E10" s="1145"/>
      <c r="F10" s="80">
        <v>0</v>
      </c>
      <c r="G10" s="81">
        <f>-SUM('Note 38 FVM_1'!E13:E13)*5%</f>
        <v>0</v>
      </c>
      <c r="K10" s="529"/>
    </row>
    <row r="11" spans="1:11">
      <c r="A11" s="534"/>
      <c r="B11" s="535"/>
      <c r="C11" s="535"/>
      <c r="D11" s="535"/>
      <c r="E11" s="535"/>
      <c r="F11" s="535"/>
      <c r="G11" s="535"/>
      <c r="H11" s="535"/>
      <c r="I11" s="535"/>
      <c r="J11" s="535"/>
      <c r="K11" s="536"/>
    </row>
    <row r="13" spans="1:11">
      <c r="A13" s="537">
        <v>3</v>
      </c>
      <c r="B13" s="538" t="s">
        <v>450</v>
      </c>
      <c r="C13" s="539"/>
      <c r="D13" s="539"/>
      <c r="E13" s="539"/>
      <c r="F13" s="539"/>
      <c r="G13" s="539"/>
      <c r="H13" s="539"/>
      <c r="I13" s="539"/>
      <c r="J13" s="539"/>
      <c r="K13" s="540"/>
    </row>
    <row r="14" spans="1:11" ht="8.25" customHeight="1">
      <c r="A14" s="541"/>
      <c r="B14" s="542"/>
      <c r="C14" s="539"/>
      <c r="D14" s="539"/>
      <c r="E14" s="539"/>
      <c r="F14" s="539"/>
      <c r="G14" s="539"/>
      <c r="H14" s="539"/>
      <c r="I14" s="539"/>
      <c r="J14" s="539"/>
      <c r="K14" s="540"/>
    </row>
    <row r="15" spans="1:11" ht="16">
      <c r="A15" s="543" t="s">
        <v>395</v>
      </c>
      <c r="B15" s="544" t="s">
        <v>451</v>
      </c>
      <c r="K15" s="529"/>
    </row>
    <row r="16" spans="1:11" ht="120.75" customHeight="1">
      <c r="A16" s="545"/>
      <c r="B16" s="1123" t="s">
        <v>452</v>
      </c>
      <c r="C16" s="1119"/>
      <c r="D16" s="1119"/>
      <c r="E16" s="1119"/>
      <c r="F16" s="1119"/>
      <c r="G16" s="1119"/>
      <c r="H16" s="1119"/>
      <c r="I16" s="1119"/>
      <c r="J16" s="1119"/>
      <c r="K16" s="1124"/>
    </row>
    <row r="17" spans="1:11" ht="10.5" customHeight="1">
      <c r="A17" s="545"/>
      <c r="B17" s="546"/>
      <c r="K17" s="529"/>
    </row>
    <row r="18" spans="1:11">
      <c r="A18" s="547"/>
      <c r="B18" s="548"/>
      <c r="C18" s="549"/>
      <c r="D18" s="550"/>
      <c r="E18" s="550"/>
      <c r="F18" s="535"/>
      <c r="G18" s="535"/>
      <c r="H18" s="535"/>
      <c r="I18" s="535"/>
      <c r="J18" s="535"/>
      <c r="K18" s="536"/>
    </row>
  </sheetData>
  <mergeCells count="6">
    <mergeCell ref="B16:K16"/>
    <mergeCell ref="B4:K4"/>
    <mergeCell ref="B6:K6"/>
    <mergeCell ref="B8:E8"/>
    <mergeCell ref="B9:E9"/>
    <mergeCell ref="B10:E10"/>
  </mergeCells>
  <pageMargins left="0.7" right="0.7" top="0.75" bottom="0.75" header="0.3" footer="0.3"/>
  <pageSetup paperSize="9" scale="6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A1:F53"/>
  <sheetViews>
    <sheetView showGridLines="0" view="pageBreakPreview" topLeftCell="A26" zoomScale="106" zoomScaleSheetLayoutView="106" workbookViewId="0">
      <selection activeCell="H26" sqref="H26"/>
    </sheetView>
  </sheetViews>
  <sheetFormatPr baseColWidth="10" defaultColWidth="9.1640625" defaultRowHeight="15"/>
  <cols>
    <col min="1" max="1" width="5.5" style="215" customWidth="1"/>
    <col min="2" max="3" width="9.1640625" style="215"/>
    <col min="4" max="4" width="18.6640625" style="215" customWidth="1"/>
    <col min="5" max="5" width="26.5" style="215" customWidth="1"/>
    <col min="6" max="6" width="26" style="215" customWidth="1"/>
    <col min="7" max="16384" width="9.1640625" style="215"/>
  </cols>
  <sheetData>
    <row r="1" spans="1:6">
      <c r="A1" s="1096" t="s">
        <v>925</v>
      </c>
      <c r="B1" s="1096"/>
      <c r="C1" s="1096"/>
      <c r="D1" s="1096"/>
      <c r="E1" s="1096"/>
      <c r="F1" s="1096"/>
    </row>
    <row r="2" spans="1:6">
      <c r="A2" s="1096" t="s">
        <v>926</v>
      </c>
      <c r="B2" s="1096"/>
      <c r="C2" s="1096"/>
      <c r="D2" s="1096"/>
      <c r="E2" s="1096"/>
      <c r="F2" s="1096"/>
    </row>
    <row r="3" spans="1:6">
      <c r="A3" s="1097" t="str">
        <f>BS!A3</f>
        <v>[Currency: Indian Rupees(Rs.'000)]</v>
      </c>
      <c r="B3" s="1097"/>
      <c r="C3" s="1097"/>
      <c r="D3" s="1097"/>
      <c r="E3" s="1097"/>
      <c r="F3" s="1097"/>
    </row>
    <row r="4" spans="1:6">
      <c r="A4" s="66"/>
      <c r="B4" s="66"/>
      <c r="C4" s="66"/>
      <c r="D4" s="66"/>
      <c r="E4" s="66"/>
      <c r="F4" s="66"/>
    </row>
    <row r="5" spans="1:6">
      <c r="A5" s="70">
        <f>'Note 38 FVM_1'!A5+1</f>
        <v>39</v>
      </c>
      <c r="B5" s="71" t="s">
        <v>898</v>
      </c>
      <c r="C5" s="71"/>
      <c r="D5" s="71"/>
    </row>
    <row r="6" spans="1:6" s="521" customFormat="1" ht="11">
      <c r="A6" s="520"/>
      <c r="B6" s="520"/>
      <c r="C6" s="520"/>
      <c r="D6" s="520"/>
    </row>
    <row r="7" spans="1:6">
      <c r="A7" s="1"/>
      <c r="B7" s="6" t="s">
        <v>899</v>
      </c>
      <c r="C7" s="1"/>
      <c r="D7" s="1"/>
    </row>
    <row r="8" spans="1:6">
      <c r="A8" s="1"/>
      <c r="B8" s="1" t="s">
        <v>900</v>
      </c>
      <c r="C8" s="1"/>
      <c r="D8" s="1"/>
    </row>
    <row r="9" spans="1:6" s="521" customFormat="1" ht="3" customHeight="1">
      <c r="A9" s="520"/>
      <c r="B9" s="520"/>
      <c r="C9" s="520"/>
      <c r="D9" s="520"/>
    </row>
    <row r="10" spans="1:6">
      <c r="A10" s="1"/>
      <c r="B10" s="6" t="s">
        <v>901</v>
      </c>
      <c r="C10" s="1"/>
      <c r="D10" s="1"/>
    </row>
    <row r="11" spans="1:6">
      <c r="A11" s="1"/>
      <c r="B11" s="1" t="s">
        <v>1438</v>
      </c>
      <c r="C11" s="1"/>
      <c r="D11" s="1"/>
    </row>
    <row r="12" spans="1:6" s="521" customFormat="1" ht="6.75" customHeight="1">
      <c r="A12" s="520"/>
      <c r="B12" s="520"/>
      <c r="C12" s="520"/>
      <c r="D12" s="520"/>
    </row>
    <row r="13" spans="1:6">
      <c r="A13" s="72">
        <f>+A5+1</f>
        <v>40</v>
      </c>
      <c r="B13" s="1146" t="s">
        <v>902</v>
      </c>
      <c r="C13" s="1146"/>
      <c r="D13" s="1146"/>
    </row>
    <row r="14" spans="1:6" ht="49.5" customHeight="1">
      <c r="A14" s="1"/>
      <c r="B14" s="1017" t="s">
        <v>903</v>
      </c>
      <c r="C14" s="1017"/>
      <c r="D14" s="1017"/>
      <c r="E14" s="1017"/>
      <c r="F14" s="1017"/>
    </row>
    <row r="15" spans="1:6" ht="30" customHeight="1">
      <c r="A15" s="1"/>
      <c r="B15" s="1017" t="s">
        <v>904</v>
      </c>
      <c r="C15" s="1017"/>
      <c r="D15" s="1017"/>
      <c r="E15" s="1017"/>
      <c r="F15" s="1017"/>
    </row>
    <row r="16" spans="1:6">
      <c r="A16" s="1"/>
      <c r="B16" s="1"/>
      <c r="C16" s="1"/>
      <c r="E16" s="1"/>
      <c r="F16" s="73" t="s">
        <v>905</v>
      </c>
    </row>
    <row r="17" spans="1:6" ht="43.5" customHeight="1">
      <c r="A17" s="1"/>
      <c r="B17" s="389" t="s">
        <v>906</v>
      </c>
      <c r="C17" s="1"/>
      <c r="E17" s="522" t="str">
        <f>'Note 38 FRM2_Currency &amp; price'!F8</f>
        <v xml:space="preserve"> As at  31st March, 2023</v>
      </c>
      <c r="F17" s="522" t="str">
        <f>'Note 38 FRM2_Currency &amp; price'!G8</f>
        <v xml:space="preserve"> As at  31st March, 2022</v>
      </c>
    </row>
    <row r="18" spans="1:6">
      <c r="A18" s="1"/>
      <c r="B18" s="1" t="s">
        <v>907</v>
      </c>
      <c r="C18" s="1"/>
      <c r="E18" s="1001">
        <f>+PL!D8</f>
        <v>64296378</v>
      </c>
      <c r="F18" s="1001">
        <f>+PL!E8</f>
        <v>64459893</v>
      </c>
    </row>
    <row r="19" spans="1:6">
      <c r="A19" s="1"/>
      <c r="B19" s="1" t="s">
        <v>908</v>
      </c>
      <c r="C19" s="1"/>
      <c r="E19" s="1001">
        <v>0</v>
      </c>
      <c r="F19" s="1001">
        <v>0</v>
      </c>
    </row>
    <row r="20" spans="1:6">
      <c r="A20" s="1"/>
      <c r="B20" s="6" t="s">
        <v>909</v>
      </c>
      <c r="C20" s="1"/>
      <c r="E20" s="1002">
        <f>+SUM(E18:E19)</f>
        <v>64296378</v>
      </c>
      <c r="F20" s="1002">
        <f>+SUM(F18:F19)</f>
        <v>64459893</v>
      </c>
    </row>
    <row r="21" spans="1:6" s="521" customFormat="1" ht="5.25" customHeight="1">
      <c r="A21" s="520"/>
      <c r="B21" s="520"/>
      <c r="C21" s="520"/>
      <c r="D21" s="520"/>
    </row>
    <row r="22" spans="1:6">
      <c r="A22" s="1"/>
      <c r="B22" s="1" t="s">
        <v>910</v>
      </c>
      <c r="C22" s="1"/>
      <c r="D22" s="1"/>
    </row>
    <row r="23" spans="1:6" s="521" customFormat="1" ht="6" customHeight="1"/>
    <row r="24" spans="1:6">
      <c r="A24" s="72">
        <f>A13+1</f>
        <v>41</v>
      </c>
      <c r="B24" s="6" t="s">
        <v>911</v>
      </c>
      <c r="C24" s="1"/>
      <c r="D24" s="1"/>
    </row>
    <row r="25" spans="1:6" ht="30.75" customHeight="1">
      <c r="B25" s="1017" t="s">
        <v>912</v>
      </c>
      <c r="C25" s="1017"/>
      <c r="D25" s="1017"/>
      <c r="E25" s="1017"/>
      <c r="F25" s="1017"/>
    </row>
    <row r="26" spans="1:6" ht="42" customHeight="1">
      <c r="B26" s="1017" t="s">
        <v>913</v>
      </c>
      <c r="C26" s="1017"/>
      <c r="D26" s="1017"/>
      <c r="E26" s="1017"/>
      <c r="F26" s="1017"/>
    </row>
    <row r="27" spans="1:6">
      <c r="A27" s="523" t="s">
        <v>443</v>
      </c>
      <c r="B27" s="6" t="s">
        <v>914</v>
      </c>
    </row>
    <row r="28" spans="1:6" ht="48.75" customHeight="1">
      <c r="B28" s="1017" t="s">
        <v>1002</v>
      </c>
      <c r="C28" s="1017"/>
      <c r="D28" s="1017"/>
      <c r="E28" s="1017"/>
      <c r="F28" s="1017"/>
    </row>
    <row r="29" spans="1:6" s="521" customFormat="1" ht="11"/>
    <row r="30" spans="1:6">
      <c r="A30" s="523" t="s">
        <v>586</v>
      </c>
      <c r="B30" s="6" t="s">
        <v>915</v>
      </c>
    </row>
    <row r="31" spans="1:6" ht="75.75" customHeight="1">
      <c r="B31" s="1017" t="s">
        <v>916</v>
      </c>
      <c r="C31" s="1017"/>
      <c r="D31" s="1017"/>
      <c r="E31" s="1017"/>
      <c r="F31" s="1017"/>
    </row>
    <row r="32" spans="1:6" s="521" customFormat="1" ht="11"/>
    <row r="33" spans="1:6">
      <c r="A33" s="523" t="s">
        <v>622</v>
      </c>
      <c r="B33" s="6" t="s">
        <v>917</v>
      </c>
    </row>
    <row r="34" spans="1:6" ht="15" customHeight="1">
      <c r="B34" s="1147" t="s">
        <v>918</v>
      </c>
      <c r="C34" s="1147"/>
      <c r="D34" s="1147"/>
      <c r="E34" s="1147"/>
      <c r="F34" s="1147"/>
    </row>
    <row r="35" spans="1:6" s="521" customFormat="1" ht="11"/>
    <row r="36" spans="1:6">
      <c r="A36" s="75" t="s">
        <v>625</v>
      </c>
      <c r="B36" s="6" t="s">
        <v>919</v>
      </c>
    </row>
    <row r="37" spans="1:6" ht="36" customHeight="1">
      <c r="B37" s="1017" t="s">
        <v>1003</v>
      </c>
      <c r="C37" s="1017"/>
      <c r="D37" s="1017"/>
      <c r="E37" s="1017"/>
      <c r="F37" s="1017"/>
    </row>
    <row r="38" spans="1:6" s="521" customFormat="1" ht="11"/>
    <row r="39" spans="1:6" hidden="1">
      <c r="A39" s="312">
        <f>A24+1</f>
        <v>42</v>
      </c>
      <c r="B39" s="76" t="s">
        <v>920</v>
      </c>
    </row>
    <row r="40" spans="1:6" ht="46.5" hidden="1" customHeight="1">
      <c r="B40" s="1017" t="s">
        <v>921</v>
      </c>
      <c r="C40" s="1017"/>
      <c r="D40" s="1017"/>
      <c r="E40" s="1017"/>
      <c r="F40" s="1017"/>
    </row>
    <row r="41" spans="1:6" hidden="1"/>
    <row r="42" spans="1:6" hidden="1">
      <c r="B42" s="6" t="s">
        <v>351</v>
      </c>
      <c r="D42" s="1"/>
      <c r="E42" s="1"/>
      <c r="F42" s="1"/>
    </row>
    <row r="43" spans="1:6" hidden="1">
      <c r="B43" s="1" t="s">
        <v>330</v>
      </c>
      <c r="D43" s="1"/>
      <c r="E43" s="1"/>
      <c r="F43" s="1"/>
    </row>
    <row r="44" spans="1:6" hidden="1">
      <c r="B44" s="7" t="s">
        <v>352</v>
      </c>
      <c r="D44" s="1"/>
      <c r="E44" s="1"/>
      <c r="F44" s="1"/>
    </row>
    <row r="45" spans="1:6" hidden="1">
      <c r="B45" s="1"/>
      <c r="D45" s="1"/>
      <c r="E45" s="1"/>
      <c r="F45" s="1"/>
    </row>
    <row r="46" spans="1:6" s="521" customFormat="1" ht="11">
      <c r="B46" s="520"/>
      <c r="D46" s="520"/>
      <c r="E46" s="520"/>
      <c r="F46" s="520"/>
    </row>
    <row r="47" spans="1:6" s="521" customFormat="1" ht="11">
      <c r="B47" s="520"/>
      <c r="D47" s="520"/>
      <c r="E47" s="520"/>
      <c r="F47" s="520"/>
    </row>
    <row r="48" spans="1:6">
      <c r="D48" s="1"/>
      <c r="E48" s="1"/>
    </row>
    <row r="49" spans="4:6">
      <c r="D49" s="1"/>
      <c r="E49" s="1"/>
    </row>
    <row r="50" spans="4:6">
      <c r="D50" s="1"/>
      <c r="E50" s="1"/>
    </row>
    <row r="51" spans="4:6">
      <c r="D51" s="1"/>
      <c r="E51" s="1"/>
      <c r="F51" s="1"/>
    </row>
    <row r="52" spans="4:6">
      <c r="D52" s="1"/>
      <c r="E52" s="1"/>
      <c r="F52" s="1"/>
    </row>
    <row r="53" spans="4:6">
      <c r="D53" s="1"/>
      <c r="E53" s="1"/>
      <c r="F53" s="1"/>
    </row>
  </sheetData>
  <mergeCells count="13">
    <mergeCell ref="B37:F37"/>
    <mergeCell ref="B40:F40"/>
    <mergeCell ref="B26:F26"/>
    <mergeCell ref="B13:D13"/>
    <mergeCell ref="B14:F14"/>
    <mergeCell ref="B15:F15"/>
    <mergeCell ref="B25:F25"/>
    <mergeCell ref="B34:F34"/>
    <mergeCell ref="A1:F1"/>
    <mergeCell ref="A2:F2"/>
    <mergeCell ref="A3:F3"/>
    <mergeCell ref="B28:F28"/>
    <mergeCell ref="B31:F31"/>
  </mergeCells>
  <pageMargins left="0.70866141732283472" right="0.70866141732283472" top="0.82677165354330717" bottom="0.74803149606299213" header="0.31496062992125984" footer="0.31496062992125984"/>
  <pageSetup paperSize="9" scale="90" orientation="portrait" r:id="rId1"/>
  <rowBreaks count="1" manualBreakCount="1">
    <brk id="3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12">
    <tabColor rgb="FF92D050"/>
  </sheetPr>
  <dimension ref="A1:G30"/>
  <sheetViews>
    <sheetView showGridLines="0" view="pageBreakPreview" zoomScale="98" zoomScaleSheetLayoutView="98" workbookViewId="0">
      <selection activeCell="K19" sqref="K19"/>
    </sheetView>
  </sheetViews>
  <sheetFormatPr baseColWidth="10" defaultColWidth="9.1640625" defaultRowHeight="16"/>
  <cols>
    <col min="1" max="1" width="3.83203125" style="507" bestFit="1" customWidth="1"/>
    <col min="2" max="2" width="4.5" style="507" customWidth="1"/>
    <col min="3" max="3" width="14.1640625" style="507" customWidth="1"/>
    <col min="4" max="4" width="20" style="507" customWidth="1"/>
    <col min="5" max="5" width="23" style="507" customWidth="1"/>
    <col min="6" max="6" width="18.5" style="507" customWidth="1"/>
    <col min="7" max="7" width="25" style="507" customWidth="1"/>
    <col min="8" max="16384" width="9.1640625" style="507"/>
  </cols>
  <sheetData>
    <row r="1" spans="1:7">
      <c r="A1" s="1096" t="s">
        <v>925</v>
      </c>
      <c r="B1" s="1096"/>
      <c r="C1" s="1096"/>
      <c r="D1" s="1096"/>
      <c r="E1" s="1096"/>
      <c r="F1" s="1096"/>
    </row>
    <row r="2" spans="1:7">
      <c r="A2" s="1096" t="s">
        <v>926</v>
      </c>
      <c r="B2" s="1096"/>
      <c r="C2" s="1096"/>
      <c r="D2" s="1096"/>
      <c r="E2" s="1096"/>
      <c r="F2" s="1096"/>
    </row>
    <row r="3" spans="1:7">
      <c r="A3" s="1097" t="str">
        <f>BS!A3</f>
        <v>[Currency: Indian Rupees(Rs.'000)]</v>
      </c>
      <c r="B3" s="1097"/>
      <c r="C3" s="1097"/>
      <c r="D3" s="1097"/>
      <c r="E3" s="1097"/>
      <c r="F3" s="1097"/>
    </row>
    <row r="5" spans="1:7">
      <c r="A5" s="508">
        <f>+'Notes 39 to 41'!A24+1</f>
        <v>42</v>
      </c>
      <c r="B5" s="508" t="s">
        <v>842</v>
      </c>
      <c r="C5" s="508"/>
    </row>
    <row r="6" spans="1:7">
      <c r="B6" s="509" t="s">
        <v>0</v>
      </c>
      <c r="C6" s="510"/>
      <c r="D6" s="510"/>
      <c r="E6" s="511"/>
      <c r="F6" s="512" t="str">
        <f>'Employee benefits Note 35'!E18</f>
        <v>31st March, 2023</v>
      </c>
      <c r="G6" s="512" t="str">
        <f>'Employee benefits Note 35'!F18</f>
        <v>31st March, 2022</v>
      </c>
    </row>
    <row r="7" spans="1:7">
      <c r="B7" s="513"/>
      <c r="C7" s="514"/>
      <c r="D7" s="514"/>
      <c r="E7" s="514"/>
      <c r="F7" s="515"/>
      <c r="G7" s="516"/>
    </row>
    <row r="8" spans="1:7" ht="54.75" customHeight="1">
      <c r="B8" s="517" t="s">
        <v>584</v>
      </c>
      <c r="C8" s="1150" t="s">
        <v>840</v>
      </c>
      <c r="D8" s="1150"/>
      <c r="E8" s="1150"/>
      <c r="F8" s="1003">
        <f>+BS!D48</f>
        <v>21277182</v>
      </c>
      <c r="G8" s="1003">
        <f>+BS!E48</f>
        <v>5514596</v>
      </c>
    </row>
    <row r="9" spans="1:7" ht="76.5" customHeight="1">
      <c r="B9" s="517" t="s">
        <v>588</v>
      </c>
      <c r="C9" s="1150" t="s">
        <v>838</v>
      </c>
      <c r="D9" s="1150"/>
      <c r="E9" s="1150"/>
      <c r="F9" s="67">
        <v>0</v>
      </c>
      <c r="G9" s="67">
        <v>0</v>
      </c>
    </row>
    <row r="10" spans="1:7" ht="68.25" customHeight="1">
      <c r="B10" s="517" t="s">
        <v>597</v>
      </c>
      <c r="C10" s="1150" t="s">
        <v>1024</v>
      </c>
      <c r="D10" s="1150"/>
      <c r="E10" s="1150"/>
      <c r="F10" s="67">
        <v>0</v>
      </c>
      <c r="G10" s="67">
        <v>0</v>
      </c>
    </row>
    <row r="11" spans="1:7" ht="42.75" customHeight="1">
      <c r="B11" s="517" t="s">
        <v>652</v>
      </c>
      <c r="C11" s="1150" t="s">
        <v>839</v>
      </c>
      <c r="D11" s="1150"/>
      <c r="E11" s="1150"/>
      <c r="F11" s="67">
        <v>0</v>
      </c>
      <c r="G11" s="67">
        <v>0</v>
      </c>
    </row>
    <row r="12" spans="1:7" ht="93" customHeight="1">
      <c r="B12" s="518" t="s">
        <v>613</v>
      </c>
      <c r="C12" s="1151" t="s">
        <v>841</v>
      </c>
      <c r="D12" s="1151"/>
      <c r="E12" s="1151"/>
      <c r="F12" s="68">
        <v>0</v>
      </c>
      <c r="G12" s="68">
        <v>0</v>
      </c>
    </row>
    <row r="14" spans="1:7" ht="16.5" customHeight="1">
      <c r="A14" s="519">
        <f>A5+1</f>
        <v>43</v>
      </c>
      <c r="B14" s="1149" t="s">
        <v>922</v>
      </c>
      <c r="C14" s="1149"/>
      <c r="D14" s="1149"/>
      <c r="E14" s="1149"/>
      <c r="F14" s="1"/>
      <c r="G14" s="1"/>
    </row>
    <row r="15" spans="1:7" ht="28.5" customHeight="1">
      <c r="B15" s="1148" t="s">
        <v>923</v>
      </c>
      <c r="C15" s="1148"/>
      <c r="D15" s="1148"/>
      <c r="E15" s="1148"/>
      <c r="F15" s="1148"/>
      <c r="G15" s="1148"/>
    </row>
    <row r="16" spans="1:7">
      <c r="B16" s="69"/>
      <c r="C16" s="69"/>
      <c r="D16" s="69"/>
      <c r="E16" s="69"/>
      <c r="F16" s="69"/>
      <c r="G16" s="69"/>
    </row>
    <row r="17" spans="2:7">
      <c r="B17" s="1" t="str">
        <f>"Signature to notes to Financial Statements 1 to " &amp;A14</f>
        <v>Signature to notes to Financial Statements 1 to 43</v>
      </c>
      <c r="C17" s="69"/>
      <c r="D17" s="69"/>
      <c r="E17" s="69"/>
      <c r="F17" s="69"/>
      <c r="G17" s="69"/>
    </row>
    <row r="18" spans="2:7">
      <c r="B18" s="1"/>
      <c r="C18" s="69"/>
      <c r="D18" s="69"/>
      <c r="E18" s="69"/>
      <c r="F18" s="69"/>
      <c r="G18" s="69"/>
    </row>
    <row r="19" spans="2:7">
      <c r="B19" s="6" t="s">
        <v>351</v>
      </c>
      <c r="D19" s="69"/>
      <c r="E19" s="6" t="s">
        <v>329</v>
      </c>
      <c r="F19" s="69"/>
      <c r="G19" s="69"/>
    </row>
    <row r="20" spans="2:7">
      <c r="B20" s="1" t="s">
        <v>330</v>
      </c>
      <c r="C20" s="1"/>
      <c r="D20" s="69"/>
      <c r="E20" s="69"/>
      <c r="F20" s="69"/>
      <c r="G20" s="69"/>
    </row>
    <row r="21" spans="2:7">
      <c r="B21" s="7" t="s">
        <v>352</v>
      </c>
      <c r="C21" s="1"/>
      <c r="D21" s="69"/>
      <c r="E21" s="69"/>
      <c r="F21" s="69"/>
      <c r="G21" s="69"/>
    </row>
    <row r="22" spans="2:7">
      <c r="B22" s="7"/>
      <c r="C22" s="1"/>
      <c r="D22" s="69"/>
      <c r="E22" s="69"/>
      <c r="F22" s="69"/>
      <c r="G22" s="69"/>
    </row>
    <row r="23" spans="2:7">
      <c r="B23" s="7"/>
      <c r="C23" s="1"/>
      <c r="D23" s="69"/>
      <c r="E23" s="69"/>
      <c r="F23" s="69"/>
      <c r="G23" s="69"/>
    </row>
    <row r="24" spans="2:7">
      <c r="B24" s="7"/>
      <c r="C24" s="1"/>
      <c r="D24" s="69"/>
      <c r="E24" s="69"/>
      <c r="F24" s="69"/>
      <c r="G24" s="69"/>
    </row>
    <row r="25" spans="2:7">
      <c r="B25" s="6" t="s">
        <v>353</v>
      </c>
      <c r="E25" s="6" t="str">
        <f>+BS!C63</f>
        <v>Deep A. Lalvani</v>
      </c>
      <c r="G25" s="6" t="str">
        <f>+BS!E63</f>
        <v>Ninotchka Malkani Nagpal</v>
      </c>
    </row>
    <row r="26" spans="2:7">
      <c r="B26" s="1" t="s">
        <v>356</v>
      </c>
      <c r="E26" s="1" t="str">
        <f>+BS!C64</f>
        <v>Chairman</v>
      </c>
      <c r="G26" s="1" t="str">
        <f>+BS!E64</f>
        <v>Director</v>
      </c>
    </row>
    <row r="27" spans="2:7">
      <c r="B27" s="295" t="s">
        <v>358</v>
      </c>
      <c r="E27" s="1" t="str">
        <f>+BS!C65</f>
        <v>DIN: 01771000</v>
      </c>
      <c r="G27" s="1" t="str">
        <f>+BS!E65</f>
        <v>DIN: 00031985</v>
      </c>
    </row>
    <row r="28" spans="2:7">
      <c r="B28" s="295" t="str">
        <f>+BS!B66</f>
        <v xml:space="preserve">UDIN: </v>
      </c>
      <c r="E28" s="1" t="str">
        <f>+BS!C66</f>
        <v>Place : Mumbai</v>
      </c>
      <c r="G28" s="1"/>
    </row>
    <row r="29" spans="2:7">
      <c r="B29" s="1" t="str">
        <f>+BS!B67</f>
        <v>Place : Mumbai</v>
      </c>
      <c r="E29" s="1" t="str">
        <f>+BS!C67</f>
        <v>Date : 22 May 2023</v>
      </c>
    </row>
    <row r="30" spans="2:7">
      <c r="B30" s="1" t="str">
        <f>+BS!B68</f>
        <v>Date : 22 May 2023</v>
      </c>
    </row>
  </sheetData>
  <mergeCells count="10">
    <mergeCell ref="A1:F1"/>
    <mergeCell ref="A2:F2"/>
    <mergeCell ref="A3:F3"/>
    <mergeCell ref="B15:G15"/>
    <mergeCell ref="B14:E14"/>
    <mergeCell ref="C8:E8"/>
    <mergeCell ref="C9:E9"/>
    <mergeCell ref="C10:E10"/>
    <mergeCell ref="C11:E11"/>
    <mergeCell ref="C12:E12"/>
  </mergeCells>
  <pageMargins left="0.70866141732283472" right="0.51181102362204722" top="0.74803149606299213" bottom="0.74803149606299213" header="0.31496062992125984" footer="0.31496062992125984"/>
  <pageSetup paperSize="9" scale="82" orientation="portrait" blackAndWhite="1" horizontalDpi="360" verticalDpi="36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A7B2-9A29-4AC4-8807-7C7F54F5F591}">
  <dimension ref="A1:W227"/>
  <sheetViews>
    <sheetView workbookViewId="0">
      <pane xSplit="2" ySplit="5" topLeftCell="C43" activePane="bottomRight" state="frozen"/>
      <selection activeCell="B25" sqref="B25"/>
      <selection pane="topRight" activeCell="B25" sqref="B25"/>
      <selection pane="bottomLeft" activeCell="B25" sqref="B25"/>
      <selection pane="bottomRight" activeCell="B25" sqref="B25"/>
    </sheetView>
  </sheetViews>
  <sheetFormatPr baseColWidth="10" defaultColWidth="9.1640625" defaultRowHeight="15"/>
  <cols>
    <col min="1" max="1" width="30.1640625" style="628" customWidth="1"/>
    <col min="2" max="2" width="10.6640625" style="215" customWidth="1"/>
    <col min="3" max="3" width="16.6640625" style="334" bestFit="1" customWidth="1"/>
    <col min="4" max="4" width="10.6640625" style="334" customWidth="1"/>
    <col min="5" max="5" width="13" style="334" bestFit="1" customWidth="1"/>
    <col min="6" max="6" width="12.33203125" style="334" bestFit="1" customWidth="1"/>
    <col min="7" max="7" width="14" style="334" bestFit="1" customWidth="1"/>
    <col min="8" max="8" width="10.6640625" style="334" customWidth="1"/>
    <col min="9" max="9" width="13" style="334" bestFit="1" customWidth="1"/>
    <col min="10" max="10" width="10.6640625" style="334" customWidth="1"/>
    <col min="11" max="11" width="16" style="334" bestFit="1" customWidth="1"/>
    <col min="12" max="12" width="16" style="334" customWidth="1"/>
    <col min="13" max="13" width="13.33203125" style="334" customWidth="1"/>
    <col min="14" max="15" width="12.5" style="334" customWidth="1"/>
    <col min="16" max="16" width="14.1640625" style="334" customWidth="1"/>
    <col min="17" max="17" width="7.1640625" style="334" customWidth="1"/>
    <col min="18" max="18" width="14.1640625" style="334" customWidth="1"/>
    <col min="19" max="19" width="7.1640625" style="334" customWidth="1"/>
    <col min="20" max="20" width="16" style="334" customWidth="1"/>
    <col min="21" max="21" width="14.33203125" style="215" bestFit="1" customWidth="1"/>
    <col min="22" max="23" width="9.6640625" style="215" bestFit="1" customWidth="1"/>
    <col min="24" max="16384" width="9.1640625" style="215"/>
  </cols>
  <sheetData>
    <row r="1" spans="1:21" s="6" customFormat="1">
      <c r="A1" s="6" t="str">
        <f>BS!A1</f>
        <v>1908 E-Ventures Private Limited</v>
      </c>
      <c r="B1" s="293"/>
      <c r="C1" s="731"/>
      <c r="D1" s="731"/>
      <c r="E1" s="731"/>
      <c r="F1" s="731"/>
      <c r="G1" s="731"/>
      <c r="H1" s="731"/>
      <c r="I1" s="731"/>
      <c r="J1" s="731"/>
      <c r="K1" s="732">
        <f>-K446-K452-K460-K469-K483-K487-K494-K508-K512-K519-K523-K527-K531-K596-K535-K544-K540-K549-K556-K473+K477</f>
        <v>0</v>
      </c>
      <c r="L1" s="731"/>
      <c r="M1" s="731"/>
      <c r="N1" s="731"/>
      <c r="O1" s="731"/>
      <c r="P1" s="731"/>
      <c r="Q1" s="731"/>
      <c r="R1" s="731"/>
      <c r="S1" s="731"/>
      <c r="T1" s="731">
        <f>-T446-T452-T460-T469-T483-T487-T494-T508-T512-T519-T523-T527-T531-T596-T535-T544-T540-T549-T556-T473</f>
        <v>0</v>
      </c>
    </row>
    <row r="2" spans="1:21" s="6" customFormat="1">
      <c r="A2" s="293" t="s">
        <v>1606</v>
      </c>
      <c r="B2" s="293"/>
      <c r="C2" s="269"/>
      <c r="D2" s="731"/>
      <c r="E2" s="731">
        <f>IFERROR(VLOOKUP(A2,'TB Other'!A:M,8,0),0)+IFERROR(VLOOKUP(A2,'TB Other'!A:M,9,0),0)</f>
        <v>0</v>
      </c>
      <c r="F2" s="731"/>
      <c r="G2" s="731">
        <f>IFERROR(VLOOKUP(A2,'TB Other'!A:M,4,0),0)+IFERROR(VLOOKUP(A2,'TB Other'!A:M,5,0),0)</f>
        <v>0</v>
      </c>
      <c r="H2" s="731"/>
      <c r="I2" s="746">
        <f>IFERROR(VLOOKUP(A2,'TB Other'!A:M,13,0),0)+IFERROR(VLOOKUP(A2,'TB Other'!A:M,12,0),0)</f>
        <v>0</v>
      </c>
      <c r="J2" s="731"/>
      <c r="K2" s="732" t="s">
        <v>1576</v>
      </c>
      <c r="L2" s="734">
        <f>IFERROR(VLOOKUP(A2,'TB PY'!A:G,7,),0)+IFERROR(VLOOKUP(A2,'TB PY'!A:G,6,),0)</f>
        <v>0</v>
      </c>
      <c r="M2" s="731"/>
      <c r="N2" s="731"/>
      <c r="O2" s="731"/>
      <c r="P2" s="731"/>
      <c r="Q2" s="731"/>
      <c r="R2" s="731"/>
      <c r="S2" s="731"/>
      <c r="T2" s="731"/>
    </row>
    <row r="3" spans="1:21" s="1" customFormat="1" ht="16" thickBot="1">
      <c r="A3" s="735"/>
      <c r="C3" s="50"/>
      <c r="D3" s="50"/>
      <c r="E3" s="50"/>
      <c r="F3" s="50"/>
      <c r="G3" s="50"/>
      <c r="H3" s="50"/>
      <c r="I3" s="50"/>
      <c r="J3" s="50"/>
      <c r="K3" s="50"/>
      <c r="L3" s="50"/>
      <c r="M3" s="50"/>
      <c r="N3" s="50"/>
      <c r="O3" s="50"/>
      <c r="P3" s="50"/>
      <c r="Q3" s="50"/>
      <c r="R3" s="50"/>
      <c r="S3" s="50"/>
      <c r="T3" s="50"/>
    </row>
    <row r="4" spans="1:21" s="1" customFormat="1" ht="16.5" customHeight="1" thickTop="1" thickBot="1">
      <c r="A4" s="761" t="s">
        <v>0</v>
      </c>
      <c r="B4" s="737"/>
      <c r="C4" s="1040" t="s">
        <v>1509</v>
      </c>
      <c r="D4" s="1041"/>
      <c r="E4" s="1041"/>
      <c r="F4" s="1041"/>
      <c r="G4" s="1041"/>
      <c r="H4" s="1041"/>
      <c r="I4" s="1041"/>
      <c r="J4" s="1041"/>
      <c r="K4" s="1042"/>
      <c r="L4" s="1043" t="s">
        <v>1212</v>
      </c>
      <c r="M4" s="1041"/>
      <c r="N4" s="1041"/>
      <c r="O4" s="1041"/>
      <c r="P4" s="1041"/>
      <c r="Q4" s="1041"/>
      <c r="R4" s="1041"/>
      <c r="S4" s="1041"/>
      <c r="T4" s="1044"/>
    </row>
    <row r="5" spans="1:21" s="1" customFormat="1" ht="18" thickTop="1" thickBot="1">
      <c r="A5" s="762" t="s">
        <v>0</v>
      </c>
      <c r="B5" s="740" t="s">
        <v>1219</v>
      </c>
      <c r="C5" s="741" t="s">
        <v>97</v>
      </c>
      <c r="D5" s="741" t="s">
        <v>1218</v>
      </c>
      <c r="E5" s="741" t="s">
        <v>1161</v>
      </c>
      <c r="F5" s="741" t="s">
        <v>1218</v>
      </c>
      <c r="G5" s="741" t="s">
        <v>1160</v>
      </c>
      <c r="H5" s="741" t="s">
        <v>1218</v>
      </c>
      <c r="I5" s="741" t="s">
        <v>1602</v>
      </c>
      <c r="J5" s="741" t="s">
        <v>1218</v>
      </c>
      <c r="K5" s="742" t="s">
        <v>51</v>
      </c>
      <c r="L5" s="741" t="s">
        <v>97</v>
      </c>
      <c r="M5" s="741" t="s">
        <v>1218</v>
      </c>
      <c r="N5" s="741" t="s">
        <v>1161</v>
      </c>
      <c r="O5" s="741" t="s">
        <v>1218</v>
      </c>
      <c r="P5" s="741" t="s">
        <v>1160</v>
      </c>
      <c r="Q5" s="741" t="s">
        <v>1218</v>
      </c>
      <c r="R5" s="741" t="s">
        <v>1602</v>
      </c>
      <c r="S5" s="741" t="s">
        <v>1218</v>
      </c>
      <c r="T5" s="743" t="s">
        <v>51</v>
      </c>
    </row>
    <row r="6" spans="1:21" ht="17" thickTop="1">
      <c r="A6" s="744" t="s">
        <v>1220</v>
      </c>
      <c r="B6" s="745"/>
      <c r="C6" s="734"/>
      <c r="D6" s="746"/>
      <c r="E6" s="746"/>
      <c r="F6" s="746"/>
      <c r="G6" s="746"/>
      <c r="H6" s="746"/>
      <c r="I6" s="746"/>
      <c r="J6" s="746"/>
      <c r="K6" s="747"/>
      <c r="L6" s="734"/>
      <c r="M6" s="746"/>
      <c r="N6" s="746"/>
      <c r="O6" s="746"/>
      <c r="P6" s="746"/>
      <c r="Q6" s="746"/>
      <c r="R6" s="746"/>
      <c r="S6" s="746"/>
      <c r="T6" s="747"/>
    </row>
    <row r="7" spans="1:21" ht="16">
      <c r="A7" s="628" t="s">
        <v>104</v>
      </c>
      <c r="B7" s="745" t="s">
        <v>460</v>
      </c>
      <c r="C7" s="734">
        <f>IFERROR((VLOOKUP(A7,'TB CY'!A:G,6,)+VLOOKUP(A7,'TB CY'!A:G,7,0)),0)</f>
        <v>59945140</v>
      </c>
      <c r="D7" s="746"/>
      <c r="E7" s="731">
        <f>IFERROR(VLOOKUP(A7,'TB Other'!A:M,8,0),0)+IFERROR(VLOOKUP(A7,'TB Other'!A:M,9,0),0)</f>
        <v>0</v>
      </c>
      <c r="F7" s="746"/>
      <c r="G7" s="731">
        <f>IFERROR(VLOOKUP(A7,'TB Other'!A:M,4,0),0)+IFERROR(VLOOKUP(A7,'TB Other'!A:M,5,0),0)</f>
        <v>0</v>
      </c>
      <c r="H7" s="746"/>
      <c r="I7" s="746">
        <f>IFERROR(VLOOKUP(A7,'TB Other'!A:M,13,0),0)+IFERROR(VLOOKUP(A7,'TB Other'!A:M,12,0),0)</f>
        <v>0</v>
      </c>
      <c r="J7" s="746"/>
      <c r="K7" s="747">
        <f>SUM(C7:J7)</f>
        <v>59945140</v>
      </c>
      <c r="L7" s="734">
        <f>VLOOKUP(A7,'TB PY'!A:G,7,)+VLOOKUP(A7,'TB PY'!A:G,6,)</f>
        <v>59442630</v>
      </c>
      <c r="M7" s="746"/>
      <c r="N7" s="746"/>
      <c r="O7" s="746"/>
      <c r="P7" s="746"/>
      <c r="Q7" s="746"/>
      <c r="R7" s="746"/>
      <c r="S7" s="746"/>
      <c r="T7" s="747">
        <f>SUM(L7:S7)</f>
        <v>59442630</v>
      </c>
    </row>
    <row r="8" spans="1:21" ht="16">
      <c r="A8" s="628" t="s">
        <v>561</v>
      </c>
      <c r="B8" s="745" t="s">
        <v>460</v>
      </c>
      <c r="C8" s="734">
        <f>IFERROR((VLOOKUP(A8,'TB CY'!A:G,6,)+VLOOKUP(A8,'TB CY'!A:G,7,0)),0)</f>
        <v>177191953</v>
      </c>
      <c r="D8" s="746"/>
      <c r="E8" s="731">
        <f>IFERROR(VLOOKUP(A8,'TB Other'!A:M,8,0),0)+IFERROR(VLOOKUP(A8,'TB Other'!A:M,9,0),0)</f>
        <v>0</v>
      </c>
      <c r="F8" s="746"/>
      <c r="G8" s="731">
        <f>IFERROR(VLOOKUP(A8,'TB Other'!A:M,4,0),0)+IFERROR(VLOOKUP(A8,'TB Other'!A:M,5,0),0)</f>
        <v>0</v>
      </c>
      <c r="H8" s="746"/>
      <c r="I8" s="746">
        <f>IFERROR(VLOOKUP(A8,'TB Other'!A:M,13,0),0)+IFERROR(VLOOKUP(A8,'TB Other'!A:M,12,0),0)</f>
        <v>0</v>
      </c>
      <c r="J8" s="746"/>
      <c r="K8" s="747">
        <f t="shared" ref="K8:K10" si="0">SUM(C8:J8)</f>
        <v>177191953</v>
      </c>
      <c r="L8" s="734">
        <f>VLOOKUP(A8,'TB PY'!A:G,7,)+VLOOKUP(A8,'TB PY'!A:G,6,)</f>
        <v>172694488</v>
      </c>
      <c r="M8" s="746"/>
      <c r="N8" s="746"/>
      <c r="O8" s="746"/>
      <c r="P8" s="746"/>
      <c r="Q8" s="746"/>
      <c r="R8" s="746"/>
      <c r="S8" s="746"/>
      <c r="T8" s="747">
        <f t="shared" ref="T8:T10" si="1">SUM(L8:S8)</f>
        <v>172694488</v>
      </c>
    </row>
    <row r="9" spans="1:21" ht="16">
      <c r="A9" s="628" t="s">
        <v>372</v>
      </c>
      <c r="B9" s="745" t="s">
        <v>460</v>
      </c>
      <c r="C9" s="734">
        <f>IFERROR((VLOOKUP(A9,'TB CY'!A:G,6,)+VLOOKUP(A9,'TB CY'!A:G,7,0)),0)</f>
        <v>-42110032.479999997</v>
      </c>
      <c r="D9" s="746"/>
      <c r="E9" s="731">
        <f>IFERROR(VLOOKUP(A9,'TB Other'!A:M,8,0),0)+IFERROR(VLOOKUP(A9,'TB Other'!A:M,9,0),0)</f>
        <v>0</v>
      </c>
      <c r="F9" s="746"/>
      <c r="G9" s="731">
        <f>IFERROR(VLOOKUP(A9,'TB Other'!A:M,4,0),0)+IFERROR(VLOOKUP(A9,'TB Other'!A:M,5,0),0)</f>
        <v>0</v>
      </c>
      <c r="H9" s="746"/>
      <c r="I9" s="746">
        <f>IFERROR(VLOOKUP(A9,'TB Other'!A:M,13,0),0)+IFERROR(VLOOKUP(A9,'TB Other'!A:M,12,0),0)</f>
        <v>0</v>
      </c>
      <c r="J9" s="746"/>
      <c r="K9" s="747">
        <f t="shared" si="0"/>
        <v>-42110032.479999997</v>
      </c>
      <c r="L9" s="734">
        <f>VLOOKUP(A9,'TB PY'!A:G,7,)+VLOOKUP(A9,'TB PY'!A:G,6,)</f>
        <v>-42108371.479999997</v>
      </c>
      <c r="M9" s="746"/>
      <c r="N9" s="746"/>
      <c r="O9" s="746"/>
      <c r="P9" s="746"/>
      <c r="Q9" s="746"/>
      <c r="R9" s="746"/>
      <c r="S9" s="746"/>
      <c r="T9" s="747">
        <f t="shared" si="1"/>
        <v>-42108371.479999997</v>
      </c>
    </row>
    <row r="10" spans="1:21" ht="17" thickBot="1">
      <c r="A10" s="628" t="s">
        <v>1130</v>
      </c>
      <c r="B10" s="745" t="s">
        <v>460</v>
      </c>
      <c r="C10" s="734">
        <f>IFERROR((VLOOKUP(A10,'TB CY'!A:G,6,)+VLOOKUP(A10,'TB CY'!A:G,7,0)),0)</f>
        <v>4500393</v>
      </c>
      <c r="D10" s="746"/>
      <c r="E10" s="731">
        <f>IFERROR(VLOOKUP(A10,'TB Other'!A:M,8,0),0)+IFERROR(VLOOKUP(A10,'TB Other'!A:M,9,0),0)</f>
        <v>0</v>
      </c>
      <c r="F10" s="746"/>
      <c r="G10" s="731">
        <f>IFERROR(VLOOKUP(A10,'TB Other'!A:M,4,0),0)+IFERROR(VLOOKUP(A10,'TB Other'!A:M,5,0),0)</f>
        <v>0</v>
      </c>
      <c r="H10" s="746"/>
      <c r="I10" s="746">
        <f>IFERROR(VLOOKUP(A10,'TB Other'!A:M,13,0),0)+IFERROR(VLOOKUP(A10,'TB Other'!A:M,12,0),0)</f>
        <v>0</v>
      </c>
      <c r="J10" s="746"/>
      <c r="K10" s="747">
        <f t="shared" si="0"/>
        <v>4500393</v>
      </c>
      <c r="L10" s="734">
        <f>VLOOKUP(A10,'TB PY'!A:G,7,)+VLOOKUP(A10,'TB PY'!A:G,6,)</f>
        <v>4500393</v>
      </c>
      <c r="M10" s="746"/>
      <c r="N10" s="746"/>
      <c r="O10" s="746"/>
      <c r="P10" s="746"/>
      <c r="Q10" s="746"/>
      <c r="R10" s="746"/>
      <c r="S10" s="746"/>
      <c r="T10" s="747">
        <f t="shared" si="1"/>
        <v>4500393</v>
      </c>
    </row>
    <row r="11" spans="1:21" ht="17" thickTop="1" thickBot="1">
      <c r="A11" s="749"/>
      <c r="B11" s="750" t="s">
        <v>51</v>
      </c>
      <c r="C11" s="751">
        <f>SUM(C7:C10)</f>
        <v>199527453.52000001</v>
      </c>
      <c r="D11" s="752">
        <f t="shared" ref="D11:T11" si="2">SUM(D7:D10)</f>
        <v>0</v>
      </c>
      <c r="E11" s="752">
        <f t="shared" si="2"/>
        <v>0</v>
      </c>
      <c r="F11" s="752">
        <f t="shared" si="2"/>
        <v>0</v>
      </c>
      <c r="G11" s="752">
        <f t="shared" si="2"/>
        <v>0</v>
      </c>
      <c r="H11" s="752">
        <f t="shared" si="2"/>
        <v>0</v>
      </c>
      <c r="I11" s="752">
        <f t="shared" ref="I11:J11" si="3">SUM(I7:I10)</f>
        <v>0</v>
      </c>
      <c r="J11" s="752">
        <f t="shared" si="3"/>
        <v>0</v>
      </c>
      <c r="K11" s="754">
        <f t="shared" si="2"/>
        <v>199527453.52000001</v>
      </c>
      <c r="L11" s="751">
        <f t="shared" si="2"/>
        <v>194529139.52000001</v>
      </c>
      <c r="M11" s="752">
        <f t="shared" si="2"/>
        <v>0</v>
      </c>
      <c r="N11" s="752">
        <f t="shared" si="2"/>
        <v>0</v>
      </c>
      <c r="O11" s="752">
        <f t="shared" si="2"/>
        <v>0</v>
      </c>
      <c r="P11" s="752">
        <f t="shared" si="2"/>
        <v>0</v>
      </c>
      <c r="Q11" s="752">
        <f t="shared" si="2"/>
        <v>0</v>
      </c>
      <c r="R11" s="752">
        <f t="shared" ref="R11:S11" si="4">SUM(R7:R10)</f>
        <v>0</v>
      </c>
      <c r="S11" s="752">
        <f t="shared" si="4"/>
        <v>0</v>
      </c>
      <c r="T11" s="754">
        <f t="shared" si="2"/>
        <v>194529139.52000001</v>
      </c>
    </row>
    <row r="12" spans="1:21" ht="16" thickTop="1">
      <c r="B12" s="756"/>
      <c r="C12" s="734"/>
      <c r="D12" s="746"/>
      <c r="E12" s="746"/>
      <c r="F12" s="746"/>
      <c r="G12" s="746"/>
      <c r="H12" s="746"/>
      <c r="I12" s="746"/>
      <c r="J12" s="746"/>
      <c r="K12" s="747"/>
      <c r="L12" s="734"/>
      <c r="M12" s="746"/>
      <c r="N12" s="746"/>
      <c r="O12" s="746"/>
      <c r="P12" s="746"/>
      <c r="Q12" s="746"/>
      <c r="R12" s="746"/>
      <c r="S12" s="746"/>
      <c r="T12" s="747"/>
    </row>
    <row r="13" spans="1:21" ht="16">
      <c r="A13" s="628" t="s">
        <v>1153</v>
      </c>
      <c r="B13" s="756" t="s">
        <v>460</v>
      </c>
      <c r="C13" s="734">
        <f>IFERROR((VLOOKUP(A13,'TB CY'!A:G,6,)+VLOOKUP(A13,'TB CY'!A:G,7,0)),0)</f>
        <v>-117599828.17</v>
      </c>
      <c r="D13" s="746"/>
      <c r="E13" s="731">
        <f>IFERROR(VLOOKUP(A13,'TB Other'!A:M,8,0),0)+IFERROR(VLOOKUP(A13,'TB Other'!A:M,9,0),0)</f>
        <v>-139240.66</v>
      </c>
      <c r="F13" s="746"/>
      <c r="G13" s="731">
        <f>IFERROR(VLOOKUP(A13,'TB Other'!A:M,4,0),0)+IFERROR(VLOOKUP(A13,'TB Other'!A:M,5,0),0)</f>
        <v>-335984.57</v>
      </c>
      <c r="H13" s="746"/>
      <c r="I13" s="746">
        <f>IFERROR(VLOOKUP(A13,'TB Other'!A:M,13,0),0)+IFERROR(VLOOKUP(A13,'TB Other'!A:M,12,0),0)</f>
        <v>0</v>
      </c>
      <c r="J13" s="746"/>
      <c r="K13" s="747">
        <f>SUM(C13:J13)</f>
        <v>-118075053.39999999</v>
      </c>
      <c r="L13" s="734">
        <v>-58940388.890000001</v>
      </c>
      <c r="M13" s="746"/>
      <c r="N13" s="746">
        <v>-128397</v>
      </c>
      <c r="O13" s="746">
        <v>0</v>
      </c>
      <c r="P13" s="746">
        <v>735447</v>
      </c>
      <c r="Q13" s="746">
        <v>0</v>
      </c>
      <c r="R13" s="746"/>
      <c r="S13" s="746"/>
      <c r="T13" s="747">
        <f>SUM(L13:S13)</f>
        <v>-58333338.890000001</v>
      </c>
    </row>
    <row r="14" spans="1:21" ht="17" thickBot="1">
      <c r="A14" s="628" t="s">
        <v>1356</v>
      </c>
      <c r="B14" s="756" t="s">
        <v>464</v>
      </c>
      <c r="C14" s="734">
        <f>+'PL Grouping'!C367</f>
        <v>-69908947</v>
      </c>
      <c r="D14" s="746">
        <f>+'PL Grouping'!D367</f>
        <v>-631744.33333333349</v>
      </c>
      <c r="E14" s="746">
        <f>+'PL Grouping'!E367</f>
        <v>-448376</v>
      </c>
      <c r="F14" s="746">
        <f>+'PL Grouping'!F367</f>
        <v>374337</v>
      </c>
      <c r="G14" s="746">
        <f>+'PL Grouping'!G367</f>
        <v>583903</v>
      </c>
      <c r="H14" s="746">
        <f>+'PL Grouping'!H367</f>
        <v>14412.333333333328</v>
      </c>
      <c r="I14" s="746">
        <f>+'PL Grouping'!I367</f>
        <v>-243654</v>
      </c>
      <c r="J14" s="746">
        <f>+'PL Grouping'!J367</f>
        <v>314712.34000000008</v>
      </c>
      <c r="K14" s="747">
        <f>SUM(C14:J14)</f>
        <v>-69945356.659999996</v>
      </c>
      <c r="L14" s="734">
        <v>-59547293</v>
      </c>
      <c r="M14" s="746">
        <v>-76307</v>
      </c>
      <c r="N14" s="746">
        <v>-15839</v>
      </c>
      <c r="O14" s="746">
        <v>0</v>
      </c>
      <c r="P14" s="746">
        <v>-1071431</v>
      </c>
      <c r="Q14" s="746">
        <v>0</v>
      </c>
      <c r="R14" s="746"/>
      <c r="S14" s="746"/>
      <c r="T14" s="747">
        <f>SUM(L14:S14)</f>
        <v>-60710870</v>
      </c>
    </row>
    <row r="15" spans="1:21" ht="18" thickTop="1" thickBot="1">
      <c r="A15" s="749" t="s">
        <v>1353</v>
      </c>
      <c r="B15" s="750" t="s">
        <v>51</v>
      </c>
      <c r="C15" s="751">
        <f>SUM(C13:C14)</f>
        <v>-187508775.17000002</v>
      </c>
      <c r="D15" s="752">
        <f t="shared" ref="D15:T15" si="5">SUM(D13:D14)</f>
        <v>-631744.33333333349</v>
      </c>
      <c r="E15" s="752">
        <f t="shared" si="5"/>
        <v>-587616.66</v>
      </c>
      <c r="F15" s="752">
        <f t="shared" si="5"/>
        <v>374337</v>
      </c>
      <c r="G15" s="752">
        <f t="shared" si="5"/>
        <v>247918.43</v>
      </c>
      <c r="H15" s="752">
        <f t="shared" si="5"/>
        <v>14412.333333333328</v>
      </c>
      <c r="I15" s="752">
        <f t="shared" ref="I15:J15" si="6">SUM(I13:I14)</f>
        <v>-243654</v>
      </c>
      <c r="J15" s="752">
        <f t="shared" si="6"/>
        <v>314712.34000000008</v>
      </c>
      <c r="K15" s="754">
        <f t="shared" si="5"/>
        <v>-188020410.06</v>
      </c>
      <c r="L15" s="751">
        <f t="shared" si="5"/>
        <v>-118487681.89</v>
      </c>
      <c r="M15" s="752">
        <f t="shared" si="5"/>
        <v>-76307</v>
      </c>
      <c r="N15" s="752">
        <f t="shared" si="5"/>
        <v>-144236</v>
      </c>
      <c r="O15" s="752">
        <f t="shared" si="5"/>
        <v>0</v>
      </c>
      <c r="P15" s="752">
        <f t="shared" si="5"/>
        <v>-335984</v>
      </c>
      <c r="Q15" s="752">
        <f t="shared" si="5"/>
        <v>0</v>
      </c>
      <c r="R15" s="752">
        <f t="shared" si="5"/>
        <v>0</v>
      </c>
      <c r="S15" s="752">
        <f t="shared" si="5"/>
        <v>0</v>
      </c>
      <c r="T15" s="754">
        <f t="shared" si="5"/>
        <v>-119044208.89</v>
      </c>
      <c r="U15" s="763"/>
    </row>
    <row r="16" spans="1:21" ht="16" thickTop="1">
      <c r="B16" s="756"/>
      <c r="C16" s="734"/>
      <c r="D16" s="746"/>
      <c r="E16" s="746"/>
      <c r="F16" s="746"/>
      <c r="G16" s="746"/>
      <c r="H16" s="746"/>
      <c r="I16" s="746"/>
      <c r="J16" s="746"/>
      <c r="K16" s="747"/>
      <c r="L16" s="734"/>
      <c r="M16" s="746"/>
      <c r="N16" s="746"/>
      <c r="O16" s="746"/>
      <c r="P16" s="746"/>
      <c r="Q16" s="746"/>
      <c r="R16" s="746"/>
      <c r="S16" s="746"/>
      <c r="T16" s="747"/>
    </row>
    <row r="17" spans="1:21" ht="16">
      <c r="A17" s="755" t="s">
        <v>20</v>
      </c>
      <c r="B17" s="745"/>
      <c r="C17" s="734"/>
      <c r="D17" s="746"/>
      <c r="E17" s="746"/>
      <c r="F17" s="746"/>
      <c r="G17" s="746"/>
      <c r="H17" s="746"/>
      <c r="I17" s="746"/>
      <c r="J17" s="746"/>
      <c r="K17" s="747"/>
      <c r="L17" s="734"/>
      <c r="M17" s="746"/>
      <c r="N17" s="746"/>
      <c r="O17" s="746"/>
      <c r="P17" s="746"/>
      <c r="Q17" s="746"/>
      <c r="R17" s="746"/>
      <c r="S17" s="746"/>
      <c r="T17" s="747"/>
      <c r="U17" s="763"/>
    </row>
    <row r="18" spans="1:21" ht="16">
      <c r="A18" s="628" t="s">
        <v>21</v>
      </c>
      <c r="B18" s="745"/>
      <c r="C18" s="734"/>
      <c r="D18" s="746"/>
      <c r="E18" s="746"/>
      <c r="F18" s="746"/>
      <c r="G18" s="746"/>
      <c r="H18" s="746"/>
      <c r="I18" s="746"/>
      <c r="J18" s="746"/>
      <c r="K18" s="747"/>
      <c r="L18" s="734"/>
      <c r="M18" s="746"/>
      <c r="N18" s="746"/>
      <c r="O18" s="746"/>
      <c r="P18" s="746"/>
      <c r="Q18" s="746"/>
      <c r="R18" s="746"/>
      <c r="S18" s="746"/>
      <c r="T18" s="747"/>
    </row>
    <row r="19" spans="1:21" ht="16">
      <c r="A19" s="628" t="s">
        <v>1222</v>
      </c>
      <c r="B19" s="745" t="s">
        <v>1223</v>
      </c>
      <c r="C19" s="734"/>
      <c r="D19" s="746">
        <f>-ROU!G52</f>
        <v>-326037.69359735784</v>
      </c>
      <c r="E19" s="746"/>
      <c r="F19" s="746"/>
      <c r="G19" s="746"/>
      <c r="H19" s="746"/>
      <c r="I19" s="746"/>
      <c r="J19" s="746"/>
      <c r="K19" s="747">
        <f>SUBTOTAL(9,C19:J19)</f>
        <v>-326037.69359735784</v>
      </c>
      <c r="L19" s="734">
        <v>11004</v>
      </c>
      <c r="M19" s="746"/>
      <c r="N19" s="746"/>
      <c r="O19" s="746"/>
      <c r="P19" s="746"/>
      <c r="Q19" s="746"/>
      <c r="R19" s="746"/>
      <c r="S19" s="746"/>
      <c r="T19" s="747">
        <f>SUBTOTAL(9,L19:S19)</f>
        <v>11004</v>
      </c>
    </row>
    <row r="20" spans="1:21" ht="17" thickBot="1">
      <c r="A20" s="628" t="s">
        <v>1519</v>
      </c>
      <c r="B20" s="745" t="s">
        <v>460</v>
      </c>
      <c r="C20" s="734">
        <f>IFERROR((VLOOKUP(A20,'TB CY'!A:G,6,)+VLOOKUP(A20,'TB CY'!A:G,7,0)),0)</f>
        <v>876273</v>
      </c>
      <c r="D20" s="746">
        <f>-ROU!F51</f>
        <v>-274741</v>
      </c>
      <c r="E20" s="731">
        <f>IFERROR(VLOOKUP(A20,'TB Other'!A:M,8,0),0)+IFERROR(VLOOKUP(A20,'TB Other'!A:M,9,0),0)</f>
        <v>0</v>
      </c>
      <c r="F20" s="746"/>
      <c r="G20" s="731">
        <f>IFERROR(VLOOKUP(A20,'TB Other'!A:M,4,0),0)+IFERROR(VLOOKUP(A20,'TB Other'!A:M,5,0),0)</f>
        <v>0</v>
      </c>
      <c r="H20" s="746"/>
      <c r="I20" s="746">
        <f>IFERROR(VLOOKUP(A20,'TB Other'!A:M,13,0),0)+IFERROR(VLOOKUP(A20,'TB Other'!A:M,12,0),0)</f>
        <v>0</v>
      </c>
      <c r="J20" s="746"/>
      <c r="K20" s="747">
        <f>SUM(C20:J20)</f>
        <v>601532</v>
      </c>
      <c r="L20" s="734">
        <f>IFERROR(VLOOKUP(A20,'TB PY'!A:G,7,),0)+IFERROR(VLOOKUP(A20,'TB PY'!A:G,6,),0)</f>
        <v>0</v>
      </c>
      <c r="M20" s="746"/>
      <c r="N20" s="746"/>
      <c r="O20" s="746"/>
      <c r="P20" s="746"/>
      <c r="Q20" s="746"/>
      <c r="R20" s="746"/>
      <c r="S20" s="746"/>
      <c r="T20" s="747">
        <f>SUM(L20:S20)</f>
        <v>0</v>
      </c>
    </row>
    <row r="21" spans="1:21" ht="17" thickTop="1" thickBot="1">
      <c r="A21" s="749"/>
      <c r="B21" s="750" t="s">
        <v>51</v>
      </c>
      <c r="C21" s="751">
        <f>SUM(C19:C20)</f>
        <v>876273</v>
      </c>
      <c r="D21" s="752">
        <f t="shared" ref="D21:T21" si="7">SUM(D19:D20)</f>
        <v>-600778.69359735784</v>
      </c>
      <c r="E21" s="752">
        <f t="shared" si="7"/>
        <v>0</v>
      </c>
      <c r="F21" s="752">
        <f t="shared" si="7"/>
        <v>0</v>
      </c>
      <c r="G21" s="752">
        <f t="shared" si="7"/>
        <v>0</v>
      </c>
      <c r="H21" s="752">
        <f t="shared" si="7"/>
        <v>0</v>
      </c>
      <c r="I21" s="752">
        <f t="shared" ref="I21:J21" si="8">SUM(I19:I20)</f>
        <v>0</v>
      </c>
      <c r="J21" s="752">
        <f t="shared" si="8"/>
        <v>0</v>
      </c>
      <c r="K21" s="753">
        <f t="shared" si="7"/>
        <v>275494.30640264216</v>
      </c>
      <c r="L21" s="751">
        <f t="shared" si="7"/>
        <v>11004</v>
      </c>
      <c r="M21" s="752">
        <f t="shared" si="7"/>
        <v>0</v>
      </c>
      <c r="N21" s="752">
        <f t="shared" si="7"/>
        <v>0</v>
      </c>
      <c r="O21" s="752">
        <f t="shared" si="7"/>
        <v>0</v>
      </c>
      <c r="P21" s="752">
        <f t="shared" si="7"/>
        <v>0</v>
      </c>
      <c r="Q21" s="752">
        <f t="shared" si="7"/>
        <v>0</v>
      </c>
      <c r="R21" s="752">
        <f t="shared" ref="R21:S21" si="9">SUM(R19:R20)</f>
        <v>0</v>
      </c>
      <c r="S21" s="752">
        <f t="shared" si="9"/>
        <v>0</v>
      </c>
      <c r="T21" s="754">
        <f t="shared" si="7"/>
        <v>11004</v>
      </c>
    </row>
    <row r="22" spans="1:21" ht="16" thickTop="1">
      <c r="B22" s="745"/>
      <c r="C22" s="734"/>
      <c r="D22" s="746"/>
      <c r="E22" s="746"/>
      <c r="F22" s="746"/>
      <c r="G22" s="746"/>
      <c r="H22" s="746"/>
      <c r="I22" s="746"/>
      <c r="J22" s="746"/>
      <c r="K22" s="747"/>
      <c r="L22" s="734"/>
      <c r="M22" s="746"/>
      <c r="N22" s="746"/>
      <c r="O22" s="746"/>
      <c r="P22" s="746"/>
      <c r="Q22" s="746"/>
      <c r="R22" s="746"/>
      <c r="S22" s="746"/>
      <c r="T22" s="747"/>
    </row>
    <row r="23" spans="1:21" ht="16">
      <c r="A23" s="628" t="s">
        <v>22</v>
      </c>
      <c r="B23" s="745"/>
      <c r="C23" s="734"/>
      <c r="D23" s="746"/>
      <c r="E23" s="746"/>
      <c r="F23" s="746"/>
      <c r="G23" s="746"/>
      <c r="H23" s="746"/>
      <c r="I23" s="746"/>
      <c r="J23" s="746"/>
      <c r="K23" s="747"/>
      <c r="L23" s="734"/>
      <c r="M23" s="746"/>
      <c r="N23" s="746"/>
      <c r="O23" s="746"/>
      <c r="P23" s="746"/>
      <c r="Q23" s="746"/>
      <c r="R23" s="746"/>
      <c r="S23" s="746"/>
      <c r="T23" s="747"/>
    </row>
    <row r="24" spans="1:21" ht="16">
      <c r="A24" s="628" t="s">
        <v>1224</v>
      </c>
      <c r="B24" s="745"/>
      <c r="C24" s="734"/>
      <c r="D24" s="746"/>
      <c r="E24" s="746"/>
      <c r="F24" s="746"/>
      <c r="G24" s="746"/>
      <c r="H24" s="746"/>
      <c r="I24" s="746"/>
      <c r="J24" s="746"/>
      <c r="K24" s="747"/>
      <c r="L24" s="734"/>
      <c r="M24" s="746"/>
      <c r="N24" s="746"/>
      <c r="O24" s="746"/>
      <c r="P24" s="746"/>
      <c r="Q24" s="746"/>
      <c r="R24" s="746"/>
      <c r="S24" s="746"/>
      <c r="T24" s="747"/>
    </row>
    <row r="25" spans="1:21" ht="32">
      <c r="A25" s="628" t="s">
        <v>108</v>
      </c>
      <c r="B25" s="745" t="s">
        <v>460</v>
      </c>
      <c r="C25" s="734">
        <f>IFERROR((VLOOKUP(A25,'TB CY'!A:G,6,)+VLOOKUP(A25,'TB CY'!A:G,7,0)),0)</f>
        <v>0</v>
      </c>
      <c r="D25" s="746"/>
      <c r="E25" s="731">
        <f>IFERROR(VLOOKUP(A25,'TB Other'!A:M,8,0),0)+IFERROR(VLOOKUP(A25,'TB Other'!A:M,9,0),0)</f>
        <v>0</v>
      </c>
      <c r="F25" s="746"/>
      <c r="G25" s="731">
        <f>IFERROR(VLOOKUP(A25,'TB Other'!A:M,4,0),0)+IFERROR(VLOOKUP(A25,'TB Other'!A:M,5,0),0)</f>
        <v>0</v>
      </c>
      <c r="H25" s="746"/>
      <c r="I25" s="746">
        <f>IFERROR(VLOOKUP(A25,'TB Other'!A:M,13,0),0)+IFERROR(VLOOKUP(A25,'TB Other'!A:M,12,0),0)</f>
        <v>0</v>
      </c>
      <c r="J25" s="746"/>
      <c r="K25" s="747">
        <f>SUM(C25:J25)</f>
        <v>0</v>
      </c>
      <c r="L25" s="734">
        <f>IFERROR(VLOOKUP(A25,'TB PY'!A:G,7,),0)+IFERROR(VLOOKUP(A25,'TB PY'!A:G,6,),0)</f>
        <v>0</v>
      </c>
      <c r="M25" s="746"/>
      <c r="N25" s="746"/>
      <c r="O25" s="746"/>
      <c r="P25" s="746"/>
      <c r="Q25" s="746"/>
      <c r="R25" s="746"/>
      <c r="S25" s="746"/>
      <c r="T25" s="747">
        <f>SUM(L25:S25)</f>
        <v>0</v>
      </c>
    </row>
    <row r="26" spans="1:21" ht="16" thickBot="1">
      <c r="B26" s="745"/>
      <c r="C26" s="734"/>
      <c r="D26" s="746"/>
      <c r="E26" s="746"/>
      <c r="F26" s="746"/>
      <c r="G26" s="746"/>
      <c r="H26" s="746"/>
      <c r="I26" s="746"/>
      <c r="J26" s="746"/>
      <c r="K26" s="747"/>
      <c r="L26" s="734"/>
      <c r="M26" s="746"/>
      <c r="N26" s="746"/>
      <c r="O26" s="746"/>
      <c r="P26" s="746"/>
      <c r="Q26" s="746"/>
      <c r="R26" s="746"/>
      <c r="S26" s="746"/>
      <c r="T26" s="747"/>
    </row>
    <row r="27" spans="1:21" ht="17" thickTop="1" thickBot="1">
      <c r="A27" s="749"/>
      <c r="B27" s="750" t="s">
        <v>51</v>
      </c>
      <c r="C27" s="751">
        <f>SUM(C25:C26)</f>
        <v>0</v>
      </c>
      <c r="D27" s="752">
        <f t="shared" ref="D27:T27" si="10">SUM(D25:D26)</f>
        <v>0</v>
      </c>
      <c r="E27" s="752">
        <f t="shared" si="10"/>
        <v>0</v>
      </c>
      <c r="F27" s="752">
        <f t="shared" si="10"/>
        <v>0</v>
      </c>
      <c r="G27" s="752">
        <f t="shared" si="10"/>
        <v>0</v>
      </c>
      <c r="H27" s="752">
        <f t="shared" si="10"/>
        <v>0</v>
      </c>
      <c r="I27" s="752">
        <f t="shared" ref="I27:J27" si="11">SUM(I25:I26)</f>
        <v>0</v>
      </c>
      <c r="J27" s="752">
        <f t="shared" si="11"/>
        <v>0</v>
      </c>
      <c r="K27" s="754">
        <f t="shared" si="10"/>
        <v>0</v>
      </c>
      <c r="L27" s="751">
        <f t="shared" si="10"/>
        <v>0</v>
      </c>
      <c r="M27" s="752">
        <f t="shared" si="10"/>
        <v>0</v>
      </c>
      <c r="N27" s="752">
        <f t="shared" si="10"/>
        <v>0</v>
      </c>
      <c r="O27" s="752">
        <f t="shared" si="10"/>
        <v>0</v>
      </c>
      <c r="P27" s="752">
        <f t="shared" si="10"/>
        <v>0</v>
      </c>
      <c r="Q27" s="752">
        <f t="shared" si="10"/>
        <v>0</v>
      </c>
      <c r="R27" s="752">
        <f t="shared" ref="R27:S27" si="12">SUM(R25:R26)</f>
        <v>0</v>
      </c>
      <c r="S27" s="752">
        <f t="shared" si="12"/>
        <v>0</v>
      </c>
      <c r="T27" s="754">
        <f t="shared" si="10"/>
        <v>0</v>
      </c>
    </row>
    <row r="28" spans="1:21" ht="16" thickTop="1">
      <c r="B28" s="745"/>
      <c r="C28" s="734"/>
      <c r="D28" s="746"/>
      <c r="E28" s="746"/>
      <c r="F28" s="746"/>
      <c r="G28" s="746"/>
      <c r="H28" s="746"/>
      <c r="I28" s="746"/>
      <c r="J28" s="746"/>
      <c r="K28" s="747"/>
      <c r="L28" s="734"/>
      <c r="M28" s="746"/>
      <c r="N28" s="746"/>
      <c r="O28" s="746"/>
      <c r="P28" s="746"/>
      <c r="Q28" s="746"/>
      <c r="R28" s="746"/>
      <c r="S28" s="746"/>
      <c r="T28" s="747"/>
    </row>
    <row r="29" spans="1:21" ht="16">
      <c r="A29" s="628" t="s">
        <v>1062</v>
      </c>
      <c r="B29" s="745"/>
      <c r="C29" s="734"/>
      <c r="D29" s="746"/>
      <c r="E29" s="746"/>
      <c r="F29" s="746"/>
      <c r="G29" s="746"/>
      <c r="H29" s="746"/>
      <c r="I29" s="746"/>
      <c r="J29" s="746"/>
      <c r="K29" s="747"/>
      <c r="L29" s="734"/>
      <c r="M29" s="746"/>
      <c r="N29" s="746"/>
      <c r="O29" s="746"/>
      <c r="P29" s="746"/>
      <c r="Q29" s="746"/>
      <c r="R29" s="746"/>
      <c r="S29" s="746"/>
      <c r="T29" s="747"/>
    </row>
    <row r="30" spans="1:21" ht="32">
      <c r="A30" s="628" t="s">
        <v>1027</v>
      </c>
      <c r="B30" s="745" t="s">
        <v>460</v>
      </c>
      <c r="C30" s="734">
        <f>IFERROR((VLOOKUP(A30,'TB CY'!A:G,6,)+VLOOKUP(A30,'TB CY'!A:G,7,0)),0)</f>
        <v>0</v>
      </c>
      <c r="D30" s="746"/>
      <c r="E30" s="731">
        <f>IFERROR(VLOOKUP(A30,'TB Other'!A:M,8,0),0)+IFERROR(VLOOKUP(A30,'TB Other'!A:M,9,0),0)</f>
        <v>0</v>
      </c>
      <c r="F30" s="746"/>
      <c r="G30" s="731">
        <f>IFERROR(VLOOKUP(A30,'TB Other'!A:M,4,0),0)+IFERROR(VLOOKUP(A30,'TB Other'!A:M,5,0),0)</f>
        <v>0</v>
      </c>
      <c r="H30" s="746"/>
      <c r="I30" s="746">
        <f>IFERROR(VLOOKUP(A30,'TB Other'!A:M,13,0),0)+IFERROR(VLOOKUP(A30,'TB Other'!A:M,12,0),0)</f>
        <v>0</v>
      </c>
      <c r="J30" s="746"/>
      <c r="K30" s="747">
        <f>SUM(C30:J30)</f>
        <v>0</v>
      </c>
      <c r="L30" s="734">
        <f>IFERROR(VLOOKUP(A30,'TB PY'!A:G,7,),0)+IFERROR(VLOOKUP(A30,'TB PY'!A:G,6,),0)</f>
        <v>0</v>
      </c>
      <c r="M30" s="746"/>
      <c r="N30" s="746"/>
      <c r="O30" s="746"/>
      <c r="P30" s="746"/>
      <c r="Q30" s="746"/>
      <c r="R30" s="746"/>
      <c r="S30" s="746"/>
      <c r="T30" s="747">
        <f>SUM(L30:S30)</f>
        <v>0</v>
      </c>
    </row>
    <row r="31" spans="1:21" ht="16" thickBot="1">
      <c r="B31" s="745"/>
      <c r="C31" s="734"/>
      <c r="D31" s="746"/>
      <c r="E31" s="746"/>
      <c r="F31" s="746"/>
      <c r="G31" s="746"/>
      <c r="H31" s="746"/>
      <c r="I31" s="746"/>
      <c r="J31" s="746"/>
      <c r="K31" s="747"/>
      <c r="L31" s="734"/>
      <c r="M31" s="746"/>
      <c r="N31" s="746"/>
      <c r="O31" s="746"/>
      <c r="P31" s="746"/>
      <c r="Q31" s="746"/>
      <c r="R31" s="746"/>
      <c r="S31" s="746"/>
      <c r="T31" s="747"/>
    </row>
    <row r="32" spans="1:21" ht="17" thickTop="1" thickBot="1">
      <c r="A32" s="749"/>
      <c r="B32" s="750" t="s">
        <v>51</v>
      </c>
      <c r="C32" s="751">
        <f>SUM(C30:C31)</f>
        <v>0</v>
      </c>
      <c r="D32" s="752">
        <f t="shared" ref="D32:T32" si="13">SUM(D30:D31)</f>
        <v>0</v>
      </c>
      <c r="E32" s="752">
        <f t="shared" si="13"/>
        <v>0</v>
      </c>
      <c r="F32" s="752">
        <f t="shared" si="13"/>
        <v>0</v>
      </c>
      <c r="G32" s="752">
        <f t="shared" si="13"/>
        <v>0</v>
      </c>
      <c r="H32" s="752">
        <f t="shared" si="13"/>
        <v>0</v>
      </c>
      <c r="I32" s="752">
        <f t="shared" ref="I32:J32" si="14">SUM(I30:I31)</f>
        <v>0</v>
      </c>
      <c r="J32" s="752">
        <f t="shared" si="14"/>
        <v>0</v>
      </c>
      <c r="K32" s="754">
        <f t="shared" si="13"/>
        <v>0</v>
      </c>
      <c r="L32" s="751">
        <f t="shared" si="13"/>
        <v>0</v>
      </c>
      <c r="M32" s="752">
        <f t="shared" si="13"/>
        <v>0</v>
      </c>
      <c r="N32" s="752">
        <f t="shared" si="13"/>
        <v>0</v>
      </c>
      <c r="O32" s="752">
        <f t="shared" si="13"/>
        <v>0</v>
      </c>
      <c r="P32" s="752">
        <f t="shared" si="13"/>
        <v>0</v>
      </c>
      <c r="Q32" s="752">
        <f t="shared" si="13"/>
        <v>0</v>
      </c>
      <c r="R32" s="752">
        <f t="shared" ref="R32:S32" si="15">SUM(R30:R31)</f>
        <v>0</v>
      </c>
      <c r="S32" s="752">
        <f t="shared" si="15"/>
        <v>0</v>
      </c>
      <c r="T32" s="754">
        <f t="shared" si="13"/>
        <v>0</v>
      </c>
    </row>
    <row r="33" spans="1:20" ht="16" thickTop="1">
      <c r="B33" s="745"/>
      <c r="C33" s="734"/>
      <c r="D33" s="746"/>
      <c r="E33" s="746"/>
      <c r="F33" s="746"/>
      <c r="G33" s="746"/>
      <c r="H33" s="746"/>
      <c r="I33" s="746"/>
      <c r="J33" s="746"/>
      <c r="K33" s="747"/>
      <c r="L33" s="734"/>
      <c r="M33" s="746"/>
      <c r="N33" s="746"/>
      <c r="O33" s="746"/>
      <c r="P33" s="746"/>
      <c r="Q33" s="746"/>
      <c r="R33" s="746"/>
      <c r="S33" s="746"/>
      <c r="T33" s="747"/>
    </row>
    <row r="34" spans="1:20" ht="16">
      <c r="A34" s="755" t="s">
        <v>366</v>
      </c>
      <c r="B34" s="745"/>
      <c r="C34" s="734"/>
      <c r="D34" s="746"/>
      <c r="E34" s="746"/>
      <c r="F34" s="746"/>
      <c r="G34" s="746"/>
      <c r="H34" s="746"/>
      <c r="I34" s="746"/>
      <c r="J34" s="746"/>
      <c r="K34" s="747"/>
      <c r="L34" s="734"/>
      <c r="M34" s="746"/>
      <c r="N34" s="746"/>
      <c r="O34" s="746"/>
      <c r="P34" s="746"/>
      <c r="Q34" s="746"/>
      <c r="R34" s="746"/>
      <c r="S34" s="746"/>
      <c r="T34" s="747"/>
    </row>
    <row r="35" spans="1:20" ht="16">
      <c r="A35" s="628" t="s">
        <v>234</v>
      </c>
      <c r="B35" s="745"/>
      <c r="C35" s="734"/>
      <c r="D35" s="746"/>
      <c r="E35" s="746"/>
      <c r="F35" s="746"/>
      <c r="G35" s="746"/>
      <c r="H35" s="746"/>
      <c r="I35" s="746"/>
      <c r="J35" s="746"/>
      <c r="K35" s="747"/>
      <c r="L35" s="734"/>
      <c r="M35" s="746"/>
      <c r="N35" s="746"/>
      <c r="O35" s="746"/>
      <c r="P35" s="746"/>
      <c r="Q35" s="746"/>
      <c r="R35" s="746"/>
      <c r="S35" s="746"/>
      <c r="T35" s="747"/>
    </row>
    <row r="36" spans="1:20" ht="16">
      <c r="A36" s="628" t="s">
        <v>127</v>
      </c>
      <c r="B36" s="745" t="s">
        <v>460</v>
      </c>
      <c r="C36" s="734">
        <f>IFERROR((VLOOKUP(A36,'TB CY'!A:G,6,)+VLOOKUP(A36,'TB CY'!A:G,7,0)),0)</f>
        <v>477450</v>
      </c>
      <c r="D36" s="746">
        <f>'AE 22_23'!D5</f>
        <v>252859</v>
      </c>
      <c r="E36" s="731">
        <f>IFERROR(VLOOKUP(A36,'TB Other'!A:M,8,0),0)+IFERROR(VLOOKUP(A36,'TB Other'!A:M,9,0),0)</f>
        <v>0</v>
      </c>
      <c r="F36" s="746"/>
      <c r="G36" s="731">
        <f>IFERROR(VLOOKUP(A36,'TB Other'!A:M,4,0),0)+IFERROR(VLOOKUP(A36,'TB Other'!A:M,5,0),0)</f>
        <v>0</v>
      </c>
      <c r="H36" s="746"/>
      <c r="I36" s="746">
        <f>IFERROR(VLOOKUP(A36,'TB Other'!A:M,13,0),0)+IFERROR(VLOOKUP(A36,'TB Other'!A:M,12,0),0)</f>
        <v>0</v>
      </c>
      <c r="J36" s="746"/>
      <c r="K36" s="747">
        <f>SUM(C36:J36)</f>
        <v>730309</v>
      </c>
      <c r="L36" s="734">
        <v>477450</v>
      </c>
      <c r="M36" s="746">
        <v>-9203</v>
      </c>
      <c r="N36" s="746"/>
      <c r="O36" s="746"/>
      <c r="P36" s="746"/>
      <c r="Q36" s="746"/>
      <c r="R36" s="746"/>
      <c r="S36" s="746"/>
      <c r="T36" s="747">
        <f>SUM(L36:S36)</f>
        <v>468247</v>
      </c>
    </row>
    <row r="37" spans="1:20" ht="17" thickBot="1">
      <c r="A37" s="628" t="s">
        <v>1631</v>
      </c>
      <c r="B37" s="745"/>
      <c r="C37" s="734"/>
      <c r="D37" s="746">
        <f>-'AE 22_23'!C8</f>
        <v>-20802</v>
      </c>
      <c r="E37" s="746"/>
      <c r="F37" s="746"/>
      <c r="G37" s="746"/>
      <c r="H37" s="746"/>
      <c r="I37" s="746"/>
      <c r="J37" s="746"/>
      <c r="K37" s="747">
        <f>SUM(C37:J37)</f>
        <v>-20802</v>
      </c>
      <c r="L37" s="734"/>
      <c r="M37" s="746"/>
      <c r="N37" s="746"/>
      <c r="O37" s="746"/>
      <c r="P37" s="746"/>
      <c r="Q37" s="746"/>
      <c r="R37" s="746"/>
      <c r="S37" s="746"/>
      <c r="T37" s="747"/>
    </row>
    <row r="38" spans="1:20" ht="17" thickTop="1" thickBot="1">
      <c r="A38" s="749"/>
      <c r="B38" s="750" t="s">
        <v>51</v>
      </c>
      <c r="C38" s="751">
        <f>SUM(C36:C37)</f>
        <v>477450</v>
      </c>
      <c r="D38" s="752">
        <f t="shared" ref="D38:T38" si="16">SUM(D36:D37)</f>
        <v>232057</v>
      </c>
      <c r="E38" s="752">
        <f t="shared" si="16"/>
        <v>0</v>
      </c>
      <c r="F38" s="752">
        <f t="shared" si="16"/>
        <v>0</v>
      </c>
      <c r="G38" s="752">
        <f t="shared" si="16"/>
        <v>0</v>
      </c>
      <c r="H38" s="752">
        <f t="shared" si="16"/>
        <v>0</v>
      </c>
      <c r="I38" s="752">
        <f t="shared" ref="I38:J38" si="17">SUM(I36:I37)</f>
        <v>0</v>
      </c>
      <c r="J38" s="752">
        <f t="shared" si="17"/>
        <v>0</v>
      </c>
      <c r="K38" s="753">
        <f t="shared" si="16"/>
        <v>709507</v>
      </c>
      <c r="L38" s="751">
        <f t="shared" si="16"/>
        <v>477450</v>
      </c>
      <c r="M38" s="752">
        <f t="shared" si="16"/>
        <v>-9203</v>
      </c>
      <c r="N38" s="752">
        <f t="shared" si="16"/>
        <v>0</v>
      </c>
      <c r="O38" s="752">
        <f t="shared" si="16"/>
        <v>0</v>
      </c>
      <c r="P38" s="752">
        <f t="shared" si="16"/>
        <v>0</v>
      </c>
      <c r="Q38" s="752">
        <f t="shared" si="16"/>
        <v>0</v>
      </c>
      <c r="R38" s="752">
        <f t="shared" ref="R38:S38" si="18">SUM(R36:R37)</f>
        <v>0</v>
      </c>
      <c r="S38" s="752">
        <f t="shared" si="18"/>
        <v>0</v>
      </c>
      <c r="T38" s="754">
        <f t="shared" si="16"/>
        <v>468247</v>
      </c>
    </row>
    <row r="39" spans="1:20" ht="17" thickTop="1">
      <c r="A39" s="628" t="s">
        <v>235</v>
      </c>
      <c r="B39" s="745"/>
      <c r="C39" s="734"/>
      <c r="D39" s="746"/>
      <c r="E39" s="746"/>
      <c r="F39" s="746"/>
      <c r="G39" s="746"/>
      <c r="H39" s="746"/>
      <c r="I39" s="746"/>
      <c r="J39" s="746"/>
      <c r="K39" s="747"/>
      <c r="L39" s="734"/>
      <c r="M39" s="746"/>
      <c r="N39" s="746"/>
      <c r="O39" s="746"/>
      <c r="P39" s="746"/>
      <c r="Q39" s="746"/>
      <c r="R39" s="746"/>
      <c r="S39" s="746"/>
      <c r="T39" s="747"/>
    </row>
    <row r="40" spans="1:20" ht="16">
      <c r="A40" s="628" t="s">
        <v>129</v>
      </c>
      <c r="B40" s="745" t="s">
        <v>460</v>
      </c>
      <c r="C40" s="734">
        <f>IFERROR((VLOOKUP(A40,'TB CY'!A:G,6,)+VLOOKUP(A40,'TB CY'!A:G,7,0)),0)</f>
        <v>1312847</v>
      </c>
      <c r="D40" s="746">
        <f>'AE 22_23'!C13</f>
        <v>349231</v>
      </c>
      <c r="E40" s="731">
        <f>IFERROR(VLOOKUP(A40,'TB Other'!A:M,8,0),0)+IFERROR(VLOOKUP(A40,'TB Other'!A:M,9,0),0)</f>
        <v>0</v>
      </c>
      <c r="F40" s="746"/>
      <c r="G40" s="731">
        <f>IFERROR(VLOOKUP(A40,'TB Other'!A:M,4,0),0)+IFERROR(VLOOKUP(A40,'TB Other'!A:M,5,0),0)</f>
        <v>0</v>
      </c>
      <c r="H40" s="746"/>
      <c r="I40" s="746">
        <f>IFERROR(VLOOKUP(A40,'TB Other'!A:M,13,0),0)+IFERROR(VLOOKUP(A40,'TB Other'!A:M,12,0),0)</f>
        <v>0</v>
      </c>
      <c r="J40" s="746"/>
      <c r="K40" s="747">
        <f>SUM(C40:J40)</f>
        <v>1662078</v>
      </c>
      <c r="L40" s="734">
        <f>IFERROR(VLOOKUP(A40,'TB PY'!A:G,7,),0)+IFERROR(VLOOKUP(A40,'TB PY'!A:G,6,),0)</f>
        <v>1444736</v>
      </c>
      <c r="M40" s="746">
        <v>-124009</v>
      </c>
      <c r="N40" s="746"/>
      <c r="O40" s="746">
        <v>-131889</v>
      </c>
      <c r="P40" s="746"/>
      <c r="Q40" s="746"/>
      <c r="R40" s="746"/>
      <c r="S40" s="746"/>
      <c r="T40" s="747">
        <f>SUM(L40:S40)</f>
        <v>1188838</v>
      </c>
    </row>
    <row r="41" spans="1:20" ht="17" thickBot="1">
      <c r="A41" s="628" t="s">
        <v>1634</v>
      </c>
      <c r="B41" s="745"/>
      <c r="C41" s="734"/>
      <c r="D41" s="746">
        <f>-'AE 22_23'!C18</f>
        <v>-158061</v>
      </c>
      <c r="E41" s="746"/>
      <c r="F41" s="746"/>
      <c r="G41" s="746"/>
      <c r="H41" s="746"/>
      <c r="I41" s="746"/>
      <c r="J41" s="746"/>
      <c r="K41" s="747">
        <f>SUM(C41:J41)</f>
        <v>-158061</v>
      </c>
      <c r="L41" s="734"/>
      <c r="M41" s="746"/>
      <c r="N41" s="746"/>
      <c r="O41" s="746"/>
      <c r="P41" s="746"/>
      <c r="Q41" s="746"/>
      <c r="R41" s="746"/>
      <c r="S41" s="746"/>
      <c r="T41" s="747"/>
    </row>
    <row r="42" spans="1:20" ht="17" thickTop="1" thickBot="1">
      <c r="A42" s="764"/>
      <c r="B42" s="750" t="s">
        <v>51</v>
      </c>
      <c r="C42" s="751">
        <f>SUM(C40:C41)</f>
        <v>1312847</v>
      </c>
      <c r="D42" s="752">
        <f t="shared" ref="D42:T42" si="19">SUM(D40:D41)</f>
        <v>191170</v>
      </c>
      <c r="E42" s="752">
        <f t="shared" si="19"/>
        <v>0</v>
      </c>
      <c r="F42" s="752">
        <f t="shared" si="19"/>
        <v>0</v>
      </c>
      <c r="G42" s="752">
        <f t="shared" si="19"/>
        <v>0</v>
      </c>
      <c r="H42" s="752">
        <f t="shared" si="19"/>
        <v>0</v>
      </c>
      <c r="I42" s="752">
        <f t="shared" ref="I42:J42" si="20">SUM(I40:I41)</f>
        <v>0</v>
      </c>
      <c r="J42" s="752">
        <f t="shared" si="20"/>
        <v>0</v>
      </c>
      <c r="K42" s="753">
        <f t="shared" si="19"/>
        <v>1504017</v>
      </c>
      <c r="L42" s="751">
        <f t="shared" si="19"/>
        <v>1444736</v>
      </c>
      <c r="M42" s="752">
        <f t="shared" si="19"/>
        <v>-124009</v>
      </c>
      <c r="N42" s="752">
        <f t="shared" si="19"/>
        <v>0</v>
      </c>
      <c r="O42" s="752">
        <f t="shared" si="19"/>
        <v>-131889</v>
      </c>
      <c r="P42" s="752">
        <f t="shared" si="19"/>
        <v>0</v>
      </c>
      <c r="Q42" s="752">
        <f t="shared" si="19"/>
        <v>0</v>
      </c>
      <c r="R42" s="752">
        <f t="shared" ref="R42:S42" si="21">SUM(R40:R41)</f>
        <v>0</v>
      </c>
      <c r="S42" s="752">
        <f t="shared" si="21"/>
        <v>0</v>
      </c>
      <c r="T42" s="754">
        <f t="shared" si="19"/>
        <v>1188838</v>
      </c>
    </row>
    <row r="43" spans="1:20" ht="16" thickTop="1">
      <c r="B43" s="745"/>
      <c r="C43" s="734"/>
      <c r="D43" s="746"/>
      <c r="E43" s="746"/>
      <c r="F43" s="746"/>
      <c r="G43" s="746"/>
      <c r="H43" s="746"/>
      <c r="I43" s="746"/>
      <c r="J43" s="746"/>
      <c r="K43" s="747"/>
      <c r="L43" s="734"/>
      <c r="M43" s="746"/>
      <c r="N43" s="746"/>
      <c r="O43" s="746"/>
      <c r="P43" s="746"/>
      <c r="Q43" s="746"/>
      <c r="R43" s="746"/>
      <c r="S43" s="746"/>
      <c r="T43" s="747"/>
    </row>
    <row r="44" spans="1:20" ht="16">
      <c r="A44" s="755" t="s">
        <v>21</v>
      </c>
      <c r="B44" s="745"/>
      <c r="C44" s="734"/>
      <c r="D44" s="746"/>
      <c r="E44" s="746"/>
      <c r="F44" s="746"/>
      <c r="G44" s="746"/>
      <c r="H44" s="746"/>
      <c r="I44" s="746"/>
      <c r="J44" s="746"/>
      <c r="K44" s="747"/>
      <c r="L44" s="734"/>
      <c r="M44" s="746"/>
      <c r="N44" s="746"/>
      <c r="O44" s="746"/>
      <c r="P44" s="746"/>
      <c r="Q44" s="746"/>
      <c r="R44" s="746"/>
      <c r="S44" s="746"/>
      <c r="T44" s="747"/>
    </row>
    <row r="45" spans="1:20" ht="16">
      <c r="A45" s="755" t="s">
        <v>24</v>
      </c>
      <c r="B45" s="745"/>
      <c r="C45" s="734"/>
      <c r="D45" s="746"/>
      <c r="E45" s="746"/>
      <c r="F45" s="746"/>
      <c r="G45" s="746"/>
      <c r="H45" s="746"/>
      <c r="I45" s="746"/>
      <c r="J45" s="746"/>
      <c r="K45" s="747"/>
      <c r="L45" s="734"/>
      <c r="M45" s="746"/>
      <c r="N45" s="746"/>
      <c r="O45" s="746"/>
      <c r="P45" s="746"/>
      <c r="Q45" s="746"/>
      <c r="R45" s="746"/>
      <c r="S45" s="746"/>
      <c r="T45" s="747"/>
    </row>
    <row r="46" spans="1:20" ht="16">
      <c r="A46" s="628" t="s">
        <v>1061</v>
      </c>
      <c r="B46" s="745"/>
      <c r="C46" s="734"/>
      <c r="D46" s="746"/>
      <c r="E46" s="746"/>
      <c r="F46" s="746"/>
      <c r="G46" s="746"/>
      <c r="H46" s="746"/>
      <c r="I46" s="746"/>
      <c r="J46" s="746"/>
      <c r="K46" s="747"/>
      <c r="L46" s="734"/>
      <c r="M46" s="746"/>
      <c r="N46" s="746"/>
      <c r="O46" s="746"/>
      <c r="P46" s="746"/>
      <c r="Q46" s="746"/>
      <c r="R46" s="746"/>
      <c r="S46" s="746"/>
      <c r="T46" s="747"/>
    </row>
    <row r="47" spans="1:20" ht="16">
      <c r="A47" s="628" t="s">
        <v>1516</v>
      </c>
      <c r="B47" s="745" t="s">
        <v>460</v>
      </c>
      <c r="C47" s="734">
        <f>IFERROR((VLOOKUP(A47,'TB CY'!A:G,6,)+VLOOKUP(A47,'TB CY'!A:G,7,0)),0)</f>
        <v>8952052.5</v>
      </c>
      <c r="D47" s="746"/>
      <c r="E47" s="731">
        <f>IFERROR(VLOOKUP(A47,'TB Other'!A:M,8,0),0)+IFERROR(VLOOKUP(A47,'TB Other'!A:M,9,0),0)</f>
        <v>0</v>
      </c>
      <c r="F47" s="746"/>
      <c r="G47" s="731">
        <f>IFERROR(VLOOKUP(A47,'TB Other'!A:M,4,0),0)+IFERROR(VLOOKUP(A47,'TB Other'!A:M,5,0),0)</f>
        <v>0</v>
      </c>
      <c r="H47" s="746"/>
      <c r="I47" s="746">
        <f>IFERROR(VLOOKUP(A47,'TB Other'!A:M,13,0),0)+IFERROR(VLOOKUP(A47,'TB Other'!A:M,12,0),0)</f>
        <v>0</v>
      </c>
      <c r="J47" s="746"/>
      <c r="K47" s="747">
        <f>SUM(C47:J47)</f>
        <v>8952052.5</v>
      </c>
      <c r="L47" s="734">
        <f>IFERROR(VLOOKUP(A47,'TB PY'!A:G,7,),0)+IFERROR(VLOOKUP(A47,'TB PY'!A:G,6,),0)</f>
        <v>0</v>
      </c>
      <c r="M47" s="746"/>
      <c r="N47" s="746"/>
      <c r="O47" s="746"/>
      <c r="P47" s="746"/>
      <c r="Q47" s="746"/>
      <c r="R47" s="746"/>
      <c r="S47" s="746"/>
      <c r="T47" s="747">
        <f>SUM(L47:S47)</f>
        <v>0</v>
      </c>
    </row>
    <row r="48" spans="1:20">
      <c r="A48" s="269" t="s">
        <v>1256</v>
      </c>
      <c r="B48" s="745" t="s">
        <v>460</v>
      </c>
      <c r="C48" s="734">
        <f>IFERROR((VLOOKUP(A48,'TB CY'!A:G,6,)+VLOOKUP(A48,'TB CY'!A:G,7,0)),0)*-1</f>
        <v>652062.75</v>
      </c>
      <c r="D48" s="746"/>
      <c r="E48" s="731">
        <f>IFERROR(VLOOKUP(A48,'TB Other'!A:M,8,0),0)+IFERROR(VLOOKUP(A48,'TB Other'!A:M,9,0),0)</f>
        <v>0</v>
      </c>
      <c r="F48" s="746"/>
      <c r="G48" s="731">
        <f>IFERROR(VLOOKUP(A48,'TB Other'!A:M,4,0),0)+IFERROR(VLOOKUP(A48,'TB Other'!A:M,5,0),0)</f>
        <v>0</v>
      </c>
      <c r="H48" s="746"/>
      <c r="I48" s="746">
        <f>IFERROR(VLOOKUP(A48,'TB Other'!A:M,13,0),0)+IFERROR(VLOOKUP(A48,'TB Other'!A:M,12,0),0)</f>
        <v>0</v>
      </c>
      <c r="J48" s="746"/>
      <c r="K48" s="747">
        <f>SUM(C48:J48)</f>
        <v>652062.75</v>
      </c>
      <c r="L48" s="734">
        <f>IFERROR(VLOOKUP(A48,'TB PY'!A:G,7,),0)+IFERROR(VLOOKUP(A48,'TB PY'!A:G,6,),0)*0</f>
        <v>0</v>
      </c>
      <c r="M48" s="746"/>
      <c r="N48" s="746"/>
      <c r="O48" s="746"/>
      <c r="P48" s="746"/>
      <c r="Q48" s="746"/>
      <c r="R48" s="746"/>
      <c r="S48" s="746"/>
      <c r="T48" s="747">
        <f>SUM(L48:S48)</f>
        <v>0</v>
      </c>
    </row>
    <row r="49" spans="1:20" ht="16" thickBot="1">
      <c r="B49" s="745"/>
      <c r="C49" s="734"/>
      <c r="D49" s="746"/>
      <c r="E49" s="746"/>
      <c r="F49" s="746"/>
      <c r="G49" s="746"/>
      <c r="H49" s="746"/>
      <c r="I49" s="746"/>
      <c r="J49" s="746"/>
      <c r="K49" s="747"/>
      <c r="L49" s="734"/>
      <c r="M49" s="746"/>
      <c r="N49" s="746"/>
      <c r="O49" s="746"/>
      <c r="P49" s="746"/>
      <c r="Q49" s="746"/>
      <c r="R49" s="746"/>
      <c r="S49" s="746"/>
      <c r="T49" s="747"/>
    </row>
    <row r="50" spans="1:20" ht="17" thickTop="1" thickBot="1">
      <c r="A50" s="749"/>
      <c r="B50" s="750" t="s">
        <v>51</v>
      </c>
      <c r="C50" s="751">
        <f>SUM(C47:C49)</f>
        <v>9604115.25</v>
      </c>
      <c r="D50" s="752">
        <f t="shared" ref="D50:T50" si="22">SUM(D47:D49)</f>
        <v>0</v>
      </c>
      <c r="E50" s="752">
        <f t="shared" si="22"/>
        <v>0</v>
      </c>
      <c r="F50" s="752">
        <f t="shared" si="22"/>
        <v>0</v>
      </c>
      <c r="G50" s="752">
        <f t="shared" si="22"/>
        <v>0</v>
      </c>
      <c r="H50" s="752">
        <f t="shared" si="22"/>
        <v>0</v>
      </c>
      <c r="I50" s="752">
        <f t="shared" ref="I50:J50" si="23">SUM(I47:I49)</f>
        <v>0</v>
      </c>
      <c r="J50" s="752">
        <f t="shared" si="23"/>
        <v>0</v>
      </c>
      <c r="K50" s="753">
        <f t="shared" si="22"/>
        <v>9604115.25</v>
      </c>
      <c r="L50" s="751">
        <f t="shared" si="22"/>
        <v>0</v>
      </c>
      <c r="M50" s="752">
        <f t="shared" si="22"/>
        <v>0</v>
      </c>
      <c r="N50" s="752">
        <f t="shared" si="22"/>
        <v>0</v>
      </c>
      <c r="O50" s="752">
        <f t="shared" si="22"/>
        <v>0</v>
      </c>
      <c r="P50" s="752">
        <f t="shared" si="22"/>
        <v>0</v>
      </c>
      <c r="Q50" s="752">
        <f t="shared" si="22"/>
        <v>0</v>
      </c>
      <c r="R50" s="752">
        <f t="shared" ref="R50:S50" si="24">SUM(R47:R49)</f>
        <v>0</v>
      </c>
      <c r="S50" s="752">
        <f t="shared" si="24"/>
        <v>0</v>
      </c>
      <c r="T50" s="754">
        <f t="shared" si="22"/>
        <v>0</v>
      </c>
    </row>
    <row r="51" spans="1:20" ht="17" thickTop="1">
      <c r="A51" s="755" t="s">
        <v>24</v>
      </c>
      <c r="B51" s="745"/>
      <c r="C51" s="734"/>
      <c r="D51" s="746"/>
      <c r="E51" s="746"/>
      <c r="F51" s="746"/>
      <c r="G51" s="746"/>
      <c r="H51" s="746"/>
      <c r="I51" s="746"/>
      <c r="J51" s="746"/>
      <c r="K51" s="747"/>
      <c r="L51" s="734"/>
      <c r="M51" s="746"/>
      <c r="N51" s="746"/>
      <c r="O51" s="746"/>
      <c r="P51" s="746"/>
      <c r="Q51" s="746"/>
      <c r="R51" s="746"/>
      <c r="S51" s="746"/>
      <c r="T51" s="747"/>
    </row>
    <row r="52" spans="1:20" ht="16">
      <c r="A52" s="628" t="s">
        <v>1336</v>
      </c>
      <c r="B52" s="745"/>
      <c r="C52" s="734"/>
      <c r="D52" s="746"/>
      <c r="E52" s="746"/>
      <c r="F52" s="746"/>
      <c r="G52" s="746"/>
      <c r="H52" s="746"/>
      <c r="I52" s="746"/>
      <c r="J52" s="746"/>
      <c r="K52" s="747"/>
      <c r="L52" s="734"/>
      <c r="M52" s="746"/>
      <c r="N52" s="746"/>
      <c r="O52" s="746"/>
      <c r="P52" s="746"/>
      <c r="Q52" s="746"/>
      <c r="R52" s="746"/>
      <c r="S52" s="746"/>
      <c r="T52" s="747"/>
    </row>
    <row r="53" spans="1:20" ht="16">
      <c r="A53" s="628" t="s">
        <v>1517</v>
      </c>
      <c r="B53" s="745" t="s">
        <v>460</v>
      </c>
      <c r="C53" s="734">
        <f>IFERROR((VLOOKUP(A53,'TB CY'!A:G,6,)+VLOOKUP(A53,'TB CY'!A:G,7,0)),0)</f>
        <v>5757554.6900000004</v>
      </c>
      <c r="D53" s="746"/>
      <c r="E53" s="731">
        <f>IFERROR(VLOOKUP(A53,'TB Other'!A:M,8,0),0)+IFERROR(VLOOKUP(A53,'TB Other'!A:M,9,0),0)</f>
        <v>0</v>
      </c>
      <c r="F53" s="746"/>
      <c r="G53" s="731">
        <f>IFERROR(VLOOKUP(A53,'TB Other'!A:M,4,0),0)+IFERROR(VLOOKUP(A53,'TB Other'!A:M,5,0),0)</f>
        <v>0</v>
      </c>
      <c r="H53" s="746"/>
      <c r="I53" s="746">
        <f>IFERROR(VLOOKUP(A53,'TB Other'!A:M,13,0),0)+IFERROR(VLOOKUP(A53,'TB Other'!A:M,12,0),0)</f>
        <v>0</v>
      </c>
      <c r="J53" s="746">
        <v>-50060</v>
      </c>
      <c r="K53" s="747">
        <f>SUM(C53:J53)</f>
        <v>5707494.6900000004</v>
      </c>
      <c r="L53" s="734">
        <f>IFERROR(VLOOKUP(A53,'TB PY'!A:G,7,),0)+IFERROR(VLOOKUP(A53,'TB PY'!A:G,6,),0)</f>
        <v>0</v>
      </c>
      <c r="M53" s="746">
        <v>2843006.23</v>
      </c>
      <c r="N53" s="746"/>
      <c r="O53" s="746"/>
      <c r="P53" s="746"/>
      <c r="Q53" s="746"/>
      <c r="R53" s="746"/>
      <c r="S53" s="746"/>
      <c r="T53" s="747">
        <f>SUM(L53:S53)</f>
        <v>2843006.23</v>
      </c>
    </row>
    <row r="54" spans="1:20" ht="16" thickBot="1">
      <c r="B54" s="745"/>
      <c r="C54" s="734"/>
      <c r="D54" s="746"/>
      <c r="E54" s="746"/>
      <c r="F54" s="746"/>
      <c r="G54" s="746"/>
      <c r="H54" s="746"/>
      <c r="I54" s="746"/>
      <c r="J54" s="746"/>
      <c r="K54" s="747"/>
      <c r="L54" s="734"/>
      <c r="M54" s="746"/>
      <c r="N54" s="746"/>
      <c r="O54" s="746"/>
      <c r="P54" s="746"/>
      <c r="Q54" s="746"/>
      <c r="R54" s="746"/>
      <c r="S54" s="746"/>
      <c r="T54" s="747"/>
    </row>
    <row r="55" spans="1:20" ht="17" thickTop="1" thickBot="1">
      <c r="A55" s="749"/>
      <c r="B55" s="750" t="s">
        <v>51</v>
      </c>
      <c r="C55" s="751">
        <f>SUM(C53:C54)</f>
        <v>5757554.6900000004</v>
      </c>
      <c r="D55" s="752">
        <f t="shared" ref="D55:T55" si="25">SUM(D53:D54)</f>
        <v>0</v>
      </c>
      <c r="E55" s="752">
        <f t="shared" si="25"/>
        <v>0</v>
      </c>
      <c r="F55" s="752">
        <f t="shared" si="25"/>
        <v>0</v>
      </c>
      <c r="G55" s="752">
        <f t="shared" si="25"/>
        <v>0</v>
      </c>
      <c r="H55" s="752">
        <f t="shared" si="25"/>
        <v>0</v>
      </c>
      <c r="I55" s="752">
        <f t="shared" ref="I55:J55" si="26">SUM(I53:I54)</f>
        <v>0</v>
      </c>
      <c r="J55" s="752">
        <f t="shared" si="26"/>
        <v>-50060</v>
      </c>
      <c r="K55" s="753">
        <f t="shared" si="25"/>
        <v>5707494.6900000004</v>
      </c>
      <c r="L55" s="751">
        <f t="shared" si="25"/>
        <v>0</v>
      </c>
      <c r="M55" s="752">
        <f t="shared" si="25"/>
        <v>2843006.23</v>
      </c>
      <c r="N55" s="752">
        <f t="shared" si="25"/>
        <v>0</v>
      </c>
      <c r="O55" s="752">
        <f t="shared" si="25"/>
        <v>0</v>
      </c>
      <c r="P55" s="752">
        <f t="shared" si="25"/>
        <v>0</v>
      </c>
      <c r="Q55" s="752">
        <f t="shared" si="25"/>
        <v>0</v>
      </c>
      <c r="R55" s="752">
        <f t="shared" ref="R55:S55" si="27">SUM(R53:R54)</f>
        <v>0</v>
      </c>
      <c r="S55" s="752">
        <f t="shared" si="27"/>
        <v>0</v>
      </c>
      <c r="T55" s="754">
        <f t="shared" si="25"/>
        <v>2843006.23</v>
      </c>
    </row>
    <row r="56" spans="1:20" ht="17" thickTop="1">
      <c r="A56" s="628" t="s">
        <v>109</v>
      </c>
      <c r="B56" s="756"/>
      <c r="C56" s="734"/>
      <c r="D56" s="746"/>
      <c r="E56" s="746"/>
      <c r="F56" s="746"/>
      <c r="G56" s="746"/>
      <c r="H56" s="746"/>
      <c r="I56" s="746"/>
      <c r="J56" s="746"/>
      <c r="K56" s="747"/>
      <c r="L56" s="734"/>
      <c r="M56" s="746"/>
      <c r="N56" s="746"/>
      <c r="O56" s="746"/>
      <c r="P56" s="746"/>
      <c r="Q56" s="746"/>
      <c r="R56" s="746"/>
      <c r="S56" s="746"/>
      <c r="T56" s="747"/>
    </row>
    <row r="57" spans="1:20" ht="17" thickBot="1">
      <c r="A57" s="628" t="s">
        <v>1225</v>
      </c>
      <c r="B57" s="745" t="s">
        <v>1613</v>
      </c>
      <c r="C57" s="734"/>
      <c r="D57" s="746">
        <f>-D19</f>
        <v>326037.69359735784</v>
      </c>
      <c r="E57" s="746"/>
      <c r="F57" s="746"/>
      <c r="G57" s="746"/>
      <c r="H57" s="746"/>
      <c r="I57" s="746"/>
      <c r="J57" s="746"/>
      <c r="K57" s="747">
        <f>SUBTOTAL(9,C57:J57)</f>
        <v>326037.69359735784</v>
      </c>
      <c r="L57" s="734">
        <v>11410</v>
      </c>
      <c r="M57" s="746"/>
      <c r="N57" s="746"/>
      <c r="O57" s="746"/>
      <c r="P57" s="746"/>
      <c r="Q57" s="746"/>
      <c r="R57" s="746"/>
      <c r="S57" s="746"/>
      <c r="T57" s="747">
        <f>SUBTOTAL(9,L57:S57)</f>
        <v>11410</v>
      </c>
    </row>
    <row r="58" spans="1:20" ht="17" thickTop="1" thickBot="1">
      <c r="A58" s="749"/>
      <c r="B58" s="750" t="s">
        <v>51</v>
      </c>
      <c r="C58" s="751">
        <f t="shared" ref="C58" si="28">SUM(C56:C57)</f>
        <v>0</v>
      </c>
      <c r="D58" s="752">
        <f>SUM(D56:D57)</f>
        <v>326037.69359735784</v>
      </c>
      <c r="E58" s="752">
        <f t="shared" ref="E58:T58" si="29">SUM(E56:E57)</f>
        <v>0</v>
      </c>
      <c r="F58" s="752">
        <f t="shared" si="29"/>
        <v>0</v>
      </c>
      <c r="G58" s="752">
        <f t="shared" si="29"/>
        <v>0</v>
      </c>
      <c r="H58" s="752">
        <f t="shared" si="29"/>
        <v>0</v>
      </c>
      <c r="I58" s="752">
        <f t="shared" si="29"/>
        <v>0</v>
      </c>
      <c r="J58" s="752">
        <f t="shared" si="29"/>
        <v>0</v>
      </c>
      <c r="K58" s="753">
        <f t="shared" si="29"/>
        <v>326037.69359735784</v>
      </c>
      <c r="L58" s="751">
        <f t="shared" si="29"/>
        <v>11410</v>
      </c>
      <c r="M58" s="752">
        <f t="shared" si="29"/>
        <v>0</v>
      </c>
      <c r="N58" s="752">
        <f t="shared" si="29"/>
        <v>0</v>
      </c>
      <c r="O58" s="752">
        <f t="shared" si="29"/>
        <v>0</v>
      </c>
      <c r="P58" s="752">
        <f t="shared" si="29"/>
        <v>0</v>
      </c>
      <c r="Q58" s="752">
        <f t="shared" si="29"/>
        <v>0</v>
      </c>
      <c r="R58" s="752">
        <f t="shared" si="29"/>
        <v>0</v>
      </c>
      <c r="S58" s="752">
        <f t="shared" si="29"/>
        <v>0</v>
      </c>
      <c r="T58" s="754">
        <f t="shared" si="29"/>
        <v>11410</v>
      </c>
    </row>
    <row r="59" spans="1:20" ht="16" thickTop="1">
      <c r="B59" s="745"/>
      <c r="C59" s="734"/>
      <c r="D59" s="746"/>
      <c r="E59" s="746"/>
      <c r="F59" s="746"/>
      <c r="G59" s="746"/>
      <c r="H59" s="746"/>
      <c r="I59" s="746"/>
      <c r="J59" s="746"/>
      <c r="K59" s="747"/>
      <c r="L59" s="734"/>
      <c r="M59" s="746"/>
      <c r="N59" s="746"/>
      <c r="O59" s="746"/>
      <c r="P59" s="746"/>
      <c r="Q59" s="746"/>
      <c r="R59" s="746"/>
      <c r="S59" s="746"/>
      <c r="T59" s="747"/>
    </row>
    <row r="60" spans="1:20" ht="16">
      <c r="A60" s="628" t="s">
        <v>25</v>
      </c>
      <c r="B60" s="745"/>
      <c r="C60" s="734"/>
      <c r="D60" s="746"/>
      <c r="E60" s="746"/>
      <c r="F60" s="746"/>
      <c r="G60" s="746"/>
      <c r="H60" s="746"/>
      <c r="I60" s="746"/>
      <c r="J60" s="746"/>
      <c r="K60" s="747"/>
      <c r="L60" s="734"/>
      <c r="M60" s="746"/>
      <c r="N60" s="746"/>
      <c r="O60" s="746"/>
      <c r="P60" s="746"/>
      <c r="Q60" s="746"/>
      <c r="R60" s="746"/>
      <c r="S60" s="746"/>
      <c r="T60" s="747"/>
    </row>
    <row r="61" spans="1:20" ht="32">
      <c r="A61" s="628" t="s">
        <v>237</v>
      </c>
      <c r="B61" s="745" t="s">
        <v>461</v>
      </c>
      <c r="C61" s="734">
        <v>19954301</v>
      </c>
      <c r="D61" s="746"/>
      <c r="E61" s="746"/>
      <c r="F61" s="746"/>
      <c r="G61" s="746"/>
      <c r="H61" s="746"/>
      <c r="I61" s="746"/>
      <c r="J61" s="746"/>
      <c r="K61" s="747">
        <f>SUBTOTAL(9,C61:J61)</f>
        <v>19954301</v>
      </c>
      <c r="L61" s="734">
        <v>5514595.9000000004</v>
      </c>
      <c r="M61" s="746"/>
      <c r="N61" s="746"/>
      <c r="O61" s="746"/>
      <c r="P61" s="746"/>
      <c r="Q61" s="746"/>
      <c r="R61" s="746"/>
      <c r="S61" s="746"/>
      <c r="T61" s="747">
        <f>SUBTOTAL(9,L61:S61)</f>
        <v>5514595.9000000004</v>
      </c>
    </row>
    <row r="62" spans="1:20" ht="15" customHeight="1" thickBot="1">
      <c r="B62" s="745"/>
      <c r="C62" s="734"/>
      <c r="D62" s="746"/>
      <c r="E62" s="746"/>
      <c r="F62" s="746"/>
      <c r="G62" s="746"/>
      <c r="H62" s="746"/>
      <c r="I62" s="746"/>
      <c r="J62" s="746"/>
      <c r="K62" s="747"/>
      <c r="L62" s="734"/>
      <c r="M62" s="746"/>
      <c r="N62" s="746"/>
      <c r="O62" s="746"/>
      <c r="P62" s="746"/>
      <c r="Q62" s="746"/>
      <c r="R62" s="746"/>
      <c r="S62" s="746"/>
      <c r="T62" s="747"/>
    </row>
    <row r="63" spans="1:20" ht="17" thickTop="1" thickBot="1">
      <c r="A63" s="749"/>
      <c r="B63" s="750" t="s">
        <v>51</v>
      </c>
      <c r="C63" s="751">
        <f>SUM(C61:C62)</f>
        <v>19954301</v>
      </c>
      <c r="D63" s="752">
        <f>SUM(D61:D62)</f>
        <v>0</v>
      </c>
      <c r="E63" s="752">
        <f t="shared" ref="E63:T63" si="30">SUM(E61:E62)</f>
        <v>0</v>
      </c>
      <c r="F63" s="752">
        <f t="shared" si="30"/>
        <v>0</v>
      </c>
      <c r="G63" s="752">
        <f t="shared" si="30"/>
        <v>0</v>
      </c>
      <c r="H63" s="752">
        <f t="shared" si="30"/>
        <v>0</v>
      </c>
      <c r="I63" s="752">
        <f t="shared" ref="I63:J63" si="31">SUM(I61:I62)</f>
        <v>0</v>
      </c>
      <c r="J63" s="752">
        <f t="shared" si="31"/>
        <v>0</v>
      </c>
      <c r="K63" s="754">
        <f t="shared" si="30"/>
        <v>19954301</v>
      </c>
      <c r="L63" s="751">
        <f t="shared" si="30"/>
        <v>5514595.9000000004</v>
      </c>
      <c r="M63" s="752">
        <f t="shared" si="30"/>
        <v>0</v>
      </c>
      <c r="N63" s="752">
        <f t="shared" si="30"/>
        <v>0</v>
      </c>
      <c r="O63" s="752">
        <f t="shared" si="30"/>
        <v>0</v>
      </c>
      <c r="P63" s="752">
        <f t="shared" si="30"/>
        <v>0</v>
      </c>
      <c r="Q63" s="752">
        <f t="shared" si="30"/>
        <v>0</v>
      </c>
      <c r="R63" s="752">
        <f t="shared" ref="R63:S63" si="32">SUM(R61:R62)</f>
        <v>0</v>
      </c>
      <c r="S63" s="752">
        <f t="shared" si="32"/>
        <v>0</v>
      </c>
      <c r="T63" s="754">
        <f t="shared" si="30"/>
        <v>5514595.9000000004</v>
      </c>
    </row>
    <row r="64" spans="1:20" ht="17" thickTop="1">
      <c r="A64" s="628" t="s">
        <v>115</v>
      </c>
      <c r="B64" s="745" t="s">
        <v>460</v>
      </c>
      <c r="C64" s="734">
        <f>IFERROR((VLOOKUP(A64,'TB CY'!A:G,6,)+VLOOKUP(A64,'TB CY'!A:G,7,0)),0)</f>
        <v>48901774.82</v>
      </c>
      <c r="D64" s="746"/>
      <c r="E64" s="731">
        <f>IFERROR(VLOOKUP(A64,'TB Other'!A:M,8,0),0)+IFERROR(VLOOKUP(A64,'TB Other'!A:M,9,0),0)</f>
        <v>0</v>
      </c>
      <c r="F64" s="746"/>
      <c r="G64" s="731">
        <f>IFERROR(VLOOKUP(A64,'TB Other'!A:M,4,0),0)+IFERROR(VLOOKUP(A64,'TB Other'!A:M,5,0),0)</f>
        <v>-1397013.51</v>
      </c>
      <c r="H64" s="746"/>
      <c r="I64" s="746">
        <f>IFERROR(VLOOKUP(A64,'TB Other'!A:M,13,0),0)+IFERROR(VLOOKUP(A64,'TB Other'!A:M,12,0),0)</f>
        <v>761945.72</v>
      </c>
      <c r="J64" s="746">
        <f>332515.86+223.35+114333</f>
        <v>447072.20999999996</v>
      </c>
      <c r="K64" s="747">
        <f>SUM(C64:J64)</f>
        <v>48713779.240000002</v>
      </c>
      <c r="L64" s="734"/>
      <c r="M64" s="746"/>
      <c r="N64" s="746"/>
      <c r="O64" s="746"/>
      <c r="P64" s="746"/>
      <c r="Q64" s="746"/>
      <c r="R64" s="746"/>
      <c r="S64" s="746"/>
      <c r="T64" s="747">
        <f>SUM(L64:S64)</f>
        <v>0</v>
      </c>
    </row>
    <row r="65" spans="1:22" ht="32">
      <c r="A65" s="628" t="s">
        <v>69</v>
      </c>
      <c r="B65" s="745" t="s">
        <v>461</v>
      </c>
      <c r="C65" s="734">
        <f>'TB CY'!G26-C61</f>
        <v>-19954301.420000002</v>
      </c>
      <c r="D65" s="746"/>
      <c r="E65" s="746"/>
      <c r="F65" s="746"/>
      <c r="G65" s="746"/>
      <c r="H65" s="746"/>
      <c r="I65" s="746"/>
      <c r="J65" s="746">
        <f>'PL Grouping'!J168</f>
        <v>-347699.26999999996</v>
      </c>
      <c r="K65" s="747">
        <f>SUBTOTAL(9,C65:J65)</f>
        <v>-20302000.690000001</v>
      </c>
      <c r="L65" s="734">
        <f>'TB PY'!G26-L61</f>
        <v>29831995.110000007</v>
      </c>
      <c r="M65" s="746"/>
      <c r="N65" s="746">
        <v>41778</v>
      </c>
      <c r="O65" s="746">
        <v>-4995</v>
      </c>
      <c r="P65" s="746">
        <v>-746918</v>
      </c>
      <c r="Q65" s="746"/>
      <c r="R65" s="746"/>
      <c r="S65" s="746"/>
      <c r="T65" s="747">
        <f>SUBTOTAL(9,L65:S65)</f>
        <v>29121860.110000007</v>
      </c>
    </row>
    <row r="66" spans="1:22" ht="16" thickBot="1">
      <c r="B66" s="745"/>
      <c r="C66" s="734"/>
      <c r="D66" s="746"/>
      <c r="E66" s="746"/>
      <c r="F66" s="746"/>
      <c r="G66" s="746"/>
      <c r="H66" s="746"/>
      <c r="I66" s="746"/>
      <c r="J66" s="746"/>
      <c r="K66" s="747"/>
      <c r="L66" s="734"/>
      <c r="M66" s="746"/>
      <c r="N66" s="746"/>
      <c r="O66" s="746"/>
      <c r="P66" s="746"/>
      <c r="Q66" s="746"/>
      <c r="R66" s="746"/>
      <c r="S66" s="746"/>
      <c r="T66" s="747"/>
    </row>
    <row r="67" spans="1:22" ht="17" thickTop="1" thickBot="1">
      <c r="A67" s="749"/>
      <c r="B67" s="750" t="s">
        <v>51</v>
      </c>
      <c r="C67" s="751">
        <f>SUM(C64:C66)</f>
        <v>28947473.399999999</v>
      </c>
      <c r="D67" s="752">
        <f t="shared" ref="D67:T67" si="33">SUM(D64:D66)</f>
        <v>0</v>
      </c>
      <c r="E67" s="752">
        <f t="shared" si="33"/>
        <v>0</v>
      </c>
      <c r="F67" s="752">
        <f t="shared" si="33"/>
        <v>0</v>
      </c>
      <c r="G67" s="752">
        <f t="shared" si="33"/>
        <v>-1397013.51</v>
      </c>
      <c r="H67" s="752">
        <f t="shared" si="33"/>
        <v>0</v>
      </c>
      <c r="I67" s="752">
        <f t="shared" ref="I67:J67" si="34">SUM(I64:I66)</f>
        <v>761945.72</v>
      </c>
      <c r="J67" s="752">
        <f t="shared" si="34"/>
        <v>99372.94</v>
      </c>
      <c r="K67" s="753">
        <f t="shared" si="33"/>
        <v>28411778.550000001</v>
      </c>
      <c r="L67" s="751">
        <f t="shared" si="33"/>
        <v>29831995.110000007</v>
      </c>
      <c r="M67" s="752">
        <f t="shared" si="33"/>
        <v>0</v>
      </c>
      <c r="N67" s="752">
        <f t="shared" si="33"/>
        <v>41778</v>
      </c>
      <c r="O67" s="752">
        <f t="shared" si="33"/>
        <v>-4995</v>
      </c>
      <c r="P67" s="752">
        <f t="shared" si="33"/>
        <v>-746918</v>
      </c>
      <c r="Q67" s="752">
        <f t="shared" si="33"/>
        <v>0</v>
      </c>
      <c r="R67" s="752">
        <f t="shared" ref="R67:S67" si="35">SUM(R64:R66)</f>
        <v>0</v>
      </c>
      <c r="S67" s="752">
        <f t="shared" si="35"/>
        <v>0</v>
      </c>
      <c r="T67" s="754">
        <f t="shared" si="33"/>
        <v>29121860.110000007</v>
      </c>
      <c r="U67" s="216"/>
    </row>
    <row r="68" spans="1:22" ht="17" thickTop="1">
      <c r="A68" s="755" t="s">
        <v>123</v>
      </c>
      <c r="B68" s="745"/>
      <c r="C68" s="734"/>
      <c r="D68" s="746"/>
      <c r="E68" s="746"/>
      <c r="F68" s="746"/>
      <c r="G68" s="746"/>
      <c r="H68" s="746"/>
      <c r="I68" s="746"/>
      <c r="J68" s="746"/>
      <c r="K68" s="747"/>
      <c r="L68" s="734"/>
      <c r="M68" s="746"/>
      <c r="N68" s="746"/>
      <c r="O68" s="746"/>
      <c r="P68" s="746"/>
      <c r="Q68" s="746"/>
      <c r="R68" s="746"/>
      <c r="S68" s="746"/>
      <c r="T68" s="747"/>
      <c r="V68" s="216"/>
    </row>
    <row r="69" spans="1:22" ht="16">
      <c r="A69" s="755" t="s">
        <v>112</v>
      </c>
      <c r="B69" s="745"/>
      <c r="C69" s="734"/>
      <c r="D69" s="746"/>
      <c r="E69" s="746"/>
      <c r="F69" s="746"/>
      <c r="G69" s="746"/>
      <c r="H69" s="746"/>
      <c r="I69" s="746"/>
      <c r="J69" s="746"/>
      <c r="K69" s="747"/>
      <c r="L69" s="734"/>
      <c r="M69" s="746"/>
      <c r="N69" s="746"/>
      <c r="O69" s="746"/>
      <c r="P69" s="746"/>
      <c r="Q69" s="746"/>
      <c r="R69" s="746"/>
      <c r="S69" s="746"/>
      <c r="T69" s="747"/>
    </row>
    <row r="70" spans="1:22" ht="16">
      <c r="A70" s="628" t="s">
        <v>547</v>
      </c>
      <c r="B70" s="745" t="s">
        <v>460</v>
      </c>
      <c r="C70" s="734">
        <f>IFERROR((VLOOKUP(A70,'TB CY'!A:G,6,)+VLOOKUP(A70,'TB CY'!A:G,7,0)),0)</f>
        <v>0</v>
      </c>
      <c r="D70" s="746"/>
      <c r="E70" s="731">
        <f>IFERROR(VLOOKUP(A70,'TB Other'!A:M,8,0),0)+IFERROR(VLOOKUP(A70,'TB Other'!A:M,9,0),0)</f>
        <v>0</v>
      </c>
      <c r="F70" s="746"/>
      <c r="G70" s="731">
        <f>IFERROR(VLOOKUP(A70,'TB Other'!A:M,4,0),0)+IFERROR(VLOOKUP(A70,'TB Other'!A:M,5,0),0)</f>
        <v>0</v>
      </c>
      <c r="H70" s="746"/>
      <c r="I70" s="746">
        <f>IFERROR(VLOOKUP(A70,'TB Other'!A:M,13,0),0)+IFERROR(VLOOKUP(A70,'TB Other'!A:M,12,0),0)</f>
        <v>0</v>
      </c>
      <c r="J70" s="746"/>
      <c r="K70" s="747">
        <f t="shared" ref="K70:K77" si="36">SUM(C70:J70)</f>
        <v>0</v>
      </c>
      <c r="L70" s="734">
        <f>VLOOKUP(A70,'TB PY'!A:G,7,)+VLOOKUP(A70,'TB PY'!A:G,6,)</f>
        <v>609176.63</v>
      </c>
      <c r="M70" s="746"/>
      <c r="N70" s="746">
        <v>2105</v>
      </c>
      <c r="O70" s="746"/>
      <c r="P70" s="746">
        <v>473</v>
      </c>
      <c r="Q70" s="746"/>
      <c r="R70" s="746"/>
      <c r="S70" s="746"/>
      <c r="T70" s="747">
        <f t="shared" ref="T70:T77" si="37">SUM(L70:S70)</f>
        <v>611754.63</v>
      </c>
    </row>
    <row r="71" spans="1:22" ht="16">
      <c r="A71" s="628" t="s">
        <v>113</v>
      </c>
      <c r="B71" s="745" t="s">
        <v>460</v>
      </c>
      <c r="C71" s="734">
        <f>IFERROR((VLOOKUP(A71,'TB CY'!A:G,6,)+VLOOKUP(A71,'TB CY'!A:G,7,0)),0)</f>
        <v>0</v>
      </c>
      <c r="D71" s="746"/>
      <c r="E71" s="731">
        <f>IFERROR(VLOOKUP(A71,'TB Other'!A:M,8,0),0)+IFERROR(VLOOKUP(A71,'TB Other'!A:M,9,0),0)</f>
        <v>0</v>
      </c>
      <c r="F71" s="746"/>
      <c r="G71" s="731">
        <f>IFERROR(VLOOKUP(A71,'TB Other'!A:M,4,0),0)+IFERROR(VLOOKUP(A71,'TB Other'!A:M,5,0),0)</f>
        <v>0</v>
      </c>
      <c r="H71" s="746"/>
      <c r="I71" s="746">
        <f>IFERROR(VLOOKUP(A71,'TB Other'!A:M,13,0),0)+IFERROR(VLOOKUP(A71,'TB Other'!A:M,12,0),0)</f>
        <v>0</v>
      </c>
      <c r="J71" s="746"/>
      <c r="K71" s="747">
        <f t="shared" si="36"/>
        <v>0</v>
      </c>
      <c r="L71" s="734">
        <f>VLOOKUP(A71,'TB PY'!A:G,7,)+VLOOKUP(A71,'TB PY'!A:G,6,)</f>
        <v>5600</v>
      </c>
      <c r="M71" s="746"/>
      <c r="N71" s="746"/>
      <c r="O71" s="746"/>
      <c r="P71" s="746"/>
      <c r="Q71" s="746"/>
      <c r="R71" s="746"/>
      <c r="S71" s="746"/>
      <c r="T71" s="747">
        <f t="shared" si="37"/>
        <v>5600</v>
      </c>
    </row>
    <row r="72" spans="1:22" ht="16">
      <c r="A72" s="628" t="s">
        <v>114</v>
      </c>
      <c r="B72" s="745" t="s">
        <v>460</v>
      </c>
      <c r="C72" s="734">
        <f>IFERROR((VLOOKUP(A72,'TB CY'!A:G,6,)+VLOOKUP(A72,'TB CY'!A:G,7,0)),0)</f>
        <v>0</v>
      </c>
      <c r="D72" s="746"/>
      <c r="E72" s="731">
        <f>IFERROR(VLOOKUP(A72,'TB Other'!A:M,8,0),0)+IFERROR(VLOOKUP(A72,'TB Other'!A:M,9,0),0)</f>
        <v>0</v>
      </c>
      <c r="F72" s="746"/>
      <c r="G72" s="731">
        <f>IFERROR(VLOOKUP(A72,'TB Other'!A:M,4,0),0)+IFERROR(VLOOKUP(A72,'TB Other'!A:M,5,0),0)</f>
        <v>0</v>
      </c>
      <c r="H72" s="746"/>
      <c r="I72" s="746">
        <f>IFERROR(VLOOKUP(A72,'TB Other'!A:M,13,0),0)+IFERROR(VLOOKUP(A72,'TB Other'!A:M,12,0),0)</f>
        <v>0</v>
      </c>
      <c r="J72" s="746"/>
      <c r="K72" s="747">
        <f t="shared" si="36"/>
        <v>0</v>
      </c>
      <c r="L72" s="734">
        <f>VLOOKUP(A72,'TB PY'!A:G,7,)+VLOOKUP(A72,'TB PY'!A:G,6,)</f>
        <v>553500</v>
      </c>
      <c r="M72" s="746"/>
      <c r="N72" s="746"/>
      <c r="O72" s="746"/>
      <c r="P72" s="746"/>
      <c r="Q72" s="746"/>
      <c r="R72" s="746"/>
      <c r="S72" s="746"/>
      <c r="T72" s="747">
        <f t="shared" si="37"/>
        <v>553500</v>
      </c>
    </row>
    <row r="73" spans="1:22" ht="16">
      <c r="A73" s="628" t="s">
        <v>122</v>
      </c>
      <c r="B73" s="745" t="s">
        <v>460</v>
      </c>
      <c r="C73" s="734">
        <f>IFERROR((VLOOKUP(A73,'TB CY'!A:G,6,)+VLOOKUP(A73,'TB CY'!A:G,7,0)),0)</f>
        <v>2302</v>
      </c>
      <c r="D73" s="746"/>
      <c r="E73" s="731">
        <f>IFERROR(VLOOKUP(A73,'TB Other'!A:M,8,0),0)+IFERROR(VLOOKUP(A73,'TB Other'!A:M,9,0),0)</f>
        <v>0</v>
      </c>
      <c r="F73" s="746"/>
      <c r="G73" s="731">
        <f>IFERROR(VLOOKUP(A73,'TB Other'!A:M,4,0),0)+IFERROR(VLOOKUP(A73,'TB Other'!A:M,5,0),0)</f>
        <v>0</v>
      </c>
      <c r="H73" s="746"/>
      <c r="I73" s="746">
        <f>IFERROR(VLOOKUP(A73,'TB Other'!A:M,13,0),0)+IFERROR(VLOOKUP(A73,'TB Other'!A:M,12,0),0)</f>
        <v>0</v>
      </c>
      <c r="J73" s="746"/>
      <c r="K73" s="747">
        <f t="shared" si="36"/>
        <v>2302</v>
      </c>
      <c r="L73" s="734">
        <f>VLOOKUP(A73,'TB PY'!A:G,7,)+VLOOKUP(A73,'TB PY'!A:G,6,)</f>
        <v>1946</v>
      </c>
      <c r="M73" s="746"/>
      <c r="N73" s="746"/>
      <c r="O73" s="746"/>
      <c r="P73" s="746"/>
      <c r="Q73" s="746"/>
      <c r="R73" s="746"/>
      <c r="S73" s="746"/>
      <c r="T73" s="747">
        <f t="shared" si="37"/>
        <v>1946</v>
      </c>
    </row>
    <row r="74" spans="1:22" ht="16">
      <c r="A74" s="628" t="s">
        <v>548</v>
      </c>
      <c r="B74" s="745" t="s">
        <v>460</v>
      </c>
      <c r="C74" s="734">
        <f>IFERROR((VLOOKUP(A74,'TB CY'!A:G,6,)+VLOOKUP(A74,'TB CY'!A:G,7,0)),0)</f>
        <v>2838</v>
      </c>
      <c r="D74" s="746"/>
      <c r="E74" s="731">
        <f>IFERROR(VLOOKUP(A74,'TB Other'!A:M,8,0),0)+IFERROR(VLOOKUP(A74,'TB Other'!A:M,9,0),0)</f>
        <v>0</v>
      </c>
      <c r="F74" s="746"/>
      <c r="G74" s="731">
        <f>IFERROR(VLOOKUP(A74,'TB Other'!A:M,4,0),0)+IFERROR(VLOOKUP(A74,'TB Other'!A:M,5,0),0)</f>
        <v>0</v>
      </c>
      <c r="H74" s="746"/>
      <c r="I74" s="746">
        <f>IFERROR(VLOOKUP(A74,'TB Other'!A:M,13,0),0)+IFERROR(VLOOKUP(A74,'TB Other'!A:M,12,0),0)</f>
        <v>0</v>
      </c>
      <c r="J74" s="746"/>
      <c r="K74" s="747">
        <f t="shared" si="36"/>
        <v>2838</v>
      </c>
      <c r="L74" s="734">
        <f>VLOOKUP(A74,'TB PY'!A:G,7,)+VLOOKUP(A74,'TB PY'!A:G,6,)</f>
        <v>2209</v>
      </c>
      <c r="M74" s="746"/>
      <c r="N74" s="746"/>
      <c r="O74" s="746"/>
      <c r="P74" s="746"/>
      <c r="Q74" s="746"/>
      <c r="R74" s="746"/>
      <c r="S74" s="746"/>
      <c r="T74" s="747">
        <f t="shared" si="37"/>
        <v>2209</v>
      </c>
    </row>
    <row r="75" spans="1:22" ht="16">
      <c r="A75" s="628" t="s">
        <v>125</v>
      </c>
      <c r="B75" s="745" t="s">
        <v>460</v>
      </c>
      <c r="C75" s="734">
        <f>IFERROR((VLOOKUP(A75,'TB CY'!A:G,6,)+VLOOKUP(A75,'TB CY'!A:G,7,0)),0)</f>
        <v>67457</v>
      </c>
      <c r="D75" s="746"/>
      <c r="E75" s="731">
        <f>IFERROR(VLOOKUP(A75,'TB Other'!A:M,8,0),0)+IFERROR(VLOOKUP(A75,'TB Other'!A:M,9,0),0)</f>
        <v>0</v>
      </c>
      <c r="F75" s="746"/>
      <c r="G75" s="731">
        <f>IFERROR(VLOOKUP(A75,'TB Other'!A:M,4,0),0)+IFERROR(VLOOKUP(A75,'TB Other'!A:M,5,0),0)</f>
        <v>0</v>
      </c>
      <c r="H75" s="746"/>
      <c r="I75" s="746">
        <f>IFERROR(VLOOKUP(A75,'TB Other'!A:M,13,0),0)+IFERROR(VLOOKUP(A75,'TB Other'!A:M,12,0),0)</f>
        <v>0</v>
      </c>
      <c r="J75" s="746"/>
      <c r="K75" s="747">
        <f t="shared" si="36"/>
        <v>67457</v>
      </c>
      <c r="L75" s="734">
        <f>VLOOKUP(A75,'TB PY'!A:G,7,)+VLOOKUP(A75,'TB PY'!A:G,6,)</f>
        <v>52383</v>
      </c>
      <c r="M75" s="746"/>
      <c r="N75" s="746"/>
      <c r="O75" s="746"/>
      <c r="P75" s="746"/>
      <c r="Q75" s="746"/>
      <c r="R75" s="746"/>
      <c r="S75" s="746"/>
      <c r="T75" s="747">
        <f t="shared" si="37"/>
        <v>52383</v>
      </c>
    </row>
    <row r="76" spans="1:22" ht="16">
      <c r="A76" s="628" t="s">
        <v>1337</v>
      </c>
      <c r="B76" s="745" t="s">
        <v>460</v>
      </c>
      <c r="C76" s="734">
        <f>IFERROR((VLOOKUP(A76,'TB CY'!A:G,6,)+VLOOKUP(A76,'TB CY'!A:G,7,0)),0)</f>
        <v>687</v>
      </c>
      <c r="D76" s="746"/>
      <c r="E76" s="731">
        <f>IFERROR(VLOOKUP(A76,'TB Other'!A:M,8,0),0)+IFERROR(VLOOKUP(A76,'TB Other'!A:M,9,0),0)</f>
        <v>0</v>
      </c>
      <c r="F76" s="746"/>
      <c r="G76" s="731">
        <f>IFERROR(VLOOKUP(A76,'TB Other'!A:M,4,0),0)+IFERROR(VLOOKUP(A76,'TB Other'!A:M,5,0),0)</f>
        <v>0</v>
      </c>
      <c r="H76" s="746"/>
      <c r="I76" s="746">
        <f>IFERROR(VLOOKUP(A76,'TB Other'!A:M,13,0),0)+IFERROR(VLOOKUP(A76,'TB Other'!A:M,12,0),0)</f>
        <v>0</v>
      </c>
      <c r="J76" s="746"/>
      <c r="K76" s="747">
        <f t="shared" si="36"/>
        <v>687</v>
      </c>
      <c r="L76" s="734">
        <f>VLOOKUP(A76,'TB PY'!A:G,7,)+VLOOKUP(A76,'TB PY'!A:G,6,)</f>
        <v>378</v>
      </c>
      <c r="M76" s="746"/>
      <c r="N76" s="746"/>
      <c r="O76" s="746"/>
      <c r="P76" s="746"/>
      <c r="Q76" s="746"/>
      <c r="R76" s="746"/>
      <c r="S76" s="746"/>
      <c r="T76" s="747">
        <f t="shared" si="37"/>
        <v>378</v>
      </c>
    </row>
    <row r="77" spans="1:22" ht="17" thickBot="1">
      <c r="A77" s="628" t="s">
        <v>126</v>
      </c>
      <c r="B77" s="745" t="s">
        <v>460</v>
      </c>
      <c r="C77" s="734">
        <f>IFERROR((VLOOKUP(A77,'TB CY'!A:G,6,)+VLOOKUP(A77,'TB CY'!A:G,7,0)),0)</f>
        <v>67457</v>
      </c>
      <c r="D77" s="746"/>
      <c r="E77" s="731">
        <f>IFERROR(VLOOKUP(A77,'TB Other'!A:M,8,0),0)+IFERROR(VLOOKUP(A77,'TB Other'!A:M,9,0),0)</f>
        <v>0</v>
      </c>
      <c r="F77" s="746"/>
      <c r="G77" s="731">
        <f>IFERROR(VLOOKUP(A77,'TB Other'!A:M,4,0),0)+IFERROR(VLOOKUP(A77,'TB Other'!A:M,5,0),0)</f>
        <v>0</v>
      </c>
      <c r="H77" s="746"/>
      <c r="I77" s="746">
        <f>IFERROR(VLOOKUP(A77,'TB Other'!A:M,13,0),0)+IFERROR(VLOOKUP(A77,'TB Other'!A:M,12,0),0)</f>
        <v>0</v>
      </c>
      <c r="J77" s="746"/>
      <c r="K77" s="747">
        <f t="shared" si="36"/>
        <v>67457</v>
      </c>
      <c r="L77" s="734">
        <f>VLOOKUP(A77,'TB PY'!A:G,7,)+VLOOKUP(A77,'TB PY'!A:G,6,)</f>
        <v>52383</v>
      </c>
      <c r="M77" s="746"/>
      <c r="N77" s="746"/>
      <c r="O77" s="746"/>
      <c r="P77" s="746"/>
      <c r="Q77" s="746"/>
      <c r="R77" s="746"/>
      <c r="S77" s="746"/>
      <c r="T77" s="747">
        <f t="shared" si="37"/>
        <v>52383</v>
      </c>
    </row>
    <row r="78" spans="1:22" ht="17" thickTop="1" thickBot="1">
      <c r="A78" s="749"/>
      <c r="B78" s="750" t="s">
        <v>51</v>
      </c>
      <c r="C78" s="751">
        <f t="shared" ref="C78:Q78" si="38">SUM(C70:C77)</f>
        <v>140741</v>
      </c>
      <c r="D78" s="752">
        <f t="shared" si="38"/>
        <v>0</v>
      </c>
      <c r="E78" s="752">
        <f t="shared" si="38"/>
        <v>0</v>
      </c>
      <c r="F78" s="752">
        <f t="shared" si="38"/>
        <v>0</v>
      </c>
      <c r="G78" s="752">
        <f t="shared" si="38"/>
        <v>0</v>
      </c>
      <c r="H78" s="752">
        <f t="shared" si="38"/>
        <v>0</v>
      </c>
      <c r="I78" s="752">
        <f t="shared" ref="I78:J78" si="39">SUM(I70:I77)</f>
        <v>0</v>
      </c>
      <c r="J78" s="752">
        <f t="shared" si="39"/>
        <v>0</v>
      </c>
      <c r="K78" s="753">
        <f t="shared" si="38"/>
        <v>140741</v>
      </c>
      <c r="L78" s="751">
        <f t="shared" si="38"/>
        <v>1277575.6299999999</v>
      </c>
      <c r="M78" s="752">
        <f t="shared" si="38"/>
        <v>0</v>
      </c>
      <c r="N78" s="752">
        <f t="shared" si="38"/>
        <v>2105</v>
      </c>
      <c r="O78" s="752">
        <f t="shared" si="38"/>
        <v>0</v>
      </c>
      <c r="P78" s="752">
        <f t="shared" si="38"/>
        <v>473</v>
      </c>
      <c r="Q78" s="752">
        <f t="shared" si="38"/>
        <v>0</v>
      </c>
      <c r="R78" s="752">
        <f t="shared" ref="R78:S78" si="40">SUM(R70:R77)</f>
        <v>0</v>
      </c>
      <c r="S78" s="752">
        <f t="shared" si="40"/>
        <v>0</v>
      </c>
      <c r="T78" s="754">
        <f>SUM(T70:T77)</f>
        <v>1280153.6299999999</v>
      </c>
    </row>
    <row r="79" spans="1:22" ht="16" thickTop="1">
      <c r="B79" s="745"/>
      <c r="C79" s="734"/>
      <c r="D79" s="746"/>
      <c r="E79" s="746"/>
      <c r="F79" s="746"/>
      <c r="G79" s="746"/>
      <c r="H79" s="746"/>
      <c r="I79" s="746"/>
      <c r="J79" s="746"/>
      <c r="K79" s="747"/>
      <c r="L79" s="734"/>
      <c r="M79" s="746"/>
      <c r="N79" s="746"/>
      <c r="O79" s="746"/>
      <c r="P79" s="746"/>
      <c r="Q79" s="746"/>
      <c r="R79" s="746"/>
      <c r="S79" s="746"/>
      <c r="T79" s="747"/>
    </row>
    <row r="80" spans="1:22" ht="16">
      <c r="A80" s="628" t="s">
        <v>1091</v>
      </c>
      <c r="B80" s="745" t="s">
        <v>461</v>
      </c>
      <c r="C80" s="734"/>
      <c r="D80" s="746"/>
      <c r="E80" s="746"/>
      <c r="F80" s="746"/>
      <c r="G80" s="746"/>
      <c r="H80" s="746"/>
      <c r="I80" s="746"/>
      <c r="J80" s="746"/>
      <c r="K80" s="747">
        <f>SUBTOTAL(9,C80:J80)</f>
        <v>0</v>
      </c>
      <c r="L80" s="734" t="s">
        <v>1317</v>
      </c>
      <c r="M80" s="746"/>
      <c r="N80" s="746"/>
      <c r="O80" s="746"/>
      <c r="P80" s="746"/>
      <c r="Q80" s="746"/>
      <c r="R80" s="746"/>
      <c r="S80" s="746"/>
      <c r="T80" s="747">
        <f>SUBTOTAL(9,L80:S80)</f>
        <v>0</v>
      </c>
    </row>
    <row r="81" spans="1:20" ht="16" thickBot="1">
      <c r="B81" s="745"/>
      <c r="C81" s="734"/>
      <c r="D81" s="746"/>
      <c r="E81" s="746"/>
      <c r="F81" s="746"/>
      <c r="G81" s="746"/>
      <c r="H81" s="746"/>
      <c r="I81" s="746"/>
      <c r="J81" s="746"/>
      <c r="K81" s="747"/>
      <c r="L81" s="734"/>
      <c r="M81" s="746"/>
      <c r="N81" s="746"/>
      <c r="O81" s="746"/>
      <c r="P81" s="746"/>
      <c r="Q81" s="746"/>
      <c r="R81" s="746"/>
      <c r="S81" s="746"/>
      <c r="T81" s="747"/>
    </row>
    <row r="82" spans="1:20" ht="17" thickTop="1" thickBot="1">
      <c r="A82" s="749"/>
      <c r="B82" s="750" t="s">
        <v>51</v>
      </c>
      <c r="C82" s="751">
        <f>SUM(C80:C81)</f>
        <v>0</v>
      </c>
      <c r="D82" s="752">
        <f t="shared" ref="D82:T82" si="41">SUM(D80:D81)</f>
        <v>0</v>
      </c>
      <c r="E82" s="752">
        <f t="shared" si="41"/>
        <v>0</v>
      </c>
      <c r="F82" s="752">
        <f t="shared" si="41"/>
        <v>0</v>
      </c>
      <c r="G82" s="752">
        <f t="shared" si="41"/>
        <v>0</v>
      </c>
      <c r="H82" s="752">
        <f t="shared" si="41"/>
        <v>0</v>
      </c>
      <c r="I82" s="752">
        <f t="shared" ref="I82:J82" si="42">SUM(I80:I81)</f>
        <v>0</v>
      </c>
      <c r="J82" s="752">
        <f t="shared" si="42"/>
        <v>0</v>
      </c>
      <c r="K82" s="753">
        <f t="shared" si="41"/>
        <v>0</v>
      </c>
      <c r="L82" s="751">
        <f t="shared" si="41"/>
        <v>0</v>
      </c>
      <c r="M82" s="752">
        <f t="shared" si="41"/>
        <v>0</v>
      </c>
      <c r="N82" s="752">
        <f t="shared" si="41"/>
        <v>0</v>
      </c>
      <c r="O82" s="752">
        <f t="shared" si="41"/>
        <v>0</v>
      </c>
      <c r="P82" s="752">
        <f t="shared" si="41"/>
        <v>0</v>
      </c>
      <c r="Q82" s="752">
        <f t="shared" si="41"/>
        <v>0</v>
      </c>
      <c r="R82" s="752">
        <f t="shared" ref="R82:S82" si="43">SUM(R80:R81)</f>
        <v>0</v>
      </c>
      <c r="S82" s="752">
        <f t="shared" si="43"/>
        <v>0</v>
      </c>
      <c r="T82" s="754">
        <f t="shared" si="41"/>
        <v>0</v>
      </c>
    </row>
    <row r="83" spans="1:20" ht="16" thickTop="1">
      <c r="B83" s="745"/>
      <c r="C83" s="734"/>
      <c r="D83" s="746"/>
      <c r="E83" s="746"/>
      <c r="F83" s="746"/>
      <c r="G83" s="746"/>
      <c r="H83" s="746"/>
      <c r="I83" s="746"/>
      <c r="J83" s="746"/>
      <c r="K83" s="747"/>
      <c r="L83" s="734"/>
      <c r="M83" s="746"/>
      <c r="N83" s="746"/>
      <c r="O83" s="746"/>
      <c r="P83" s="746"/>
      <c r="Q83" s="746"/>
      <c r="R83" s="746"/>
      <c r="S83" s="746"/>
      <c r="T83" s="747"/>
    </row>
    <row r="84" spans="1:20" ht="16">
      <c r="A84" s="755" t="s">
        <v>1226</v>
      </c>
      <c r="B84" s="745"/>
      <c r="C84" s="734"/>
      <c r="D84" s="746"/>
      <c r="E84" s="746"/>
      <c r="F84" s="746"/>
      <c r="G84" s="746"/>
      <c r="H84" s="746"/>
      <c r="I84" s="746"/>
      <c r="J84" s="746"/>
      <c r="K84" s="747"/>
      <c r="L84" s="734"/>
      <c r="M84" s="746"/>
      <c r="N84" s="746"/>
      <c r="O84" s="746"/>
      <c r="P84" s="746"/>
      <c r="Q84" s="746"/>
      <c r="R84" s="746"/>
      <c r="S84" s="746"/>
      <c r="T84" s="747"/>
    </row>
    <row r="85" spans="1:20" ht="16">
      <c r="A85" s="628" t="s">
        <v>117</v>
      </c>
      <c r="B85" s="745" t="s">
        <v>460</v>
      </c>
      <c r="C85" s="734">
        <f>IFERROR((VLOOKUP(A85,'TB CY'!A:G,6,)+VLOOKUP(A85,'TB CY'!A:G,7,0)),0)</f>
        <v>242136</v>
      </c>
      <c r="D85" s="746"/>
      <c r="E85" s="731">
        <f>IFERROR(VLOOKUP(A85,'TB Other'!A:M,8,0),0)+IFERROR(VLOOKUP(A85,'TB Other'!A:M,9,0),0)</f>
        <v>0</v>
      </c>
      <c r="F85" s="746"/>
      <c r="G85" s="731">
        <f>IFERROR(VLOOKUP(A85,'TB Other'!A:M,4,0),0)+IFERROR(VLOOKUP(A85,'TB Other'!A:M,5,0),0)</f>
        <v>0</v>
      </c>
      <c r="H85" s="746"/>
      <c r="I85" s="746">
        <f>IFERROR(VLOOKUP(A85,'TB Other'!A:M,13,0),0)+IFERROR(VLOOKUP(A85,'TB Other'!A:M,12,0),0)</f>
        <v>0</v>
      </c>
      <c r="J85" s="746"/>
      <c r="K85" s="747">
        <f t="shared" ref="K85:K86" si="44">SUM(C85:J85)</f>
        <v>242136</v>
      </c>
      <c r="L85" s="734">
        <f>VLOOKUP(A85,'TB PY'!A:G,7,)+VLOOKUP(A85,'TB PY'!A:G,6,)</f>
        <v>443588.86</v>
      </c>
      <c r="M85" s="746"/>
      <c r="N85" s="746"/>
      <c r="O85" s="746"/>
      <c r="P85" s="746"/>
      <c r="Q85" s="746"/>
      <c r="R85" s="746"/>
      <c r="S85" s="746"/>
      <c r="T85" s="747">
        <f t="shared" ref="T85:T86" si="45">SUM(L85:S85)</f>
        <v>443588.86</v>
      </c>
    </row>
    <row r="86" spans="1:20" ht="32">
      <c r="A86" s="628" t="s">
        <v>121</v>
      </c>
      <c r="B86" s="745" t="s">
        <v>460</v>
      </c>
      <c r="C86" s="734">
        <f>IFERROR((VLOOKUP(A86,'TB CY'!A:G,6,)+VLOOKUP(A86,'TB CY'!A:G,7,0)),0)</f>
        <v>1517</v>
      </c>
      <c r="D86" s="746"/>
      <c r="E86" s="731">
        <f>IFERROR(VLOOKUP(A86,'TB Other'!A:M,8,0),0)+IFERROR(VLOOKUP(A86,'TB Other'!A:M,9,0),0)</f>
        <v>0</v>
      </c>
      <c r="F86" s="746"/>
      <c r="G86" s="731">
        <f>IFERROR(VLOOKUP(A86,'TB Other'!A:M,4,0),0)+IFERROR(VLOOKUP(A86,'TB Other'!A:M,5,0),0)</f>
        <v>0</v>
      </c>
      <c r="H86" s="746"/>
      <c r="I86" s="746">
        <f>IFERROR(VLOOKUP(A86,'TB Other'!A:M,13,0),0)+IFERROR(VLOOKUP(A86,'TB Other'!A:M,12,0),0)</f>
        <v>0</v>
      </c>
      <c r="J86" s="746"/>
      <c r="K86" s="747">
        <f t="shared" si="44"/>
        <v>1517</v>
      </c>
      <c r="L86" s="734">
        <f>VLOOKUP(A86,'TB PY'!A:G,7,)+VLOOKUP(A86,'TB PY'!A:G,6,)</f>
        <v>38158.239999999998</v>
      </c>
      <c r="M86" s="746"/>
      <c r="N86" s="746"/>
      <c r="O86" s="746"/>
      <c r="P86" s="746"/>
      <c r="Q86" s="746"/>
      <c r="R86" s="746"/>
      <c r="S86" s="746"/>
      <c r="T86" s="747">
        <f t="shared" si="45"/>
        <v>38158.239999999998</v>
      </c>
    </row>
    <row r="87" spans="1:20" ht="16" thickBot="1">
      <c r="B87" s="745"/>
      <c r="C87" s="734"/>
      <c r="D87" s="746"/>
      <c r="E87" s="746"/>
      <c r="F87" s="746"/>
      <c r="G87" s="746"/>
      <c r="H87" s="746"/>
      <c r="I87" s="746"/>
      <c r="J87" s="746"/>
      <c r="K87" s="747"/>
      <c r="L87" s="734"/>
      <c r="M87" s="746"/>
      <c r="N87" s="746"/>
      <c r="O87" s="746"/>
      <c r="P87" s="746"/>
      <c r="Q87" s="746"/>
      <c r="R87" s="746"/>
      <c r="S87" s="746"/>
      <c r="T87" s="747"/>
    </row>
    <row r="88" spans="1:20" ht="17" thickTop="1" thickBot="1">
      <c r="A88" s="749"/>
      <c r="B88" s="750" t="s">
        <v>51</v>
      </c>
      <c r="C88" s="751">
        <f>SUM(C85:C87)</f>
        <v>243653</v>
      </c>
      <c r="D88" s="752">
        <f t="shared" ref="D88:T88" si="46">SUM(D85:D87)</f>
        <v>0</v>
      </c>
      <c r="E88" s="752">
        <f t="shared" si="46"/>
        <v>0</v>
      </c>
      <c r="F88" s="752">
        <f t="shared" si="46"/>
        <v>0</v>
      </c>
      <c r="G88" s="752">
        <f t="shared" si="46"/>
        <v>0</v>
      </c>
      <c r="H88" s="752">
        <f t="shared" si="46"/>
        <v>0</v>
      </c>
      <c r="I88" s="752">
        <f t="shared" ref="I88:J88" si="47">SUM(I85:I87)</f>
        <v>0</v>
      </c>
      <c r="J88" s="752">
        <f t="shared" si="47"/>
        <v>0</v>
      </c>
      <c r="K88" s="753">
        <f t="shared" si="46"/>
        <v>243653</v>
      </c>
      <c r="L88" s="751">
        <f t="shared" si="46"/>
        <v>481747.1</v>
      </c>
      <c r="M88" s="752">
        <f t="shared" si="46"/>
        <v>0</v>
      </c>
      <c r="N88" s="752">
        <f t="shared" si="46"/>
        <v>0</v>
      </c>
      <c r="O88" s="752">
        <f t="shared" si="46"/>
        <v>0</v>
      </c>
      <c r="P88" s="752">
        <f t="shared" si="46"/>
        <v>0</v>
      </c>
      <c r="Q88" s="752">
        <f t="shared" si="46"/>
        <v>0</v>
      </c>
      <c r="R88" s="752">
        <f t="shared" ref="R88:S88" si="48">SUM(R85:R87)</f>
        <v>0</v>
      </c>
      <c r="S88" s="752">
        <f t="shared" si="48"/>
        <v>0</v>
      </c>
      <c r="T88" s="754">
        <f t="shared" si="46"/>
        <v>481747.1</v>
      </c>
    </row>
    <row r="89" spans="1:20" ht="16" thickTop="1">
      <c r="B89" s="745"/>
      <c r="C89" s="734"/>
      <c r="D89" s="746"/>
      <c r="E89" s="746"/>
      <c r="F89" s="746"/>
      <c r="G89" s="746"/>
      <c r="H89" s="746"/>
      <c r="I89" s="746"/>
      <c r="J89" s="746"/>
      <c r="K89" s="747"/>
      <c r="L89" s="734"/>
      <c r="M89" s="746"/>
      <c r="N89" s="746"/>
      <c r="O89" s="746"/>
      <c r="P89" s="746"/>
      <c r="Q89" s="746"/>
      <c r="R89" s="746"/>
      <c r="S89" s="746"/>
      <c r="T89" s="747"/>
    </row>
    <row r="90" spans="1:20" ht="16">
      <c r="A90" s="755" t="s">
        <v>1577</v>
      </c>
      <c r="B90" s="745"/>
      <c r="C90" s="734"/>
      <c r="D90" s="746"/>
      <c r="E90" s="746"/>
      <c r="F90" s="746"/>
      <c r="G90" s="746"/>
      <c r="H90" s="746"/>
      <c r="I90" s="746"/>
      <c r="J90" s="746"/>
      <c r="K90" s="747"/>
      <c r="L90" s="734"/>
      <c r="M90" s="746"/>
      <c r="N90" s="746"/>
      <c r="O90" s="746"/>
      <c r="P90" s="746"/>
      <c r="Q90" s="746"/>
      <c r="R90" s="746"/>
      <c r="S90" s="746"/>
      <c r="T90" s="747"/>
    </row>
    <row r="91" spans="1:20" ht="16">
      <c r="A91" s="628" t="s">
        <v>1028</v>
      </c>
      <c r="B91" s="745" t="s">
        <v>460</v>
      </c>
      <c r="C91" s="734">
        <f>IFERROR((VLOOKUP(A91,'TB CY'!A:G,6,)+VLOOKUP(A91,'TB CY'!A:G,7,0)),0)</f>
        <v>1472312</v>
      </c>
      <c r="D91" s="746"/>
      <c r="E91" s="746"/>
      <c r="F91" s="746"/>
      <c r="G91" s="746"/>
      <c r="H91" s="746"/>
      <c r="I91" s="746"/>
      <c r="J91" s="746"/>
      <c r="K91" s="747">
        <f>SUM(C91:H91)</f>
        <v>1472312</v>
      </c>
      <c r="L91" s="734">
        <f>VLOOKUP(A91,'TB PY'!A:G,7,)+VLOOKUP(A91,'TB PY'!A:G,6,)</f>
        <v>126</v>
      </c>
      <c r="M91" s="746"/>
      <c r="N91" s="746"/>
      <c r="O91" s="746"/>
      <c r="P91" s="746"/>
      <c r="Q91" s="746"/>
      <c r="R91" s="746"/>
      <c r="S91" s="746"/>
      <c r="T91" s="747">
        <f>SUM(L91:Q91)</f>
        <v>126</v>
      </c>
    </row>
    <row r="92" spans="1:20" ht="16">
      <c r="A92" s="628" t="s">
        <v>1520</v>
      </c>
      <c r="B92" s="745" t="s">
        <v>460</v>
      </c>
      <c r="C92" s="734">
        <f>IFERROR((VLOOKUP(A92,'TB CY'!A:G,6,)+VLOOKUP(A92,'TB CY'!A:G,7,0)),0)</f>
        <v>36444</v>
      </c>
      <c r="D92" s="746"/>
      <c r="E92" s="731">
        <f>IFERROR(VLOOKUP(A92,'TB Other'!A:M,8,0),0)+IFERROR(VLOOKUP(A92,'TB Other'!A:M,9,0),0)</f>
        <v>0</v>
      </c>
      <c r="F92" s="746"/>
      <c r="G92" s="731">
        <f>IFERROR(VLOOKUP(A92,'TB Other'!A:M,4,0),0)+IFERROR(VLOOKUP(A92,'TB Other'!A:M,5,0),0)</f>
        <v>0</v>
      </c>
      <c r="H92" s="746"/>
      <c r="I92" s="746">
        <f>IFERROR(VLOOKUP(A92,'TB Other'!A:M,13,0),0)+IFERROR(VLOOKUP(A92,'TB Other'!A:M,12,0),0)</f>
        <v>0</v>
      </c>
      <c r="J92" s="746"/>
      <c r="K92" s="747">
        <f>SUM(C92:J92)</f>
        <v>36444</v>
      </c>
      <c r="L92" s="734">
        <f>IFERROR(VLOOKUP(A92,'TB PY'!A:G,7,),0)+IFERROR(VLOOKUP(A92,'TB PY'!A:G,6,),0)</f>
        <v>0</v>
      </c>
      <c r="M92" s="746"/>
      <c r="N92" s="746"/>
      <c r="O92" s="746"/>
      <c r="P92" s="746"/>
      <c r="Q92" s="746"/>
      <c r="R92" s="746"/>
      <c r="S92" s="746"/>
      <c r="T92" s="747">
        <f>SUM(L92:S92)</f>
        <v>0</v>
      </c>
    </row>
    <row r="93" spans="1:20" ht="16" thickBot="1">
      <c r="B93" s="745"/>
      <c r="C93" s="734"/>
      <c r="D93" s="746"/>
      <c r="E93" s="746"/>
      <c r="F93" s="746"/>
      <c r="G93" s="746"/>
      <c r="H93" s="746"/>
      <c r="I93" s="746"/>
      <c r="J93" s="746"/>
      <c r="K93" s="747"/>
      <c r="L93" s="734"/>
      <c r="M93" s="746"/>
      <c r="N93" s="746"/>
      <c r="O93" s="746"/>
      <c r="P93" s="746"/>
      <c r="Q93" s="746"/>
      <c r="R93" s="746"/>
      <c r="S93" s="746"/>
      <c r="T93" s="747"/>
    </row>
    <row r="94" spans="1:20" ht="17" thickTop="1" thickBot="1">
      <c r="A94" s="749"/>
      <c r="B94" s="750" t="s">
        <v>51</v>
      </c>
      <c r="C94" s="751">
        <f>SUM(C91:C93)</f>
        <v>1508756</v>
      </c>
      <c r="D94" s="752">
        <f t="shared" ref="D94:T94" si="49">SUM(D91:D93)</f>
        <v>0</v>
      </c>
      <c r="E94" s="752">
        <f t="shared" si="49"/>
        <v>0</v>
      </c>
      <c r="F94" s="752">
        <f t="shared" si="49"/>
        <v>0</v>
      </c>
      <c r="G94" s="752">
        <f t="shared" si="49"/>
        <v>0</v>
      </c>
      <c r="H94" s="752">
        <f t="shared" si="49"/>
        <v>0</v>
      </c>
      <c r="I94" s="752">
        <f t="shared" ref="I94:J94" si="50">SUM(I91:I93)</f>
        <v>0</v>
      </c>
      <c r="J94" s="752">
        <f t="shared" si="50"/>
        <v>0</v>
      </c>
      <c r="K94" s="753">
        <f t="shared" si="49"/>
        <v>1508756</v>
      </c>
      <c r="L94" s="751">
        <f t="shared" si="49"/>
        <v>126</v>
      </c>
      <c r="M94" s="752">
        <f t="shared" si="49"/>
        <v>0</v>
      </c>
      <c r="N94" s="752">
        <f t="shared" si="49"/>
        <v>0</v>
      </c>
      <c r="O94" s="752">
        <f t="shared" si="49"/>
        <v>0</v>
      </c>
      <c r="P94" s="752">
        <f t="shared" si="49"/>
        <v>0</v>
      </c>
      <c r="Q94" s="752">
        <f t="shared" si="49"/>
        <v>0</v>
      </c>
      <c r="R94" s="752">
        <f t="shared" ref="R94:S94" si="51">SUM(R91:R93)</f>
        <v>0</v>
      </c>
      <c r="S94" s="752">
        <f t="shared" si="51"/>
        <v>0</v>
      </c>
      <c r="T94" s="754">
        <f t="shared" si="49"/>
        <v>126</v>
      </c>
    </row>
    <row r="95" spans="1:20" ht="17" thickTop="1">
      <c r="A95" s="755" t="s">
        <v>119</v>
      </c>
      <c r="B95" s="745"/>
      <c r="C95" s="734"/>
      <c r="D95" s="746"/>
      <c r="E95" s="746"/>
      <c r="F95" s="746"/>
      <c r="G95" s="746"/>
      <c r="H95" s="746"/>
      <c r="I95" s="746"/>
      <c r="J95" s="746"/>
      <c r="K95" s="747"/>
      <c r="L95" s="734"/>
      <c r="M95" s="746"/>
      <c r="N95" s="746"/>
      <c r="O95" s="746"/>
      <c r="P95" s="746"/>
      <c r="Q95" s="746"/>
      <c r="R95" s="746"/>
      <c r="S95" s="746"/>
      <c r="T95" s="747"/>
    </row>
    <row r="96" spans="1:20" ht="16">
      <c r="A96" s="628" t="s">
        <v>1227</v>
      </c>
      <c r="B96" s="745"/>
      <c r="C96" s="734"/>
      <c r="D96" s="746"/>
      <c r="E96" s="746"/>
      <c r="F96" s="746"/>
      <c r="G96" s="746"/>
      <c r="H96" s="746"/>
      <c r="I96" s="746"/>
      <c r="J96" s="746"/>
      <c r="K96" s="747"/>
      <c r="L96" s="734"/>
      <c r="M96" s="746"/>
      <c r="N96" s="746"/>
      <c r="O96" s="746"/>
      <c r="P96" s="746"/>
      <c r="Q96" s="746"/>
      <c r="R96" s="746"/>
      <c r="S96" s="746"/>
      <c r="T96" s="747"/>
    </row>
    <row r="97" spans="1:20" ht="16">
      <c r="A97" s="628" t="s">
        <v>118</v>
      </c>
      <c r="B97" s="745" t="s">
        <v>460</v>
      </c>
      <c r="C97" s="734">
        <f>IFERROR((VLOOKUP(A97,'TB CY'!A:G,6,)+VLOOKUP(A97,'TB CY'!A:G,7,0)),0)</f>
        <v>458087</v>
      </c>
      <c r="D97" s="746"/>
      <c r="E97" s="731">
        <f>IFERROR(VLOOKUP(A97,'TB Other'!A:M,8,0),0)+IFERROR(VLOOKUP(A97,'TB Other'!A:M,9,0),0)</f>
        <v>0</v>
      </c>
      <c r="F97" s="746"/>
      <c r="G97" s="731">
        <f>IFERROR(VLOOKUP(A97,'TB Other'!A:M,4,0),0)+IFERROR(VLOOKUP(A97,'TB Other'!A:M,5,0),0)</f>
        <v>0</v>
      </c>
      <c r="H97" s="746"/>
      <c r="I97" s="746">
        <f>IFERROR(VLOOKUP(A97,'TB Other'!A:M,13,0),0)+IFERROR(VLOOKUP(A97,'TB Other'!A:M,12,0),0)</f>
        <v>0</v>
      </c>
      <c r="J97" s="746"/>
      <c r="K97" s="747">
        <f>SUM(C97:J97)</f>
        <v>458087</v>
      </c>
      <c r="L97" s="734">
        <f>VLOOKUP(A97,'TB PY'!A:G,7,)+VLOOKUP(A97,'TB PY'!A:G,6,)</f>
        <v>351236</v>
      </c>
      <c r="M97" s="746"/>
      <c r="N97" s="746"/>
      <c r="O97" s="746"/>
      <c r="P97" s="746"/>
      <c r="Q97" s="746"/>
      <c r="R97" s="746"/>
      <c r="S97" s="746"/>
      <c r="T97" s="747">
        <f>SUM(L97:S97)</f>
        <v>351236</v>
      </c>
    </row>
    <row r="98" spans="1:20" ht="16" thickBot="1">
      <c r="B98" s="745"/>
      <c r="C98" s="734"/>
      <c r="D98" s="746"/>
      <c r="E98" s="746"/>
      <c r="F98" s="746"/>
      <c r="G98" s="746"/>
      <c r="H98" s="746"/>
      <c r="I98" s="746"/>
      <c r="J98" s="746"/>
      <c r="K98" s="747"/>
      <c r="L98" s="734"/>
      <c r="M98" s="746"/>
      <c r="N98" s="746"/>
      <c r="O98" s="746"/>
      <c r="P98" s="746"/>
      <c r="Q98" s="746"/>
      <c r="R98" s="746"/>
      <c r="S98" s="746"/>
      <c r="T98" s="747"/>
    </row>
    <row r="99" spans="1:20" ht="17" thickTop="1" thickBot="1">
      <c r="A99" s="749"/>
      <c r="B99" s="750" t="s">
        <v>51</v>
      </c>
      <c r="C99" s="751">
        <f>SUM(C97:C98)</f>
        <v>458087</v>
      </c>
      <c r="D99" s="752">
        <f t="shared" ref="D99:T99" si="52">SUM(D97:D98)</f>
        <v>0</v>
      </c>
      <c r="E99" s="752">
        <f t="shared" si="52"/>
        <v>0</v>
      </c>
      <c r="F99" s="752">
        <f t="shared" si="52"/>
        <v>0</v>
      </c>
      <c r="G99" s="752">
        <f t="shared" si="52"/>
        <v>0</v>
      </c>
      <c r="H99" s="752">
        <f t="shared" si="52"/>
        <v>0</v>
      </c>
      <c r="I99" s="752">
        <f t="shared" ref="I99:J99" si="53">SUM(I97:I98)</f>
        <v>0</v>
      </c>
      <c r="J99" s="752">
        <f t="shared" si="53"/>
        <v>0</v>
      </c>
      <c r="K99" s="753">
        <f t="shared" si="52"/>
        <v>458087</v>
      </c>
      <c r="L99" s="751">
        <f t="shared" si="52"/>
        <v>351236</v>
      </c>
      <c r="M99" s="752">
        <f t="shared" si="52"/>
        <v>0</v>
      </c>
      <c r="N99" s="752">
        <f t="shared" si="52"/>
        <v>0</v>
      </c>
      <c r="O99" s="752">
        <f t="shared" si="52"/>
        <v>0</v>
      </c>
      <c r="P99" s="752">
        <f t="shared" si="52"/>
        <v>0</v>
      </c>
      <c r="Q99" s="752">
        <f t="shared" si="52"/>
        <v>0</v>
      </c>
      <c r="R99" s="752">
        <f t="shared" ref="R99:S99" si="54">SUM(R97:R98)</f>
        <v>0</v>
      </c>
      <c r="S99" s="752">
        <f t="shared" si="54"/>
        <v>0</v>
      </c>
      <c r="T99" s="754">
        <f t="shared" si="52"/>
        <v>351236</v>
      </c>
    </row>
    <row r="100" spans="1:20" ht="16" thickTop="1">
      <c r="A100" s="219" t="s">
        <v>128</v>
      </c>
      <c r="B100" s="745" t="s">
        <v>1613</v>
      </c>
      <c r="C100" s="734"/>
      <c r="D100" s="746"/>
      <c r="E100" s="746"/>
      <c r="F100" s="746"/>
      <c r="G100" s="746"/>
      <c r="H100" s="746"/>
      <c r="I100" s="746"/>
      <c r="J100" s="746"/>
      <c r="K100" s="747">
        <f>SUBTOTAL(9,C100:J100)</f>
        <v>0</v>
      </c>
      <c r="L100" s="734"/>
      <c r="M100" s="746">
        <v>9203</v>
      </c>
      <c r="N100" s="746"/>
      <c r="O100" s="746"/>
      <c r="P100" s="746"/>
      <c r="Q100" s="746"/>
      <c r="R100" s="746"/>
      <c r="S100" s="746"/>
      <c r="T100" s="747">
        <f>SUBTOTAL(9,L100:S100)</f>
        <v>9203</v>
      </c>
    </row>
    <row r="101" spans="1:20" ht="16" thickBot="1">
      <c r="A101" s="269" t="s">
        <v>1632</v>
      </c>
      <c r="B101" s="745" t="s">
        <v>1613</v>
      </c>
      <c r="C101" s="734"/>
      <c r="D101" s="746">
        <f>-D37</f>
        <v>20802</v>
      </c>
      <c r="E101" s="746"/>
      <c r="F101" s="746"/>
      <c r="G101" s="746"/>
      <c r="H101" s="746"/>
      <c r="I101" s="746"/>
      <c r="J101" s="746"/>
      <c r="K101" s="747">
        <f>SUBTOTAL(9,C101:J101)</f>
        <v>20802</v>
      </c>
      <c r="L101" s="734"/>
      <c r="M101" s="746"/>
      <c r="N101" s="746"/>
      <c r="O101" s="746"/>
      <c r="P101" s="746"/>
      <c r="Q101" s="746"/>
      <c r="R101" s="746"/>
      <c r="S101" s="746"/>
      <c r="T101" s="747"/>
    </row>
    <row r="102" spans="1:20" ht="17" thickTop="1" thickBot="1">
      <c r="A102" s="749"/>
      <c r="B102" s="750" t="s">
        <v>51</v>
      </c>
      <c r="C102" s="751">
        <f>SUM(C100:C101)</f>
        <v>0</v>
      </c>
      <c r="D102" s="752">
        <f t="shared" ref="D102:T102" si="55">SUM(D100:D101)</f>
        <v>20802</v>
      </c>
      <c r="E102" s="752">
        <f t="shared" si="55"/>
        <v>0</v>
      </c>
      <c r="F102" s="752">
        <f t="shared" si="55"/>
        <v>0</v>
      </c>
      <c r="G102" s="752">
        <f t="shared" si="55"/>
        <v>0</v>
      </c>
      <c r="H102" s="752">
        <f t="shared" si="55"/>
        <v>0</v>
      </c>
      <c r="I102" s="752">
        <f t="shared" ref="I102:J102" si="56">SUM(I100:I101)</f>
        <v>0</v>
      </c>
      <c r="J102" s="752">
        <f t="shared" si="56"/>
        <v>0</v>
      </c>
      <c r="K102" s="753">
        <f t="shared" si="55"/>
        <v>20802</v>
      </c>
      <c r="L102" s="751">
        <f t="shared" si="55"/>
        <v>0</v>
      </c>
      <c r="M102" s="752">
        <f t="shared" si="55"/>
        <v>9203</v>
      </c>
      <c r="N102" s="752">
        <f t="shared" si="55"/>
        <v>0</v>
      </c>
      <c r="O102" s="752">
        <f t="shared" si="55"/>
        <v>0</v>
      </c>
      <c r="P102" s="752">
        <f t="shared" si="55"/>
        <v>0</v>
      </c>
      <c r="Q102" s="752">
        <f t="shared" si="55"/>
        <v>0</v>
      </c>
      <c r="R102" s="752">
        <f t="shared" ref="R102:S102" si="57">SUM(R100:R101)</f>
        <v>0</v>
      </c>
      <c r="S102" s="752">
        <f t="shared" si="57"/>
        <v>0</v>
      </c>
      <c r="T102" s="754">
        <f t="shared" si="55"/>
        <v>9203</v>
      </c>
    </row>
    <row r="103" spans="1:20" ht="16" thickTop="1">
      <c r="A103" s="269"/>
      <c r="B103" s="745"/>
      <c r="C103" s="734"/>
      <c r="D103" s="746"/>
      <c r="E103" s="746"/>
      <c r="F103" s="746"/>
      <c r="G103" s="746"/>
      <c r="H103" s="746"/>
      <c r="I103" s="746"/>
      <c r="J103" s="746"/>
      <c r="K103" s="747"/>
      <c r="L103" s="734"/>
      <c r="M103" s="746"/>
      <c r="N103" s="746"/>
      <c r="O103" s="746"/>
      <c r="P103" s="746"/>
      <c r="Q103" s="746"/>
      <c r="R103" s="746"/>
      <c r="S103" s="746"/>
      <c r="T103" s="747"/>
    </row>
    <row r="104" spans="1:20">
      <c r="A104" s="269" t="s">
        <v>130</v>
      </c>
      <c r="B104" s="745" t="s">
        <v>1613</v>
      </c>
      <c r="C104" s="734"/>
      <c r="D104" s="746"/>
      <c r="E104" s="746"/>
      <c r="F104" s="746"/>
      <c r="G104" s="746"/>
      <c r="H104" s="746"/>
      <c r="I104" s="746"/>
      <c r="J104" s="746"/>
      <c r="K104" s="747">
        <f>SUBTOTAL(9,C104:J104)</f>
        <v>0</v>
      </c>
      <c r="L104" s="734"/>
      <c r="M104" s="746">
        <v>124009</v>
      </c>
      <c r="N104" s="746"/>
      <c r="O104" s="746"/>
      <c r="P104" s="746"/>
      <c r="Q104" s="746"/>
      <c r="R104" s="746"/>
      <c r="S104" s="746"/>
      <c r="T104" s="747">
        <f>SUBTOTAL(9,L104:S104)</f>
        <v>124009</v>
      </c>
    </row>
    <row r="105" spans="1:20" ht="16" thickBot="1">
      <c r="A105" s="269" t="s">
        <v>1633</v>
      </c>
      <c r="B105" s="745"/>
      <c r="C105" s="734"/>
      <c r="D105" s="746">
        <f>-D41</f>
        <v>158061</v>
      </c>
      <c r="E105" s="746"/>
      <c r="F105" s="746"/>
      <c r="G105" s="746"/>
      <c r="H105" s="746"/>
      <c r="I105" s="746"/>
      <c r="J105" s="746"/>
      <c r="K105" s="747">
        <f>SUBTOTAL(9,C105:J105)</f>
        <v>158061</v>
      </c>
      <c r="L105" s="734"/>
      <c r="M105" s="746"/>
      <c r="N105" s="746"/>
      <c r="O105" s="746"/>
      <c r="P105" s="746"/>
      <c r="Q105" s="746"/>
      <c r="R105" s="746"/>
      <c r="S105" s="746"/>
      <c r="T105" s="747"/>
    </row>
    <row r="106" spans="1:20" ht="17" thickTop="1" thickBot="1">
      <c r="A106" s="765"/>
      <c r="B106" s="750" t="s">
        <v>51</v>
      </c>
      <c r="C106" s="751">
        <f>SUM(C104:C105)</f>
        <v>0</v>
      </c>
      <c r="D106" s="752">
        <f t="shared" ref="D106:T106" si="58">SUM(D104:D105)</f>
        <v>158061</v>
      </c>
      <c r="E106" s="752">
        <f t="shared" si="58"/>
        <v>0</v>
      </c>
      <c r="F106" s="752">
        <f t="shared" si="58"/>
        <v>0</v>
      </c>
      <c r="G106" s="752">
        <f t="shared" si="58"/>
        <v>0</v>
      </c>
      <c r="H106" s="752">
        <f t="shared" si="58"/>
        <v>0</v>
      </c>
      <c r="I106" s="752">
        <f t="shared" ref="I106:J106" si="59">SUM(I104:I105)</f>
        <v>0</v>
      </c>
      <c r="J106" s="752">
        <f t="shared" si="59"/>
        <v>0</v>
      </c>
      <c r="K106" s="753">
        <f t="shared" si="58"/>
        <v>158061</v>
      </c>
      <c r="L106" s="751">
        <f t="shared" si="58"/>
        <v>0</v>
      </c>
      <c r="M106" s="752">
        <f t="shared" si="58"/>
        <v>124009</v>
      </c>
      <c r="N106" s="752">
        <f t="shared" si="58"/>
        <v>0</v>
      </c>
      <c r="O106" s="752">
        <f t="shared" si="58"/>
        <v>0</v>
      </c>
      <c r="P106" s="752">
        <f t="shared" si="58"/>
        <v>0</v>
      </c>
      <c r="Q106" s="752">
        <f t="shared" si="58"/>
        <v>0</v>
      </c>
      <c r="R106" s="752">
        <f t="shared" ref="R106:S106" si="60">SUM(R104:R105)</f>
        <v>0</v>
      </c>
      <c r="S106" s="752">
        <f t="shared" si="60"/>
        <v>0</v>
      </c>
      <c r="T106" s="754">
        <f t="shared" si="58"/>
        <v>124009</v>
      </c>
    </row>
    <row r="107" spans="1:20" ht="17" thickTop="1">
      <c r="A107" s="755" t="s">
        <v>152</v>
      </c>
      <c r="B107" s="756"/>
      <c r="C107" s="734"/>
      <c r="D107" s="746"/>
      <c r="E107" s="746"/>
      <c r="F107" s="746"/>
      <c r="G107" s="746"/>
      <c r="H107" s="746"/>
      <c r="I107" s="746"/>
      <c r="J107" s="746"/>
      <c r="K107" s="747"/>
      <c r="L107" s="734"/>
      <c r="M107" s="746"/>
      <c r="N107" s="746"/>
      <c r="O107" s="746"/>
      <c r="P107" s="746"/>
      <c r="Q107" s="746"/>
      <c r="R107" s="746"/>
      <c r="S107" s="746"/>
      <c r="T107" s="747"/>
    </row>
    <row r="108" spans="1:20" ht="16">
      <c r="A108" s="755" t="s">
        <v>6</v>
      </c>
      <c r="B108" s="756"/>
      <c r="C108" s="734"/>
      <c r="D108" s="746"/>
      <c r="E108" s="746"/>
      <c r="F108" s="746"/>
      <c r="G108" s="746"/>
      <c r="H108" s="746"/>
      <c r="I108" s="746"/>
      <c r="J108" s="746"/>
      <c r="K108" s="747"/>
      <c r="L108" s="734"/>
      <c r="M108" s="746"/>
      <c r="N108" s="746"/>
      <c r="O108" s="746"/>
      <c r="P108" s="746"/>
      <c r="Q108" s="746"/>
      <c r="R108" s="746"/>
      <c r="S108" s="746"/>
      <c r="T108" s="747"/>
    </row>
    <row r="109" spans="1:20">
      <c r="A109" s="269" t="s">
        <v>131</v>
      </c>
      <c r="B109" s="745" t="s">
        <v>460</v>
      </c>
      <c r="C109" s="734">
        <f>IFERROR((VLOOKUP(A109,'TB CY'!A:G,6,)+VLOOKUP(A109,'TB CY'!A:G,7,0)),0)</f>
        <v>19022288.919999998</v>
      </c>
      <c r="D109" s="746"/>
      <c r="E109" s="731">
        <f>IFERROR(VLOOKUP(A109,'TB Other'!A:M,8,0),0)+IFERROR(VLOOKUP(A109,'TB Other'!A:M,9,0),0)</f>
        <v>0</v>
      </c>
      <c r="F109" s="746"/>
      <c r="G109" s="731">
        <f>IFERROR(VLOOKUP(A109,'TB Other'!A:M,4,0),0)+IFERROR(VLOOKUP(A109,'TB Other'!A:M,5,0),0)</f>
        <v>0</v>
      </c>
      <c r="H109" s="746"/>
      <c r="I109" s="746">
        <f>IFERROR(VLOOKUP(A109,'TB Other'!A:M,13,0),0)+IFERROR(VLOOKUP(A109,'TB Other'!A:M,12,0),0)</f>
        <v>34968.86</v>
      </c>
      <c r="J109" s="746"/>
      <c r="K109" s="747">
        <f>SUM(C109:J109)</f>
        <v>19057257.779999997</v>
      </c>
      <c r="L109" s="734">
        <f>IFERROR(VLOOKUP(A109,'TB PY'!A:G,7,),0)+IFERROR(VLOOKUP(A109,'TB PY'!A:G,6,),0)</f>
        <v>16639106.16</v>
      </c>
      <c r="M109" s="746"/>
      <c r="N109" s="746"/>
      <c r="O109" s="746"/>
      <c r="P109" s="746"/>
      <c r="Q109" s="746"/>
      <c r="R109" s="746"/>
      <c r="S109" s="746"/>
      <c r="T109" s="747">
        <f>SUM(L109:S109)</f>
        <v>16639106.16</v>
      </c>
    </row>
    <row r="110" spans="1:20" ht="16" thickBot="1">
      <c r="A110" s="269"/>
      <c r="B110" s="745"/>
      <c r="C110" s="734"/>
      <c r="D110" s="746"/>
      <c r="E110" s="746"/>
      <c r="F110" s="746"/>
      <c r="G110" s="746"/>
      <c r="H110" s="746"/>
      <c r="I110" s="746"/>
      <c r="J110" s="746"/>
      <c r="K110" s="747"/>
      <c r="L110" s="734"/>
      <c r="M110" s="746"/>
      <c r="N110" s="746"/>
      <c r="O110" s="746"/>
      <c r="P110" s="746"/>
      <c r="Q110" s="746"/>
      <c r="R110" s="746"/>
      <c r="S110" s="746"/>
      <c r="T110" s="747"/>
    </row>
    <row r="111" spans="1:20" ht="17" thickTop="1" thickBot="1">
      <c r="A111" s="749"/>
      <c r="B111" s="750" t="s">
        <v>51</v>
      </c>
      <c r="C111" s="751">
        <f t="shared" ref="C111:T111" si="61">SUM(C109:C110)</f>
        <v>19022288.919999998</v>
      </c>
      <c r="D111" s="752">
        <f t="shared" si="61"/>
        <v>0</v>
      </c>
      <c r="E111" s="752">
        <f t="shared" si="61"/>
        <v>0</v>
      </c>
      <c r="F111" s="752">
        <f t="shared" si="61"/>
        <v>0</v>
      </c>
      <c r="G111" s="752">
        <f t="shared" si="61"/>
        <v>0</v>
      </c>
      <c r="H111" s="752">
        <f t="shared" si="61"/>
        <v>0</v>
      </c>
      <c r="I111" s="752">
        <f t="shared" ref="I111:J111" si="62">SUM(I109:I110)</f>
        <v>34968.86</v>
      </c>
      <c r="J111" s="752">
        <f t="shared" si="62"/>
        <v>0</v>
      </c>
      <c r="K111" s="754">
        <f t="shared" si="61"/>
        <v>19057257.779999997</v>
      </c>
      <c r="L111" s="751">
        <f t="shared" si="61"/>
        <v>16639106.16</v>
      </c>
      <c r="M111" s="752">
        <f t="shared" si="61"/>
        <v>0</v>
      </c>
      <c r="N111" s="752">
        <f t="shared" si="61"/>
        <v>0</v>
      </c>
      <c r="O111" s="752">
        <f t="shared" si="61"/>
        <v>0</v>
      </c>
      <c r="P111" s="752">
        <f t="shared" si="61"/>
        <v>0</v>
      </c>
      <c r="Q111" s="752">
        <f t="shared" si="61"/>
        <v>0</v>
      </c>
      <c r="R111" s="752">
        <f t="shared" ref="R111:S111" si="63">SUM(R109:R110)</f>
        <v>0</v>
      </c>
      <c r="S111" s="752">
        <f t="shared" si="63"/>
        <v>0</v>
      </c>
      <c r="T111" s="754">
        <f t="shared" si="61"/>
        <v>16639106.16</v>
      </c>
    </row>
    <row r="112" spans="1:20" ht="17" thickTop="1">
      <c r="A112" s="628" t="s">
        <v>1580</v>
      </c>
      <c r="B112" s="756"/>
      <c r="C112" s="734"/>
      <c r="D112" s="746"/>
      <c r="E112" s="746"/>
      <c r="F112" s="746"/>
      <c r="G112" s="746"/>
      <c r="H112" s="746"/>
      <c r="I112" s="746"/>
      <c r="J112" s="746"/>
      <c r="K112" s="747"/>
      <c r="L112" s="734"/>
      <c r="M112" s="746"/>
      <c r="N112" s="746"/>
      <c r="O112" s="746"/>
      <c r="P112" s="746"/>
      <c r="Q112" s="746"/>
      <c r="R112" s="746"/>
      <c r="S112" s="746"/>
      <c r="T112" s="747"/>
    </row>
    <row r="113" spans="1:21">
      <c r="A113" s="269" t="s">
        <v>1530</v>
      </c>
      <c r="B113" s="745" t="s">
        <v>460</v>
      </c>
      <c r="C113" s="734">
        <f>IFERROR((VLOOKUP(A113,'TB CY'!A:G,6,)+VLOOKUP(A113,'TB CY'!A:G,7,0)),0)</f>
        <v>872850</v>
      </c>
      <c r="D113" s="746">
        <f>-ROU!J40</f>
        <v>-303131</v>
      </c>
      <c r="E113" s="731">
        <f>IFERROR(VLOOKUP(A113,'TB Other'!A:M,8,0),0)+IFERROR(VLOOKUP(A113,'TB Other'!A:M,9,0),0)</f>
        <v>0</v>
      </c>
      <c r="F113" s="746"/>
      <c r="G113" s="731">
        <f>IFERROR(VLOOKUP(A113,'TB Other'!A:M,4,0),0)+IFERROR(VLOOKUP(A113,'TB Other'!A:M,5,0),0)</f>
        <v>0</v>
      </c>
      <c r="H113" s="746"/>
      <c r="I113" s="746">
        <f>IFERROR(VLOOKUP(A113,'TB Other'!A:M,13,0),0)+IFERROR(VLOOKUP(A113,'TB Other'!A:M,12,0),0)</f>
        <v>0</v>
      </c>
      <c r="J113" s="746"/>
      <c r="K113" s="747">
        <f>SUM(C113:J113)</f>
        <v>569719</v>
      </c>
      <c r="L113" s="734">
        <f>IFERROR(VLOOKUP(A113,'TB PY'!A:G,7,),0)+IFERROR(VLOOKUP(A113,'TB PY'!A:G,6,),0)</f>
        <v>0</v>
      </c>
      <c r="M113" s="746"/>
      <c r="N113" s="746"/>
      <c r="O113" s="746"/>
      <c r="P113" s="746"/>
      <c r="Q113" s="746"/>
      <c r="R113" s="746"/>
      <c r="S113" s="746"/>
      <c r="T113" s="747">
        <f>SUM(L113:S113)</f>
        <v>0</v>
      </c>
      <c r="U113" s="215" t="s">
        <v>1671</v>
      </c>
    </row>
    <row r="114" spans="1:21" ht="16" thickBot="1">
      <c r="A114" s="269"/>
      <c r="B114" s="745"/>
      <c r="C114" s="734"/>
      <c r="D114" s="746"/>
      <c r="E114" s="746"/>
      <c r="F114" s="746"/>
      <c r="G114" s="746"/>
      <c r="H114" s="746"/>
      <c r="I114" s="746"/>
      <c r="J114" s="746"/>
      <c r="K114" s="747"/>
      <c r="L114" s="734"/>
      <c r="M114" s="746"/>
      <c r="N114" s="746"/>
      <c r="O114" s="746"/>
      <c r="P114" s="746"/>
      <c r="Q114" s="746"/>
      <c r="R114" s="746"/>
      <c r="S114" s="746"/>
      <c r="T114" s="747"/>
    </row>
    <row r="115" spans="1:21" ht="17" thickTop="1" thickBot="1">
      <c r="A115" s="749"/>
      <c r="B115" s="750" t="s">
        <v>51</v>
      </c>
      <c r="C115" s="751">
        <f t="shared" ref="C115:T115" si="64">SUM(C113:C114)</f>
        <v>872850</v>
      </c>
      <c r="D115" s="752">
        <f t="shared" si="64"/>
        <v>-303131</v>
      </c>
      <c r="E115" s="752">
        <f t="shared" si="64"/>
        <v>0</v>
      </c>
      <c r="F115" s="752">
        <f t="shared" si="64"/>
        <v>0</v>
      </c>
      <c r="G115" s="752">
        <f t="shared" si="64"/>
        <v>0</v>
      </c>
      <c r="H115" s="752">
        <f t="shared" si="64"/>
        <v>0</v>
      </c>
      <c r="I115" s="752">
        <f t="shared" ref="I115:J115" si="65">SUM(I113:I114)</f>
        <v>0</v>
      </c>
      <c r="J115" s="752">
        <f t="shared" si="65"/>
        <v>0</v>
      </c>
      <c r="K115" s="754">
        <f t="shared" si="64"/>
        <v>569719</v>
      </c>
      <c r="L115" s="751">
        <f t="shared" si="64"/>
        <v>0</v>
      </c>
      <c r="M115" s="752">
        <f t="shared" si="64"/>
        <v>0</v>
      </c>
      <c r="N115" s="752">
        <f t="shared" si="64"/>
        <v>0</v>
      </c>
      <c r="O115" s="752">
        <f t="shared" si="64"/>
        <v>0</v>
      </c>
      <c r="P115" s="752">
        <f t="shared" si="64"/>
        <v>0</v>
      </c>
      <c r="Q115" s="752">
        <f t="shared" si="64"/>
        <v>0</v>
      </c>
      <c r="R115" s="752">
        <f t="shared" ref="R115:S115" si="66">SUM(R113:R114)</f>
        <v>0</v>
      </c>
      <c r="S115" s="752">
        <f t="shared" si="66"/>
        <v>0</v>
      </c>
      <c r="T115" s="754">
        <f t="shared" si="64"/>
        <v>0</v>
      </c>
    </row>
    <row r="116" spans="1:21" ht="16" thickTop="1">
      <c r="B116" s="756"/>
      <c r="C116" s="734"/>
      <c r="D116" s="746"/>
      <c r="E116" s="746"/>
      <c r="F116" s="746"/>
      <c r="G116" s="746"/>
      <c r="H116" s="746"/>
      <c r="I116" s="746"/>
      <c r="J116" s="746"/>
      <c r="K116" s="747"/>
      <c r="L116" s="734"/>
      <c r="M116" s="746"/>
      <c r="N116" s="746"/>
      <c r="O116" s="746"/>
      <c r="P116" s="746"/>
      <c r="Q116" s="746"/>
      <c r="R116" s="746"/>
      <c r="S116" s="746"/>
      <c r="T116" s="747"/>
    </row>
    <row r="117" spans="1:21" ht="16">
      <c r="A117" s="755" t="s">
        <v>152</v>
      </c>
      <c r="B117" s="756"/>
      <c r="C117" s="734"/>
      <c r="D117" s="746"/>
      <c r="E117" s="746"/>
      <c r="F117" s="746"/>
      <c r="G117" s="746"/>
      <c r="H117" s="746"/>
      <c r="I117" s="746"/>
      <c r="J117" s="746"/>
      <c r="K117" s="747"/>
      <c r="L117" s="734"/>
      <c r="M117" s="746"/>
      <c r="N117" s="746"/>
      <c r="O117" s="746"/>
      <c r="P117" s="746"/>
      <c r="Q117" s="746"/>
      <c r="R117" s="746"/>
      <c r="S117" s="746"/>
      <c r="T117" s="747"/>
    </row>
    <row r="118" spans="1:21">
      <c r="A118" s="269" t="s">
        <v>151</v>
      </c>
      <c r="B118" s="745" t="s">
        <v>460</v>
      </c>
      <c r="C118" s="734">
        <f>IFERROR((VLOOKUP(A118,'TB CY'!A:G,6,)+VLOOKUP(A118,'TB CY'!A:G,7,0)),0)</f>
        <v>8165446</v>
      </c>
      <c r="D118" s="746"/>
      <c r="E118" s="731">
        <f>IFERROR(VLOOKUP(A118,'TB Other'!A:M,8,0),0)+IFERROR(VLOOKUP(A118,'TB Other'!A:M,9,0),0)</f>
        <v>0</v>
      </c>
      <c r="F118" s="746"/>
      <c r="G118" s="731">
        <f>IFERROR(VLOOKUP(A118,'TB Other'!A:M,4,0),0)+IFERROR(VLOOKUP(A118,'TB Other'!A:M,5,0),0)</f>
        <v>0</v>
      </c>
      <c r="H118" s="746"/>
      <c r="I118" s="746">
        <f>IFERROR(VLOOKUP(A118,'TB Other'!A:M,13,0),0)+IFERROR(VLOOKUP(A118,'TB Other'!A:M,12,0),0)</f>
        <v>0</v>
      </c>
      <c r="J118" s="746"/>
      <c r="K118" s="747">
        <f>SUM(C118:J118)</f>
        <v>8165446</v>
      </c>
      <c r="L118" s="734">
        <f>VLOOKUP(A118,'TB PY'!A:G,7,)+VLOOKUP(A118,'TB PY'!A:G,6,)</f>
        <v>8165446</v>
      </c>
      <c r="M118" s="746"/>
      <c r="N118" s="746"/>
      <c r="O118" s="746"/>
      <c r="P118" s="746"/>
      <c r="Q118" s="746"/>
      <c r="R118" s="746"/>
      <c r="S118" s="746"/>
      <c r="T118" s="747">
        <f>SUM(L118:S118)</f>
        <v>8165446</v>
      </c>
    </row>
    <row r="119" spans="1:21" ht="16" thickBot="1">
      <c r="A119" s="269"/>
      <c r="B119" s="745"/>
      <c r="C119" s="734"/>
      <c r="D119" s="746"/>
      <c r="E119" s="746"/>
      <c r="F119" s="746"/>
      <c r="G119" s="746"/>
      <c r="H119" s="746"/>
      <c r="I119" s="746"/>
      <c r="J119" s="746"/>
      <c r="K119" s="747"/>
      <c r="L119" s="734"/>
      <c r="M119" s="746"/>
      <c r="N119" s="746"/>
      <c r="O119" s="746"/>
      <c r="P119" s="746"/>
      <c r="Q119" s="746"/>
      <c r="R119" s="746"/>
      <c r="S119" s="746"/>
      <c r="T119" s="747"/>
    </row>
    <row r="120" spans="1:21" ht="17" thickTop="1" thickBot="1">
      <c r="A120" s="749"/>
      <c r="B120" s="750" t="s">
        <v>51</v>
      </c>
      <c r="C120" s="751">
        <f t="shared" ref="C120:T120" si="67">SUM(C118:C119)</f>
        <v>8165446</v>
      </c>
      <c r="D120" s="752">
        <f t="shared" si="67"/>
        <v>0</v>
      </c>
      <c r="E120" s="752">
        <f t="shared" si="67"/>
        <v>0</v>
      </c>
      <c r="F120" s="752">
        <f t="shared" si="67"/>
        <v>0</v>
      </c>
      <c r="G120" s="752">
        <f t="shared" si="67"/>
        <v>0</v>
      </c>
      <c r="H120" s="752">
        <f t="shared" si="67"/>
        <v>0</v>
      </c>
      <c r="I120" s="752">
        <f t="shared" ref="I120:J120" si="68">SUM(I118:I119)</f>
        <v>0</v>
      </c>
      <c r="J120" s="752">
        <f t="shared" si="68"/>
        <v>0</v>
      </c>
      <c r="K120" s="754">
        <f t="shared" si="67"/>
        <v>8165446</v>
      </c>
      <c r="L120" s="751">
        <f t="shared" si="67"/>
        <v>8165446</v>
      </c>
      <c r="M120" s="752">
        <f t="shared" si="67"/>
        <v>0</v>
      </c>
      <c r="N120" s="752">
        <f t="shared" si="67"/>
        <v>0</v>
      </c>
      <c r="O120" s="752">
        <f t="shared" si="67"/>
        <v>0</v>
      </c>
      <c r="P120" s="752">
        <f t="shared" si="67"/>
        <v>0</v>
      </c>
      <c r="Q120" s="752">
        <f t="shared" si="67"/>
        <v>0</v>
      </c>
      <c r="R120" s="752">
        <f t="shared" ref="R120:S120" si="69">SUM(R118:R119)</f>
        <v>0</v>
      </c>
      <c r="S120" s="752">
        <f t="shared" si="69"/>
        <v>0</v>
      </c>
      <c r="T120" s="754">
        <f t="shared" si="67"/>
        <v>8165446</v>
      </c>
    </row>
    <row r="121" spans="1:21" ht="17" thickTop="1">
      <c r="A121" s="755" t="s">
        <v>1527</v>
      </c>
      <c r="B121" s="756"/>
      <c r="C121" s="734"/>
      <c r="D121" s="746"/>
      <c r="E121" s="746"/>
      <c r="F121" s="746"/>
      <c r="G121" s="746"/>
      <c r="H121" s="746"/>
      <c r="I121" s="746"/>
      <c r="J121" s="746"/>
      <c r="K121" s="747"/>
      <c r="L121" s="734"/>
      <c r="M121" s="746"/>
      <c r="N121" s="746"/>
      <c r="O121" s="746"/>
      <c r="P121" s="746"/>
      <c r="Q121" s="746"/>
      <c r="R121" s="746"/>
      <c r="S121" s="746"/>
      <c r="T121" s="747"/>
    </row>
    <row r="122" spans="1:21">
      <c r="A122" s="269" t="s">
        <v>1528</v>
      </c>
      <c r="B122" s="745" t="s">
        <v>460</v>
      </c>
      <c r="C122" s="734">
        <f>IFERROR((VLOOKUP(A122,'TB CY'!A:G,6,)+VLOOKUP(A122,'TB CY'!A:G,7,0)),0)</f>
        <v>40000</v>
      </c>
      <c r="D122" s="746"/>
      <c r="E122" s="731">
        <f>IFERROR(VLOOKUP(A122,'TB Other'!A:M,8,0),0)+IFERROR(VLOOKUP(A122,'TB Other'!A:M,9,0),0)</f>
        <v>0</v>
      </c>
      <c r="F122" s="746"/>
      <c r="G122" s="731">
        <f>IFERROR(VLOOKUP(A122,'TB Other'!A:M,4,0),0)+IFERROR(VLOOKUP(A122,'TB Other'!A:M,5,0),0)</f>
        <v>0</v>
      </c>
      <c r="H122" s="746"/>
      <c r="I122" s="746">
        <f>IFERROR(VLOOKUP(A122,'TB Other'!A:M,13,0),0)+IFERROR(VLOOKUP(A122,'TB Other'!A:M,12,0),0)</f>
        <v>0</v>
      </c>
      <c r="J122" s="746"/>
      <c r="K122" s="747">
        <f>SUM(C122:J122)</f>
        <v>40000</v>
      </c>
      <c r="L122" s="734">
        <f>IFERROR(VLOOKUP(A122,'TB PY'!A:G,7,),0)+IFERROR(VLOOKUP(A122,'TB PY'!A:G,6,),0)</f>
        <v>0</v>
      </c>
      <c r="M122" s="746"/>
      <c r="N122" s="746"/>
      <c r="O122" s="746"/>
      <c r="P122" s="746"/>
      <c r="Q122" s="746"/>
      <c r="R122" s="746"/>
      <c r="S122" s="746"/>
      <c r="T122" s="747">
        <f>SUM(L122:S122)</f>
        <v>0</v>
      </c>
    </row>
    <row r="123" spans="1:21" ht="16" thickBot="1">
      <c r="A123" s="269" t="s">
        <v>1655</v>
      </c>
      <c r="B123" s="745"/>
      <c r="C123" s="734"/>
      <c r="D123" s="746"/>
      <c r="E123" s="746"/>
      <c r="F123" s="746"/>
      <c r="G123" s="746"/>
      <c r="H123" s="746"/>
      <c r="I123" s="746"/>
      <c r="J123" s="746"/>
      <c r="K123" s="747"/>
      <c r="L123" s="734"/>
      <c r="M123" s="746"/>
      <c r="N123" s="746"/>
      <c r="O123" s="746"/>
      <c r="P123" s="746"/>
      <c r="Q123" s="746"/>
      <c r="R123" s="746"/>
      <c r="S123" s="746"/>
      <c r="T123" s="747"/>
    </row>
    <row r="124" spans="1:21" ht="17" thickTop="1" thickBot="1">
      <c r="A124" s="749"/>
      <c r="B124" s="750" t="s">
        <v>51</v>
      </c>
      <c r="C124" s="751">
        <f t="shared" ref="C124:T124" si="70">SUM(C122:C123)</f>
        <v>40000</v>
      </c>
      <c r="D124" s="752">
        <f t="shared" si="70"/>
        <v>0</v>
      </c>
      <c r="E124" s="752">
        <f t="shared" si="70"/>
        <v>0</v>
      </c>
      <c r="F124" s="752">
        <f t="shared" si="70"/>
        <v>0</v>
      </c>
      <c r="G124" s="752">
        <f t="shared" si="70"/>
        <v>0</v>
      </c>
      <c r="H124" s="752">
        <f t="shared" si="70"/>
        <v>0</v>
      </c>
      <c r="I124" s="752">
        <f t="shared" ref="I124:J124" si="71">SUM(I122:I123)</f>
        <v>0</v>
      </c>
      <c r="J124" s="752">
        <f t="shared" si="71"/>
        <v>0</v>
      </c>
      <c r="K124" s="754">
        <f t="shared" si="70"/>
        <v>40000</v>
      </c>
      <c r="L124" s="751">
        <f t="shared" si="70"/>
        <v>0</v>
      </c>
      <c r="M124" s="752">
        <f t="shared" si="70"/>
        <v>0</v>
      </c>
      <c r="N124" s="752">
        <f t="shared" si="70"/>
        <v>0</v>
      </c>
      <c r="O124" s="752">
        <f t="shared" si="70"/>
        <v>0</v>
      </c>
      <c r="P124" s="752">
        <f t="shared" si="70"/>
        <v>0</v>
      </c>
      <c r="Q124" s="752">
        <f t="shared" si="70"/>
        <v>0</v>
      </c>
      <c r="R124" s="752">
        <f t="shared" ref="R124:S124" si="72">SUM(R122:R123)</f>
        <v>0</v>
      </c>
      <c r="S124" s="752">
        <f t="shared" si="72"/>
        <v>0</v>
      </c>
      <c r="T124" s="754">
        <f t="shared" si="70"/>
        <v>0</v>
      </c>
    </row>
    <row r="125" spans="1:21" ht="33" thickTop="1">
      <c r="A125" s="755" t="s">
        <v>376</v>
      </c>
      <c r="B125" s="756"/>
      <c r="C125" s="734"/>
      <c r="D125" s="746"/>
      <c r="E125" s="746"/>
      <c r="F125" s="746"/>
      <c r="G125" s="746"/>
      <c r="H125" s="746"/>
      <c r="I125" s="746"/>
      <c r="J125" s="746"/>
      <c r="K125" s="747"/>
      <c r="L125" s="734"/>
      <c r="M125" s="746"/>
      <c r="N125" s="746"/>
      <c r="O125" s="746"/>
      <c r="P125" s="746"/>
      <c r="Q125" s="746"/>
      <c r="R125" s="746"/>
      <c r="S125" s="746"/>
      <c r="T125" s="747"/>
    </row>
    <row r="126" spans="1:21">
      <c r="A126" s="269" t="s">
        <v>154</v>
      </c>
      <c r="B126" s="745" t="s">
        <v>460</v>
      </c>
      <c r="C126" s="734">
        <f>IFERROR((VLOOKUP(A126,'TB CY'!A:G,6,)+VLOOKUP(A126,'TB CY'!A:G,7,0)),0)</f>
        <v>100000</v>
      </c>
      <c r="D126" s="746"/>
      <c r="E126" s="731">
        <f>IFERROR(VLOOKUP(A126,'TB Other'!A:M,8,0),0)+IFERROR(VLOOKUP(A126,'TB Other'!A:M,9,0),0)</f>
        <v>0</v>
      </c>
      <c r="F126" s="746"/>
      <c r="G126" s="731">
        <f>IFERROR(VLOOKUP(A126,'TB Other'!A:M,4,0),0)+IFERROR(VLOOKUP(A126,'TB Other'!A:M,5,0),0)</f>
        <v>0</v>
      </c>
      <c r="H126" s="746"/>
      <c r="I126" s="746">
        <f>IFERROR(VLOOKUP(A126,'TB Other'!A:M,13,0),0)+IFERROR(VLOOKUP(A126,'TB Other'!A:M,12,0),0)</f>
        <v>0</v>
      </c>
      <c r="J126" s="746"/>
      <c r="K126" s="747">
        <f>SUM(C126:J126)</f>
        <v>100000</v>
      </c>
      <c r="L126" s="734">
        <f>VLOOKUP(A126,'TB PY'!A:G,7,)+VLOOKUP(A126,'TB PY'!A:G,6,)</f>
        <v>100000</v>
      </c>
      <c r="M126" s="746"/>
      <c r="N126" s="746"/>
      <c r="O126" s="746"/>
      <c r="P126" s="746"/>
      <c r="Q126" s="746"/>
      <c r="R126" s="746"/>
      <c r="S126" s="746"/>
      <c r="T126" s="747">
        <f>SUM(L126:S126)</f>
        <v>100000</v>
      </c>
    </row>
    <row r="127" spans="1:21" ht="16" thickBot="1">
      <c r="A127" s="269"/>
      <c r="B127" s="745"/>
      <c r="C127" s="734"/>
      <c r="D127" s="746"/>
      <c r="E127" s="746"/>
      <c r="F127" s="746"/>
      <c r="G127" s="746"/>
      <c r="H127" s="746"/>
      <c r="I127" s="746"/>
      <c r="J127" s="746"/>
      <c r="K127" s="747"/>
      <c r="L127" s="734"/>
      <c r="M127" s="746"/>
      <c r="N127" s="746"/>
      <c r="O127" s="746"/>
      <c r="P127" s="746"/>
      <c r="Q127" s="746"/>
      <c r="R127" s="746"/>
      <c r="S127" s="746"/>
      <c r="T127" s="747"/>
    </row>
    <row r="128" spans="1:21" ht="17" thickTop="1" thickBot="1">
      <c r="A128" s="749"/>
      <c r="B128" s="750" t="s">
        <v>51</v>
      </c>
      <c r="C128" s="751">
        <f t="shared" ref="C128:T128" si="73">SUM(C126:C127)</f>
        <v>100000</v>
      </c>
      <c r="D128" s="752">
        <f t="shared" si="73"/>
        <v>0</v>
      </c>
      <c r="E128" s="752">
        <f t="shared" si="73"/>
        <v>0</v>
      </c>
      <c r="F128" s="752">
        <f t="shared" si="73"/>
        <v>0</v>
      </c>
      <c r="G128" s="752">
        <f t="shared" si="73"/>
        <v>0</v>
      </c>
      <c r="H128" s="752">
        <f t="shared" si="73"/>
        <v>0</v>
      </c>
      <c r="I128" s="752">
        <f t="shared" ref="I128:J128" si="74">SUM(I126:I127)</f>
        <v>0</v>
      </c>
      <c r="J128" s="752">
        <f t="shared" si="74"/>
        <v>0</v>
      </c>
      <c r="K128" s="753">
        <f t="shared" si="73"/>
        <v>100000</v>
      </c>
      <c r="L128" s="751">
        <f t="shared" si="73"/>
        <v>100000</v>
      </c>
      <c r="M128" s="752">
        <f t="shared" si="73"/>
        <v>0</v>
      </c>
      <c r="N128" s="752">
        <f t="shared" si="73"/>
        <v>0</v>
      </c>
      <c r="O128" s="752">
        <f t="shared" si="73"/>
        <v>0</v>
      </c>
      <c r="P128" s="752">
        <f t="shared" si="73"/>
        <v>0</v>
      </c>
      <c r="Q128" s="752">
        <f t="shared" si="73"/>
        <v>0</v>
      </c>
      <c r="R128" s="752">
        <f t="shared" ref="R128:S128" si="75">SUM(R126:R127)</f>
        <v>0</v>
      </c>
      <c r="S128" s="752">
        <f t="shared" si="75"/>
        <v>0</v>
      </c>
      <c r="T128" s="754">
        <f t="shared" si="73"/>
        <v>100000</v>
      </c>
    </row>
    <row r="129" spans="1:20" ht="16" thickTop="1">
      <c r="A129" s="269"/>
      <c r="B129" s="745"/>
      <c r="C129" s="734"/>
      <c r="D129" s="746"/>
      <c r="E129" s="746"/>
      <c r="F129" s="746"/>
      <c r="G129" s="746"/>
      <c r="H129" s="746"/>
      <c r="I129" s="746"/>
      <c r="J129" s="746"/>
      <c r="K129" s="747"/>
      <c r="L129" s="734"/>
      <c r="M129" s="746"/>
      <c r="N129" s="746"/>
      <c r="O129" s="746"/>
      <c r="P129" s="746"/>
      <c r="Q129" s="746"/>
      <c r="R129" s="746"/>
      <c r="S129" s="746"/>
      <c r="T129" s="747"/>
    </row>
    <row r="130" spans="1:20" ht="16">
      <c r="A130" s="755" t="s">
        <v>555</v>
      </c>
      <c r="B130" s="756"/>
      <c r="C130" s="734"/>
      <c r="D130" s="746"/>
      <c r="E130" s="746"/>
      <c r="F130" s="746"/>
      <c r="G130" s="746"/>
      <c r="H130" s="746"/>
      <c r="I130" s="746"/>
      <c r="J130" s="746"/>
      <c r="K130" s="747"/>
      <c r="L130" s="734"/>
      <c r="M130" s="746"/>
      <c r="N130" s="746"/>
      <c r="O130" s="746"/>
      <c r="P130" s="746"/>
      <c r="Q130" s="746"/>
      <c r="R130" s="746"/>
      <c r="S130" s="746"/>
      <c r="T130" s="747"/>
    </row>
    <row r="131" spans="1:20">
      <c r="A131" s="269" t="s">
        <v>142</v>
      </c>
      <c r="B131" s="745" t="s">
        <v>460</v>
      </c>
      <c r="C131" s="734">
        <f>IFERROR((VLOOKUP(A131,'TB CY'!A:G,6,)+VLOOKUP(A131,'TB CY'!A:G,7,0)),0)</f>
        <v>25000</v>
      </c>
      <c r="D131" s="746"/>
      <c r="E131" s="731">
        <f>IFERROR(VLOOKUP(A131,'TB Other'!A:M,8,0),0)+IFERROR(VLOOKUP(A131,'TB Other'!A:M,9,0),0)</f>
        <v>0</v>
      </c>
      <c r="F131" s="746"/>
      <c r="G131" s="731">
        <f>IFERROR(VLOOKUP(A131,'TB Other'!A:M,4,0),0)+IFERROR(VLOOKUP(A131,'TB Other'!A:M,5,0),0)</f>
        <v>0</v>
      </c>
      <c r="H131" s="746"/>
      <c r="I131" s="746">
        <f>IFERROR(VLOOKUP(A131,'TB Other'!A:M,13,0),0)+IFERROR(VLOOKUP(A131,'TB Other'!A:M,12,0),0)</f>
        <v>0</v>
      </c>
      <c r="J131" s="746"/>
      <c r="K131" s="747">
        <f>SUM(C131:J131)</f>
        <v>25000</v>
      </c>
      <c r="L131" s="734">
        <f>VLOOKUP(A131,'TB PY'!A:G,7,)+VLOOKUP(A131,'TB PY'!A:G,6,)</f>
        <v>25000</v>
      </c>
      <c r="M131" s="746"/>
      <c r="N131" s="746"/>
      <c r="O131" s="746"/>
      <c r="P131" s="746"/>
      <c r="Q131" s="746"/>
      <c r="R131" s="746"/>
      <c r="S131" s="746"/>
      <c r="T131" s="747">
        <f>SUM(L131:S131)</f>
        <v>25000</v>
      </c>
    </row>
    <row r="132" spans="1:20" ht="16" thickBot="1">
      <c r="A132" s="269" t="s">
        <v>1614</v>
      </c>
      <c r="B132" s="745" t="s">
        <v>461</v>
      </c>
      <c r="C132" s="734"/>
      <c r="D132" s="746"/>
      <c r="E132" s="746"/>
      <c r="F132" s="746">
        <f>-F136</f>
        <v>4044</v>
      </c>
      <c r="G132" s="746"/>
      <c r="H132" s="746"/>
      <c r="I132" s="746"/>
      <c r="J132" s="746"/>
      <c r="K132" s="747">
        <f>SUM(C132:J132)</f>
        <v>4044</v>
      </c>
      <c r="L132" s="734"/>
      <c r="M132" s="746"/>
      <c r="N132" s="746"/>
      <c r="O132" s="746"/>
      <c r="P132" s="746"/>
      <c r="Q132" s="746"/>
      <c r="R132" s="746"/>
      <c r="S132" s="746"/>
      <c r="T132" s="747"/>
    </row>
    <row r="133" spans="1:20" ht="17" thickTop="1" thickBot="1">
      <c r="A133" s="749"/>
      <c r="B133" s="750" t="s">
        <v>51</v>
      </c>
      <c r="C133" s="751">
        <f t="shared" ref="C133:T133" si="76">SUM(C131:C132)</f>
        <v>25000</v>
      </c>
      <c r="D133" s="752">
        <f t="shared" si="76"/>
        <v>0</v>
      </c>
      <c r="E133" s="752">
        <f t="shared" si="76"/>
        <v>0</v>
      </c>
      <c r="F133" s="752">
        <f t="shared" si="76"/>
        <v>4044</v>
      </c>
      <c r="G133" s="752">
        <f t="shared" si="76"/>
        <v>0</v>
      </c>
      <c r="H133" s="752">
        <f t="shared" si="76"/>
        <v>0</v>
      </c>
      <c r="I133" s="752">
        <f t="shared" ref="I133:J133" si="77">SUM(I131:I132)</f>
        <v>0</v>
      </c>
      <c r="J133" s="752">
        <f t="shared" si="77"/>
        <v>0</v>
      </c>
      <c r="K133" s="753">
        <f t="shared" si="76"/>
        <v>29044</v>
      </c>
      <c r="L133" s="751">
        <f t="shared" si="76"/>
        <v>25000</v>
      </c>
      <c r="M133" s="752">
        <f t="shared" si="76"/>
        <v>0</v>
      </c>
      <c r="N133" s="752">
        <f t="shared" si="76"/>
        <v>0</v>
      </c>
      <c r="O133" s="752">
        <f t="shared" si="76"/>
        <v>0</v>
      </c>
      <c r="P133" s="752">
        <f t="shared" si="76"/>
        <v>0</v>
      </c>
      <c r="Q133" s="752">
        <f t="shared" si="76"/>
        <v>0</v>
      </c>
      <c r="R133" s="752">
        <f t="shared" ref="R133:S133" si="78">SUM(R131:R132)</f>
        <v>0</v>
      </c>
      <c r="S133" s="752">
        <f t="shared" si="78"/>
        <v>0</v>
      </c>
      <c r="T133" s="754">
        <f t="shared" si="76"/>
        <v>25000</v>
      </c>
    </row>
    <row r="134" spans="1:20" ht="17" thickTop="1">
      <c r="A134" s="755" t="s">
        <v>484</v>
      </c>
      <c r="B134" s="756"/>
      <c r="C134" s="734"/>
      <c r="D134" s="746"/>
      <c r="E134" s="746"/>
      <c r="F134" s="746"/>
      <c r="G134" s="746"/>
      <c r="H134" s="746"/>
      <c r="I134" s="746"/>
      <c r="J134" s="746"/>
      <c r="K134" s="747"/>
      <c r="L134" s="734"/>
      <c r="M134" s="746"/>
      <c r="N134" s="746"/>
      <c r="O134" s="746"/>
      <c r="P134" s="746"/>
      <c r="Q134" s="746"/>
      <c r="R134" s="746"/>
      <c r="S134" s="746"/>
      <c r="T134" s="747"/>
    </row>
    <row r="135" spans="1:20">
      <c r="A135" s="269" t="s">
        <v>1241</v>
      </c>
      <c r="B135" s="745" t="s">
        <v>1613</v>
      </c>
      <c r="C135" s="734"/>
      <c r="D135" s="746"/>
      <c r="E135" s="746">
        <v>130350</v>
      </c>
      <c r="F135" s="746"/>
      <c r="G135" s="746"/>
      <c r="H135" s="746"/>
      <c r="I135" s="746"/>
      <c r="J135" s="746"/>
      <c r="K135" s="747">
        <f>SUBTOTAL(9,C135:J135)</f>
        <v>130350</v>
      </c>
      <c r="L135" s="734"/>
      <c r="M135" s="746"/>
      <c r="N135" s="746"/>
      <c r="O135" s="746"/>
      <c r="P135" s="746"/>
      <c r="Q135" s="746"/>
      <c r="R135" s="746"/>
      <c r="S135" s="746"/>
      <c r="T135" s="747">
        <f>SUBTOTAL(9,L135:S135)</f>
        <v>0</v>
      </c>
    </row>
    <row r="136" spans="1:20" ht="16" thickBot="1">
      <c r="A136" s="269" t="s">
        <v>138</v>
      </c>
      <c r="B136" s="745" t="s">
        <v>460</v>
      </c>
      <c r="C136" s="734">
        <f>IFERROR((VLOOKUP(A136,'TB CY'!A:G,6,)+VLOOKUP(A136,'TB CY'!A:G,7,0)),0)</f>
        <v>136383.46</v>
      </c>
      <c r="D136" s="746">
        <f>'SDS JBA'!C86</f>
        <v>13234</v>
      </c>
      <c r="E136" s="731">
        <f>IFERROR(VLOOKUP(A136,'TB Other'!A:M,8,0),0)+IFERROR(VLOOKUP(A136,'TB Other'!A:M,9,0),0)</f>
        <v>0</v>
      </c>
      <c r="F136" s="746">
        <v>-4044</v>
      </c>
      <c r="G136" s="731">
        <f>IFERROR(VLOOKUP(A136,'TB Other'!A:M,4,0),0)+IFERROR(VLOOKUP(A136,'TB Other'!A:M,5,0),0)</f>
        <v>0</v>
      </c>
      <c r="H136" s="746"/>
      <c r="I136" s="746">
        <f>IFERROR(VLOOKUP(A136,'TB Other'!A:M,13,0),0)+IFERROR(VLOOKUP(A136,'TB Other'!A:M,12,0),0)</f>
        <v>0</v>
      </c>
      <c r="J136" s="746"/>
      <c r="K136" s="747">
        <f>SUM(C136:J136)</f>
        <v>145573.46</v>
      </c>
      <c r="L136" s="734">
        <f>VLOOKUP(A136,'TB PY'!A:G,7,)+VLOOKUP(A136,'TB PY'!A:G,6,)</f>
        <v>110899.46</v>
      </c>
      <c r="M136" s="746">
        <v>21440</v>
      </c>
      <c r="N136" s="746"/>
      <c r="O136" s="746"/>
      <c r="P136" s="746"/>
      <c r="Q136" s="746"/>
      <c r="R136" s="746"/>
      <c r="S136" s="746"/>
      <c r="T136" s="747">
        <f>SUM(L136:S136)</f>
        <v>132339.46000000002</v>
      </c>
    </row>
    <row r="137" spans="1:20" ht="17" thickTop="1" thickBot="1">
      <c r="A137" s="749"/>
      <c r="B137" s="750" t="s">
        <v>51</v>
      </c>
      <c r="C137" s="751">
        <f t="shared" ref="C137:T137" si="79">SUM(C135:C136)</f>
        <v>136383.46</v>
      </c>
      <c r="D137" s="752">
        <f t="shared" si="79"/>
        <v>13234</v>
      </c>
      <c r="E137" s="752">
        <f t="shared" si="79"/>
        <v>130350</v>
      </c>
      <c r="F137" s="752">
        <f t="shared" si="79"/>
        <v>-4044</v>
      </c>
      <c r="G137" s="752">
        <f t="shared" si="79"/>
        <v>0</v>
      </c>
      <c r="H137" s="752">
        <f t="shared" si="79"/>
        <v>0</v>
      </c>
      <c r="I137" s="752">
        <f t="shared" ref="I137:J137" si="80">SUM(I135:I136)</f>
        <v>0</v>
      </c>
      <c r="J137" s="752">
        <f t="shared" si="80"/>
        <v>0</v>
      </c>
      <c r="K137" s="753">
        <f t="shared" si="79"/>
        <v>275923.45999999996</v>
      </c>
      <c r="L137" s="751">
        <f t="shared" si="79"/>
        <v>110899.46</v>
      </c>
      <c r="M137" s="752">
        <f t="shared" si="79"/>
        <v>21440</v>
      </c>
      <c r="N137" s="752">
        <f t="shared" si="79"/>
        <v>0</v>
      </c>
      <c r="O137" s="752">
        <f t="shared" si="79"/>
        <v>0</v>
      </c>
      <c r="P137" s="752">
        <f t="shared" si="79"/>
        <v>0</v>
      </c>
      <c r="Q137" s="752">
        <f t="shared" si="79"/>
        <v>0</v>
      </c>
      <c r="R137" s="752">
        <f t="shared" ref="R137:S137" si="81">SUM(R135:R136)</f>
        <v>0</v>
      </c>
      <c r="S137" s="752">
        <f t="shared" si="81"/>
        <v>0</v>
      </c>
      <c r="T137" s="754">
        <f t="shared" si="79"/>
        <v>132339.46000000002</v>
      </c>
    </row>
    <row r="138" spans="1:20" ht="33" thickTop="1">
      <c r="A138" s="755" t="s">
        <v>232</v>
      </c>
      <c r="B138" s="756"/>
      <c r="C138" s="734"/>
      <c r="D138" s="746"/>
      <c r="E138" s="746"/>
      <c r="F138" s="746"/>
      <c r="G138" s="746"/>
      <c r="H138" s="746"/>
      <c r="I138" s="746"/>
      <c r="J138" s="746"/>
      <c r="K138" s="747"/>
      <c r="L138" s="734"/>
      <c r="M138" s="746"/>
      <c r="N138" s="746"/>
      <c r="O138" s="746"/>
      <c r="P138" s="746"/>
      <c r="Q138" s="746"/>
      <c r="R138" s="746"/>
      <c r="S138" s="746"/>
      <c r="T138" s="747"/>
    </row>
    <row r="139" spans="1:20">
      <c r="A139" s="269" t="s">
        <v>549</v>
      </c>
      <c r="B139" s="745" t="s">
        <v>460</v>
      </c>
      <c r="C139" s="734">
        <f>IFERROR((VLOOKUP(A139,'TB CY'!A:G,6,)+VLOOKUP(A139,'TB CY'!A:G,7,0)),0)</f>
        <v>127251.53</v>
      </c>
      <c r="D139" s="746"/>
      <c r="E139" s="731">
        <f>IFERROR(VLOOKUP(A139,'TB Other'!A:M,8,0),0)+IFERROR(VLOOKUP(A139,'TB Other'!A:M,9,0),0)</f>
        <v>0</v>
      </c>
      <c r="F139" s="746"/>
      <c r="G139" s="731">
        <f>IFERROR(VLOOKUP(A139,'TB Other'!A:M,4,0),0)+IFERROR(VLOOKUP(A139,'TB Other'!A:M,5,0),0)</f>
        <v>0</v>
      </c>
      <c r="H139" s="746"/>
      <c r="I139" s="746">
        <f>IFERROR(VLOOKUP(A139,'TB Other'!A:M,13,0),0)+IFERROR(VLOOKUP(A139,'TB Other'!A:M,12,0),0)</f>
        <v>0</v>
      </c>
      <c r="J139" s="746"/>
      <c r="K139" s="747">
        <f>SUM(C139:J139)</f>
        <v>127251.53</v>
      </c>
      <c r="L139" s="734">
        <f>VLOOKUP(A139,'TB PY'!A:G,7,)+VLOOKUP(A139,'TB PY'!A:G,6,)</f>
        <v>47081.19</v>
      </c>
      <c r="M139" s="746"/>
      <c r="N139" s="746"/>
      <c r="O139" s="746"/>
      <c r="P139" s="746"/>
      <c r="Q139" s="746"/>
      <c r="R139" s="746"/>
      <c r="S139" s="746"/>
      <c r="T139" s="747">
        <f>SUM(L139:S139)</f>
        <v>47081.19</v>
      </c>
    </row>
    <row r="140" spans="1:20" ht="16" thickBot="1">
      <c r="A140" s="269"/>
      <c r="B140" s="745"/>
      <c r="C140" s="734"/>
      <c r="D140" s="746"/>
      <c r="E140" s="746"/>
      <c r="F140" s="746"/>
      <c r="G140" s="746"/>
      <c r="H140" s="746"/>
      <c r="I140" s="746"/>
      <c r="J140" s="746"/>
      <c r="K140" s="747"/>
      <c r="L140" s="734"/>
      <c r="M140" s="746"/>
      <c r="N140" s="746"/>
      <c r="O140" s="746"/>
      <c r="P140" s="746"/>
      <c r="Q140" s="746"/>
      <c r="R140" s="746"/>
      <c r="S140" s="746"/>
      <c r="T140" s="747"/>
    </row>
    <row r="141" spans="1:20" ht="17" thickTop="1" thickBot="1">
      <c r="A141" s="749"/>
      <c r="B141" s="750" t="s">
        <v>51</v>
      </c>
      <c r="C141" s="751">
        <f t="shared" ref="C141:T141" si="82">SUM(C139:C140)</f>
        <v>127251.53</v>
      </c>
      <c r="D141" s="752">
        <f t="shared" si="82"/>
        <v>0</v>
      </c>
      <c r="E141" s="752">
        <f t="shared" si="82"/>
        <v>0</v>
      </c>
      <c r="F141" s="752">
        <f t="shared" si="82"/>
        <v>0</v>
      </c>
      <c r="G141" s="752">
        <f t="shared" si="82"/>
        <v>0</v>
      </c>
      <c r="H141" s="752">
        <f t="shared" si="82"/>
        <v>0</v>
      </c>
      <c r="I141" s="752">
        <f t="shared" ref="I141:J141" si="83">SUM(I139:I140)</f>
        <v>0</v>
      </c>
      <c r="J141" s="752">
        <f t="shared" si="83"/>
        <v>0</v>
      </c>
      <c r="K141" s="753">
        <f t="shared" si="82"/>
        <v>127251.53</v>
      </c>
      <c r="L141" s="751">
        <f t="shared" si="82"/>
        <v>47081.19</v>
      </c>
      <c r="M141" s="752">
        <f t="shared" si="82"/>
        <v>0</v>
      </c>
      <c r="N141" s="752">
        <f t="shared" si="82"/>
        <v>0</v>
      </c>
      <c r="O141" s="752">
        <f t="shared" si="82"/>
        <v>0</v>
      </c>
      <c r="P141" s="752">
        <f t="shared" si="82"/>
        <v>0</v>
      </c>
      <c r="Q141" s="752">
        <f t="shared" si="82"/>
        <v>0</v>
      </c>
      <c r="R141" s="752">
        <f t="shared" ref="R141:S141" si="84">SUM(R139:R140)</f>
        <v>0</v>
      </c>
      <c r="S141" s="752">
        <f t="shared" si="84"/>
        <v>0</v>
      </c>
      <c r="T141" s="754">
        <f t="shared" si="82"/>
        <v>47081.19</v>
      </c>
    </row>
    <row r="142" spans="1:20" ht="17" thickTop="1">
      <c r="A142" s="755" t="s">
        <v>345</v>
      </c>
      <c r="B142" s="756"/>
      <c r="C142" s="734"/>
      <c r="D142" s="746"/>
      <c r="E142" s="746"/>
      <c r="F142" s="746"/>
      <c r="G142" s="746"/>
      <c r="H142" s="746"/>
      <c r="I142" s="746"/>
      <c r="J142" s="746"/>
      <c r="K142" s="747"/>
      <c r="L142" s="734"/>
      <c r="M142" s="746"/>
      <c r="N142" s="746"/>
      <c r="O142" s="746"/>
      <c r="P142" s="746"/>
      <c r="Q142" s="746"/>
      <c r="R142" s="746"/>
      <c r="S142" s="746"/>
      <c r="T142" s="747"/>
    </row>
    <row r="143" spans="1:20">
      <c r="A143" s="269" t="s">
        <v>1241</v>
      </c>
      <c r="B143" s="745" t="s">
        <v>1613</v>
      </c>
      <c r="C143" s="734"/>
      <c r="D143" s="746">
        <f>-'SDS JBA'!K99</f>
        <v>-14557</v>
      </c>
      <c r="E143" s="746"/>
      <c r="F143" s="746"/>
      <c r="G143" s="746"/>
      <c r="H143" s="746"/>
      <c r="I143" s="746"/>
      <c r="J143" s="746"/>
      <c r="K143" s="747">
        <f>SUM(C143:J143)</f>
        <v>-14557</v>
      </c>
      <c r="L143" s="734"/>
      <c r="M143" s="746"/>
      <c r="N143" s="746"/>
      <c r="O143" s="746"/>
      <c r="P143" s="746"/>
      <c r="Q143" s="746"/>
      <c r="R143" s="746"/>
      <c r="S143" s="746"/>
      <c r="T143" s="747">
        <f t="shared" ref="T143" si="85">SUM(L143:Q143)</f>
        <v>0</v>
      </c>
    </row>
    <row r="144" spans="1:20" ht="16" thickBot="1">
      <c r="A144" s="269" t="s">
        <v>1529</v>
      </c>
      <c r="B144" s="745" t="s">
        <v>460</v>
      </c>
      <c r="C144" s="734">
        <f>IFERROR((VLOOKUP(A144,'TB CY'!A:G,6,)+VLOOKUP(A144,'TB CY'!A:G,7,0)),0)</f>
        <v>41320</v>
      </c>
      <c r="D144" s="746">
        <f>-'PL Grouping'!D167</f>
        <v>-14412.333333333334</v>
      </c>
      <c r="E144" s="731">
        <f>IFERROR(VLOOKUP(A144,'TB Other'!A:M,8,0),0)+IFERROR(VLOOKUP(A144,'TB Other'!A:M,9,0),0)</f>
        <v>0</v>
      </c>
      <c r="F144" s="746">
        <f>-F200</f>
        <v>0</v>
      </c>
      <c r="G144" s="731">
        <f>IFERROR(VLOOKUP(A144,'TB Other'!A:M,4,0),0)+IFERROR(VLOOKUP(A144,'TB Other'!A:M,5,0),0)</f>
        <v>0</v>
      </c>
      <c r="H144" s="746"/>
      <c r="I144" s="746">
        <f>IFERROR(VLOOKUP(A144,'TB Other'!A:M,13,0),0)+IFERROR(VLOOKUP(A144,'TB Other'!A:M,12,0),0)</f>
        <v>0</v>
      </c>
      <c r="J144" s="746"/>
      <c r="K144" s="747">
        <f>SUM(C144:J144)</f>
        <v>26907.666666666664</v>
      </c>
      <c r="L144" s="734">
        <v>62760</v>
      </c>
      <c r="M144" s="746">
        <v>-35672.333333333336</v>
      </c>
      <c r="N144" s="746"/>
      <c r="O144" s="746"/>
      <c r="P144" s="746"/>
      <c r="Q144" s="746"/>
      <c r="R144" s="746"/>
      <c r="S144" s="746"/>
      <c r="T144" s="747">
        <f>SUM(L144:S144)</f>
        <v>27087.666666666664</v>
      </c>
    </row>
    <row r="145" spans="1:20" ht="17" thickTop="1" thickBot="1">
      <c r="A145" s="749"/>
      <c r="B145" s="750" t="s">
        <v>51</v>
      </c>
      <c r="C145" s="751">
        <f t="shared" ref="C145:T145" si="86">SUM(C143:C144)</f>
        <v>41320</v>
      </c>
      <c r="D145" s="752">
        <f t="shared" si="86"/>
        <v>-28969.333333333336</v>
      </c>
      <c r="E145" s="752">
        <f t="shared" si="86"/>
        <v>0</v>
      </c>
      <c r="F145" s="752">
        <f t="shared" si="86"/>
        <v>0</v>
      </c>
      <c r="G145" s="752">
        <f t="shared" si="86"/>
        <v>0</v>
      </c>
      <c r="H145" s="752">
        <f t="shared" si="86"/>
        <v>0</v>
      </c>
      <c r="I145" s="752">
        <f t="shared" ref="I145:J145" si="87">SUM(I143:I144)</f>
        <v>0</v>
      </c>
      <c r="J145" s="752">
        <f t="shared" si="87"/>
        <v>0</v>
      </c>
      <c r="K145" s="753">
        <f t="shared" si="86"/>
        <v>12350.666666666664</v>
      </c>
      <c r="L145" s="751">
        <f t="shared" si="86"/>
        <v>62760</v>
      </c>
      <c r="M145" s="752">
        <f t="shared" si="86"/>
        <v>-35672.333333333336</v>
      </c>
      <c r="N145" s="752">
        <f t="shared" si="86"/>
        <v>0</v>
      </c>
      <c r="O145" s="752">
        <f t="shared" si="86"/>
        <v>0</v>
      </c>
      <c r="P145" s="752">
        <f t="shared" si="86"/>
        <v>0</v>
      </c>
      <c r="Q145" s="752">
        <f t="shared" si="86"/>
        <v>0</v>
      </c>
      <c r="R145" s="752">
        <f t="shared" ref="R145:S145" si="88">SUM(R143:R144)</f>
        <v>0</v>
      </c>
      <c r="S145" s="752">
        <f t="shared" si="88"/>
        <v>0</v>
      </c>
      <c r="T145" s="754">
        <f t="shared" si="86"/>
        <v>27087.666666666664</v>
      </c>
    </row>
    <row r="146" spans="1:20" ht="17" thickTop="1">
      <c r="A146" s="755" t="s">
        <v>135</v>
      </c>
      <c r="B146" s="756"/>
      <c r="C146" s="734"/>
      <c r="D146" s="746"/>
      <c r="E146" s="746"/>
      <c r="F146" s="746"/>
      <c r="G146" s="746"/>
      <c r="H146" s="746"/>
      <c r="I146" s="746"/>
      <c r="J146" s="746"/>
      <c r="K146" s="747"/>
      <c r="L146" s="734"/>
      <c r="M146" s="746"/>
      <c r="N146" s="746"/>
      <c r="O146" s="746"/>
      <c r="P146" s="746"/>
      <c r="Q146" s="746"/>
      <c r="R146" s="746"/>
      <c r="S146" s="746"/>
      <c r="T146" s="747"/>
    </row>
    <row r="147" spans="1:20">
      <c r="A147" s="269" t="s">
        <v>1159</v>
      </c>
      <c r="B147" s="745" t="s">
        <v>1228</v>
      </c>
      <c r="C147" s="734">
        <f>'PL Grouping'!C90</f>
        <v>27004217.280000001</v>
      </c>
      <c r="D147" s="746">
        <f>'PL Grouping'!D90</f>
        <v>0</v>
      </c>
      <c r="E147" s="746">
        <f>'PL Grouping'!E90</f>
        <v>115474</v>
      </c>
      <c r="F147" s="746">
        <f>'PL Grouping'!F90</f>
        <v>0</v>
      </c>
      <c r="G147" s="746">
        <f>'PL Grouping'!G90</f>
        <v>53395</v>
      </c>
      <c r="H147" s="746">
        <f>'PL Grouping'!H90</f>
        <v>0</v>
      </c>
      <c r="I147" s="746">
        <f>'PL Grouping'!I90</f>
        <v>903470</v>
      </c>
      <c r="J147" s="746">
        <f>'PL Grouping'!J90</f>
        <v>-15605</v>
      </c>
      <c r="K147" s="747">
        <f>SUBTOTAL(9,C147:J147)</f>
        <v>28060951.280000001</v>
      </c>
      <c r="L147" s="734">
        <f>'PL Grouping'!L90</f>
        <v>26585645</v>
      </c>
      <c r="M147" s="746">
        <f>'PL Grouping'!M90</f>
        <v>-374192</v>
      </c>
      <c r="N147" s="746">
        <f>'PL Grouping'!N90</f>
        <v>51847</v>
      </c>
      <c r="O147" s="746">
        <f>'PL Grouping'!O90</f>
        <v>0</v>
      </c>
      <c r="P147" s="746">
        <f>'PL Grouping'!P90</f>
        <v>10401</v>
      </c>
      <c r="Q147" s="746">
        <f>'PL Grouping'!Q90</f>
        <v>0</v>
      </c>
      <c r="R147" s="746">
        <f>'PL Grouping'!R90</f>
        <v>0</v>
      </c>
      <c r="S147" s="746">
        <f>'PL Grouping'!S90</f>
        <v>0</v>
      </c>
      <c r="T147" s="747">
        <f>SUBTOTAL(9,L147:S147)</f>
        <v>26273701</v>
      </c>
    </row>
    <row r="148" spans="1:20" ht="16" thickBot="1">
      <c r="A148" s="269"/>
      <c r="B148" s="745"/>
      <c r="C148" s="734"/>
      <c r="D148" s="746"/>
      <c r="E148" s="746"/>
      <c r="F148" s="746"/>
      <c r="G148" s="746"/>
      <c r="H148" s="746"/>
      <c r="I148" s="746"/>
      <c r="J148" s="746"/>
      <c r="K148" s="747"/>
      <c r="L148" s="734"/>
      <c r="M148" s="746"/>
      <c r="N148" s="746"/>
      <c r="O148" s="746"/>
      <c r="P148" s="746"/>
      <c r="Q148" s="746"/>
      <c r="R148" s="746"/>
      <c r="S148" s="746"/>
      <c r="T148" s="747"/>
    </row>
    <row r="149" spans="1:20" ht="17" thickTop="1" thickBot="1">
      <c r="A149" s="749"/>
      <c r="B149" s="750" t="s">
        <v>51</v>
      </c>
      <c r="C149" s="751">
        <f t="shared" ref="C149:T149" si="89">SUM(C147:C148)</f>
        <v>27004217.280000001</v>
      </c>
      <c r="D149" s="752">
        <f t="shared" si="89"/>
        <v>0</v>
      </c>
      <c r="E149" s="752">
        <f t="shared" si="89"/>
        <v>115474</v>
      </c>
      <c r="F149" s="752">
        <f t="shared" si="89"/>
        <v>0</v>
      </c>
      <c r="G149" s="752">
        <f t="shared" si="89"/>
        <v>53395</v>
      </c>
      <c r="H149" s="752">
        <f t="shared" si="89"/>
        <v>0</v>
      </c>
      <c r="I149" s="752">
        <f t="shared" ref="I149:J149" si="90">SUM(I147:I148)</f>
        <v>903470</v>
      </c>
      <c r="J149" s="752">
        <f t="shared" si="90"/>
        <v>-15605</v>
      </c>
      <c r="K149" s="754">
        <f t="shared" si="89"/>
        <v>28060951.280000001</v>
      </c>
      <c r="L149" s="751">
        <f t="shared" si="89"/>
        <v>26585645</v>
      </c>
      <c r="M149" s="752">
        <f t="shared" si="89"/>
        <v>-374192</v>
      </c>
      <c r="N149" s="752">
        <f t="shared" si="89"/>
        <v>51847</v>
      </c>
      <c r="O149" s="752">
        <f t="shared" si="89"/>
        <v>0</v>
      </c>
      <c r="P149" s="752">
        <f t="shared" si="89"/>
        <v>10401</v>
      </c>
      <c r="Q149" s="752">
        <f t="shared" si="89"/>
        <v>0</v>
      </c>
      <c r="R149" s="752">
        <f t="shared" ref="R149:S149" si="91">SUM(R147:R148)</f>
        <v>0</v>
      </c>
      <c r="S149" s="752">
        <f t="shared" si="91"/>
        <v>0</v>
      </c>
      <c r="T149" s="754">
        <f t="shared" si="89"/>
        <v>26273701</v>
      </c>
    </row>
    <row r="150" spans="1:20" ht="16" thickTop="1">
      <c r="A150" s="269"/>
      <c r="B150" s="745"/>
      <c r="C150" s="734"/>
      <c r="D150" s="746"/>
      <c r="E150" s="746"/>
      <c r="F150" s="746"/>
      <c r="G150" s="746"/>
      <c r="H150" s="746"/>
      <c r="I150" s="746"/>
      <c r="J150" s="746"/>
      <c r="K150" s="747"/>
      <c r="L150" s="734"/>
      <c r="M150" s="746"/>
      <c r="N150" s="746"/>
      <c r="O150" s="746"/>
      <c r="P150" s="746"/>
      <c r="Q150" s="746"/>
      <c r="R150" s="746"/>
      <c r="S150" s="746"/>
      <c r="T150" s="747"/>
    </row>
    <row r="151" spans="1:20">
      <c r="A151" s="223" t="s">
        <v>406</v>
      </c>
      <c r="B151" s="745"/>
      <c r="C151" s="734"/>
      <c r="D151" s="746"/>
      <c r="E151" s="746"/>
      <c r="F151" s="746"/>
      <c r="G151" s="746"/>
      <c r="H151" s="746"/>
      <c r="I151" s="746"/>
      <c r="J151" s="746"/>
      <c r="K151" s="747"/>
      <c r="L151" s="734"/>
      <c r="M151" s="746"/>
      <c r="N151" s="746"/>
      <c r="O151" s="746"/>
      <c r="P151" s="746"/>
      <c r="Q151" s="746"/>
      <c r="R151" s="746"/>
      <c r="S151" s="746"/>
      <c r="T151" s="747"/>
    </row>
    <row r="152" spans="1:20">
      <c r="A152" s="269" t="s">
        <v>144</v>
      </c>
      <c r="B152" s="745" t="s">
        <v>460</v>
      </c>
      <c r="C152" s="734">
        <f>IFERROR((VLOOKUP(A152,'TB CY'!A:G,6,)+VLOOKUP(A152,'TB CY'!A:G,7,0)),0)</f>
        <v>2535406.4300000002</v>
      </c>
      <c r="D152" s="746"/>
      <c r="E152" s="731">
        <f>IFERROR(VLOOKUP(A152,'TB Other'!A:M,8,0),0)+IFERROR(VLOOKUP(A152,'TB Other'!A:M,9,0),0)</f>
        <v>6.1</v>
      </c>
      <c r="F152" s="746"/>
      <c r="G152" s="731">
        <f>IFERROR(VLOOKUP(A152,'TB Other'!A:M,4,0),0)+IFERROR(VLOOKUP(A152,'TB Other'!A:M,5,0),0)</f>
        <v>167544.09</v>
      </c>
      <c r="H152" s="746"/>
      <c r="I152" s="746">
        <f>IFERROR(VLOOKUP(A152,'TB Other'!A:M,13,0),0)+IFERROR(VLOOKUP(A152,'TB Other'!A:M,12,0),0)</f>
        <v>5747.03</v>
      </c>
      <c r="J152" s="746">
        <f>-'PL Grouping'!J8</f>
        <v>0</v>
      </c>
      <c r="K152" s="747">
        <f t="shared" ref="K152:K156" si="92">SUM(C152:J152)</f>
        <v>2708703.65</v>
      </c>
      <c r="L152" s="734">
        <f>VLOOKUP(A152,'TB PY'!A:G,7,)+VLOOKUP(A152,'TB PY'!A:G,6,)</f>
        <v>4528491.4499999993</v>
      </c>
      <c r="M152" s="746"/>
      <c r="N152" s="746">
        <v>14091</v>
      </c>
      <c r="O152" s="746"/>
      <c r="P152" s="746">
        <v>164325</v>
      </c>
      <c r="Q152" s="746"/>
      <c r="R152" s="746"/>
      <c r="S152" s="746"/>
      <c r="T152" s="747">
        <f t="shared" ref="T152:T156" si="93">SUM(L152:S152)</f>
        <v>4706907.4499999993</v>
      </c>
    </row>
    <row r="153" spans="1:20">
      <c r="A153" s="269" t="s">
        <v>552</v>
      </c>
      <c r="B153" s="745" t="s">
        <v>460</v>
      </c>
      <c r="C153" s="734">
        <f>IFERROR((VLOOKUP(A153,'TB CY'!A:G,6,)+VLOOKUP(A153,'TB CY'!A:G,7,0)),0)</f>
        <v>0</v>
      </c>
      <c r="D153" s="746"/>
      <c r="E153" s="731">
        <f>IFERROR(VLOOKUP(A153,'TB Other'!A:M,8,0),0)+IFERROR(VLOOKUP(A153,'TB Other'!A:M,9,0),0)</f>
        <v>0</v>
      </c>
      <c r="F153" s="746"/>
      <c r="G153" s="731">
        <f>IFERROR(VLOOKUP(A153,'TB Other'!A:M,4,0),0)+IFERROR(VLOOKUP(A153,'TB Other'!A:M,5,0),0)</f>
        <v>0</v>
      </c>
      <c r="H153" s="746"/>
      <c r="I153" s="746">
        <f>IFERROR(VLOOKUP(A153,'TB Other'!A:M,13,0),0)+IFERROR(VLOOKUP(A153,'TB Other'!A:M,12,0),0)</f>
        <v>0</v>
      </c>
      <c r="J153" s="746"/>
      <c r="K153" s="747">
        <f t="shared" si="92"/>
        <v>0</v>
      </c>
      <c r="L153" s="734">
        <f>VLOOKUP(A153,'TB PY'!A:G,7,)+VLOOKUP(A153,'TB PY'!A:G,6,)</f>
        <v>39452.75</v>
      </c>
      <c r="M153" s="746"/>
      <c r="N153" s="746"/>
      <c r="O153" s="746"/>
      <c r="P153" s="746"/>
      <c r="Q153" s="746"/>
      <c r="R153" s="746"/>
      <c r="S153" s="746"/>
      <c r="T153" s="747">
        <f t="shared" si="93"/>
        <v>39452.75</v>
      </c>
    </row>
    <row r="154" spans="1:20">
      <c r="A154" s="269" t="s">
        <v>553</v>
      </c>
      <c r="B154" s="745" t="s">
        <v>460</v>
      </c>
      <c r="C154" s="734">
        <f>IFERROR((VLOOKUP(A154,'TB CY'!A:G,6,)+VLOOKUP(A154,'TB CY'!A:G,7,0)),0)</f>
        <v>953094.25</v>
      </c>
      <c r="D154" s="746"/>
      <c r="E154" s="731">
        <f>IFERROR(VLOOKUP(A154,'TB Other'!A:M,8,0),0)+IFERROR(VLOOKUP(A154,'TB Other'!A:M,9,0),0)</f>
        <v>0</v>
      </c>
      <c r="F154" s="746"/>
      <c r="G154" s="731">
        <f>IFERROR(VLOOKUP(A154,'TB Other'!A:M,4,0),0)+IFERROR(VLOOKUP(A154,'TB Other'!A:M,5,0),0)</f>
        <v>0</v>
      </c>
      <c r="H154" s="746"/>
      <c r="I154" s="746">
        <f>IFERROR(VLOOKUP(A154,'TB Other'!A:M,13,0),0)+IFERROR(VLOOKUP(A154,'TB Other'!A:M,12,0),0)</f>
        <v>0</v>
      </c>
      <c r="J154" s="746"/>
      <c r="K154" s="747">
        <f t="shared" si="92"/>
        <v>953094.25</v>
      </c>
      <c r="L154" s="734">
        <f>VLOOKUP(A154,'TB PY'!A:G,7,)+VLOOKUP(A154,'TB PY'!A:G,6,)</f>
        <v>158163.09</v>
      </c>
      <c r="M154" s="746"/>
      <c r="N154" s="746"/>
      <c r="O154" s="746"/>
      <c r="P154" s="746"/>
      <c r="Q154" s="746"/>
      <c r="R154" s="746"/>
      <c r="S154" s="746"/>
      <c r="T154" s="747">
        <f t="shared" si="93"/>
        <v>158163.09</v>
      </c>
    </row>
    <row r="155" spans="1:20">
      <c r="A155" s="269" t="s">
        <v>1531</v>
      </c>
      <c r="B155" s="745" t="s">
        <v>460</v>
      </c>
      <c r="C155" s="734">
        <f>IFERROR((VLOOKUP(A155,'TB CY'!A:G,6,)+VLOOKUP(A155,'TB CY'!A:G,7,0)),0)</f>
        <v>620149</v>
      </c>
      <c r="D155" s="746"/>
      <c r="E155" s="731">
        <f>IFERROR(VLOOKUP(A155,'TB Other'!A:M,8,0),0)+IFERROR(VLOOKUP(A155,'TB Other'!A:M,9,0),0)</f>
        <v>0</v>
      </c>
      <c r="F155" s="746"/>
      <c r="G155" s="731">
        <f>IFERROR(VLOOKUP(A155,'TB Other'!A:M,4,0),0)+IFERROR(VLOOKUP(A155,'TB Other'!A:M,5,0),0)</f>
        <v>0</v>
      </c>
      <c r="H155" s="746"/>
      <c r="I155" s="746">
        <f>IFERROR(VLOOKUP(A155,'TB Other'!A:M,13,0),0)+IFERROR(VLOOKUP(A155,'TB Other'!A:M,12,0),0)</f>
        <v>0</v>
      </c>
      <c r="J155" s="746"/>
      <c r="K155" s="747">
        <f t="shared" si="92"/>
        <v>620149</v>
      </c>
      <c r="L155" s="734">
        <f>IFERROR(VLOOKUP(A155,'TB PY'!A:G,7,),0)+IFERROR(VLOOKUP(A155,'TB PY'!A:G,6,),0)</f>
        <v>0</v>
      </c>
      <c r="M155" s="746"/>
      <c r="N155" s="746"/>
      <c r="O155" s="746"/>
      <c r="P155" s="746"/>
      <c r="Q155" s="746"/>
      <c r="R155" s="746"/>
      <c r="S155" s="746"/>
      <c r="T155" s="747">
        <f t="shared" si="93"/>
        <v>0</v>
      </c>
    </row>
    <row r="156" spans="1:20">
      <c r="A156" s="269" t="s">
        <v>1135</v>
      </c>
      <c r="B156" s="745" t="s">
        <v>460</v>
      </c>
      <c r="C156" s="734">
        <f>IFERROR((VLOOKUP(A156,'TB CY'!A:G,6,)+VLOOKUP(A156,'TB CY'!A:G,7,0)),0)</f>
        <v>1381731.76</v>
      </c>
      <c r="D156" s="746"/>
      <c r="E156" s="731">
        <f>IFERROR(VLOOKUP(A156,'TB Other'!A:M,8,0),0)+IFERROR(VLOOKUP(A156,'TB Other'!A:M,9,0),0)</f>
        <v>0</v>
      </c>
      <c r="F156" s="746"/>
      <c r="G156" s="731">
        <f>IFERROR(VLOOKUP(A156,'TB Other'!A:M,4,0),0)+IFERROR(VLOOKUP(A156,'TB Other'!A:M,5,0),0)</f>
        <v>0</v>
      </c>
      <c r="H156" s="746"/>
      <c r="I156" s="746">
        <f>IFERROR(VLOOKUP(A156,'TB Other'!A:M,13,0),0)+IFERROR(VLOOKUP(A156,'TB Other'!A:M,12,0),0)</f>
        <v>0</v>
      </c>
      <c r="J156" s="746"/>
      <c r="K156" s="747">
        <f t="shared" si="92"/>
        <v>1381731.76</v>
      </c>
      <c r="L156" s="734">
        <f>VLOOKUP(A156,'TB PY'!A:G,7,)+VLOOKUP(A156,'TB PY'!A:G,6,)</f>
        <v>1359541.89</v>
      </c>
      <c r="M156" s="746"/>
      <c r="N156" s="746">
        <v>-197615</v>
      </c>
      <c r="O156" s="746"/>
      <c r="P156" s="746">
        <v>-1359541.89</v>
      </c>
      <c r="Q156" s="746"/>
      <c r="R156" s="746"/>
      <c r="S156" s="746"/>
      <c r="T156" s="747">
        <f t="shared" si="93"/>
        <v>-197615</v>
      </c>
    </row>
    <row r="157" spans="1:20" ht="16" thickBot="1">
      <c r="A157" s="269" t="s">
        <v>1592</v>
      </c>
      <c r="B157" s="745" t="s">
        <v>460</v>
      </c>
      <c r="C157" s="734">
        <f>IFERROR((VLOOKUP(A157,'TB CY'!A:G,6,)+VLOOKUP(A157,'TB CY'!A:G,7,0)),0)</f>
        <v>0</v>
      </c>
      <c r="D157" s="746"/>
      <c r="E157" s="731">
        <f>IFERROR(VLOOKUP(A157,'TB Other'!A:M,8,0),0)+IFERROR(VLOOKUP(A157,'TB Other'!A:M,9,0),0)</f>
        <v>-953094.25</v>
      </c>
      <c r="F157" s="746"/>
      <c r="G157" s="731">
        <f>IFERROR(VLOOKUP(A157,'TB Other'!A:M,4,0),0)+IFERROR(VLOOKUP(A157,'TB Other'!A:M,5,0),0)</f>
        <v>-1381731.76</v>
      </c>
      <c r="H157" s="746"/>
      <c r="I157" s="746">
        <f>IFERROR(VLOOKUP(A157,'TB Other'!A:M,13,0),0)+IFERROR(VLOOKUP(A157,'TB Other'!A:M,12,0),0)</f>
        <v>-620149</v>
      </c>
      <c r="J157" s="746"/>
      <c r="K157" s="747">
        <f t="shared" ref="K157" si="94">SUM(C157:J157)</f>
        <v>-2954975.01</v>
      </c>
      <c r="L157" s="734">
        <f>IFERROR(VLOOKUP(A157,'TB PY'!A:G,7,),0)+IFERROR(VLOOKUP(A157,'TB PY'!A:G,6,),0)</f>
        <v>0</v>
      </c>
      <c r="M157" s="746"/>
      <c r="N157" s="746"/>
      <c r="O157" s="746"/>
      <c r="P157" s="746"/>
      <c r="Q157" s="746"/>
      <c r="R157" s="746"/>
      <c r="S157" s="746"/>
      <c r="T157" s="747">
        <f t="shared" ref="T157" si="95">SUM(L157:S157)</f>
        <v>0</v>
      </c>
    </row>
    <row r="158" spans="1:20" ht="17" thickTop="1" thickBot="1">
      <c r="A158" s="749"/>
      <c r="B158" s="750" t="s">
        <v>51</v>
      </c>
      <c r="C158" s="751">
        <f t="shared" ref="C158:T158" si="96">SUM(C152:C157)</f>
        <v>5490381.4400000004</v>
      </c>
      <c r="D158" s="752">
        <f t="shared" si="96"/>
        <v>0</v>
      </c>
      <c r="E158" s="752">
        <f t="shared" si="96"/>
        <v>-953088.15</v>
      </c>
      <c r="F158" s="752">
        <f t="shared" si="96"/>
        <v>0</v>
      </c>
      <c r="G158" s="752">
        <f t="shared" si="96"/>
        <v>-1214187.67</v>
      </c>
      <c r="H158" s="752">
        <f t="shared" si="96"/>
        <v>0</v>
      </c>
      <c r="I158" s="752">
        <f t="shared" ref="I158:J158" si="97">SUM(I152:I157)</f>
        <v>-614401.97</v>
      </c>
      <c r="J158" s="752">
        <f t="shared" si="97"/>
        <v>0</v>
      </c>
      <c r="K158" s="753">
        <f t="shared" si="96"/>
        <v>2708703.6500000004</v>
      </c>
      <c r="L158" s="751">
        <f t="shared" si="96"/>
        <v>6085649.1799999988</v>
      </c>
      <c r="M158" s="752">
        <f t="shared" si="96"/>
        <v>0</v>
      </c>
      <c r="N158" s="752">
        <f t="shared" si="96"/>
        <v>-183524</v>
      </c>
      <c r="O158" s="752">
        <f t="shared" si="96"/>
        <v>0</v>
      </c>
      <c r="P158" s="752">
        <f t="shared" si="96"/>
        <v>-1195216.8899999999</v>
      </c>
      <c r="Q158" s="752">
        <f t="shared" si="96"/>
        <v>0</v>
      </c>
      <c r="R158" s="752">
        <f t="shared" ref="R158:S158" si="98">SUM(R152:R157)</f>
        <v>0</v>
      </c>
      <c r="S158" s="752">
        <f t="shared" si="98"/>
        <v>0</v>
      </c>
      <c r="T158" s="754">
        <f t="shared" si="96"/>
        <v>4706908.2899999991</v>
      </c>
    </row>
    <row r="159" spans="1:20" ht="16" thickTop="1">
      <c r="A159" s="269" t="s">
        <v>62</v>
      </c>
      <c r="B159" s="745"/>
      <c r="C159" s="734"/>
      <c r="D159" s="746"/>
      <c r="E159" s="746"/>
      <c r="F159" s="746"/>
      <c r="G159" s="746"/>
      <c r="H159" s="746"/>
      <c r="I159" s="746"/>
      <c r="J159" s="746"/>
      <c r="K159" s="747"/>
      <c r="L159" s="734"/>
      <c r="M159" s="746"/>
      <c r="N159" s="746"/>
      <c r="O159" s="746"/>
      <c r="P159" s="746"/>
      <c r="Q159" s="746"/>
      <c r="R159" s="746"/>
      <c r="S159" s="746"/>
      <c r="T159" s="747"/>
    </row>
    <row r="160" spans="1:20">
      <c r="A160" s="269" t="s">
        <v>63</v>
      </c>
      <c r="B160" s="745"/>
      <c r="C160" s="734"/>
      <c r="D160" s="746"/>
      <c r="E160" s="746"/>
      <c r="F160" s="746"/>
      <c r="G160" s="746"/>
      <c r="H160" s="746"/>
      <c r="I160" s="746"/>
      <c r="J160" s="746"/>
      <c r="K160" s="747"/>
      <c r="L160" s="734"/>
      <c r="M160" s="746"/>
      <c r="N160" s="746"/>
      <c r="O160" s="746"/>
      <c r="P160" s="746"/>
      <c r="Q160" s="746"/>
      <c r="R160" s="746"/>
      <c r="S160" s="746"/>
      <c r="T160" s="747"/>
    </row>
    <row r="161" spans="1:20">
      <c r="A161" s="269" t="s">
        <v>523</v>
      </c>
      <c r="B161" s="745" t="s">
        <v>460</v>
      </c>
      <c r="C161" s="734">
        <f>IFERROR((VLOOKUP(A161,'TB CY'!A:G,6,)+VLOOKUP(A161,'TB CY'!A:G,7,0)),0)</f>
        <v>0</v>
      </c>
      <c r="D161" s="746"/>
      <c r="E161" s="731">
        <f>IFERROR(VLOOKUP(A161,'TB Other'!A:M,8,0),0)+IFERROR(VLOOKUP(A161,'TB Other'!A:M,9,0),0)</f>
        <v>0</v>
      </c>
      <c r="F161" s="746"/>
      <c r="G161" s="731">
        <f>IFERROR(VLOOKUP(A161,'TB Other'!A:M,4,0),0)+IFERROR(VLOOKUP(A161,'TB Other'!A:M,5,0),0)</f>
        <v>0</v>
      </c>
      <c r="H161" s="746"/>
      <c r="I161" s="746">
        <f>IFERROR(VLOOKUP(A161,'TB Other'!A:M,13,0),0)+IFERROR(VLOOKUP(A161,'TB Other'!A:M,12,0),0)</f>
        <v>0</v>
      </c>
      <c r="J161" s="746"/>
      <c r="K161" s="747">
        <f t="shared" ref="K161:K164" si="99">SUM(C161:J161)</f>
        <v>0</v>
      </c>
      <c r="L161" s="734">
        <f>IFERROR(VLOOKUP(A161,'TB PY'!A:G,7,),0)+IFERROR(VLOOKUP(A161,'TB PY'!A:G,6,),0)</f>
        <v>0</v>
      </c>
      <c r="M161" s="746"/>
      <c r="N161" s="746"/>
      <c r="O161" s="746"/>
      <c r="P161" s="746"/>
      <c r="Q161" s="746"/>
      <c r="R161" s="746"/>
      <c r="S161" s="746"/>
      <c r="T161" s="747">
        <f t="shared" ref="T161:T164" si="100">SUM(L161:S161)</f>
        <v>0</v>
      </c>
    </row>
    <row r="162" spans="1:20">
      <c r="A162" s="269" t="s">
        <v>1256</v>
      </c>
      <c r="B162" s="745" t="s">
        <v>460</v>
      </c>
      <c r="C162" s="734">
        <f>IFERROR((VLOOKUP(A162,'TB CY'!A:G,6,)+VLOOKUP(A162,'TB CY'!A:G,7,0)),0)*0</f>
        <v>0</v>
      </c>
      <c r="D162" s="746"/>
      <c r="E162" s="731">
        <f>IFERROR(VLOOKUP(A162,'TB Other'!A:M,8,0),0)+IFERROR(VLOOKUP(A162,'TB Other'!A:M,9,0),0)</f>
        <v>0</v>
      </c>
      <c r="F162" s="746"/>
      <c r="G162" s="731">
        <f>IFERROR(VLOOKUP(A162,'TB Other'!A:M,4,0),0)+IFERROR(VLOOKUP(A162,'TB Other'!A:M,5,0),0)</f>
        <v>0</v>
      </c>
      <c r="H162" s="746"/>
      <c r="I162" s="746">
        <f>IFERROR(VLOOKUP(A162,'TB Other'!A:M,13,0),0)+IFERROR(VLOOKUP(A162,'TB Other'!A:M,12,0),0)</f>
        <v>0</v>
      </c>
      <c r="J162" s="746"/>
      <c r="K162" s="747">
        <f t="shared" si="99"/>
        <v>0</v>
      </c>
      <c r="L162" s="734">
        <f>IFERROR(VLOOKUP(A162,'TB PY'!A:G,7,),0)+IFERROR(VLOOKUP(A162,'TB PY'!A:G,6,),0)</f>
        <v>41060500.060000002</v>
      </c>
      <c r="M162" s="746"/>
      <c r="N162" s="746"/>
      <c r="O162" s="746"/>
      <c r="P162" s="746"/>
      <c r="Q162" s="746"/>
      <c r="R162" s="746"/>
      <c r="S162" s="746"/>
      <c r="T162" s="747">
        <f t="shared" si="100"/>
        <v>41060500.060000002</v>
      </c>
    </row>
    <row r="163" spans="1:20">
      <c r="A163" s="269" t="s">
        <v>150</v>
      </c>
      <c r="B163" s="745" t="s">
        <v>460</v>
      </c>
      <c r="C163" s="734">
        <f>IFERROR((VLOOKUP(A163,'TB CY'!A:G,6,)+VLOOKUP(A163,'TB CY'!A:G,7,0)),0)</f>
        <v>0</v>
      </c>
      <c r="D163" s="746"/>
      <c r="E163" s="731">
        <f>IFERROR(VLOOKUP(A163,'TB Other'!A:M,8,0),0)+IFERROR(VLOOKUP(A163,'TB Other'!A:M,9,0),0)</f>
        <v>0</v>
      </c>
      <c r="F163" s="746"/>
      <c r="G163" s="731">
        <f>IFERROR(VLOOKUP(A163,'TB Other'!A:M,4,0),0)+IFERROR(VLOOKUP(A163,'TB Other'!A:M,5,0),0)</f>
        <v>0</v>
      </c>
      <c r="H163" s="746"/>
      <c r="I163" s="746">
        <f>IFERROR(VLOOKUP(A163,'TB Other'!A:M,13,0),0)+IFERROR(VLOOKUP(A163,'TB Other'!A:M,12,0),0)</f>
        <v>0</v>
      </c>
      <c r="J163" s="746"/>
      <c r="K163" s="747">
        <f t="shared" si="99"/>
        <v>0</v>
      </c>
      <c r="L163" s="734">
        <f>IFERROR(VLOOKUP(A163,'TB PY'!A:G,7,),0)+IFERROR(VLOOKUP(A163,'TB PY'!A:G,6,),0)</f>
        <v>0</v>
      </c>
      <c r="M163" s="746"/>
      <c r="N163" s="746"/>
      <c r="O163" s="746"/>
      <c r="P163" s="746"/>
      <c r="Q163" s="746"/>
      <c r="R163" s="746"/>
      <c r="S163" s="746"/>
      <c r="T163" s="747">
        <f t="shared" si="100"/>
        <v>0</v>
      </c>
    </row>
    <row r="164" spans="1:20" ht="16" thickBot="1">
      <c r="A164" s="269" t="s">
        <v>1133</v>
      </c>
      <c r="B164" s="745" t="s">
        <v>460</v>
      </c>
      <c r="C164" s="734">
        <f>IFERROR((VLOOKUP(A164,'TB CY'!A:G,6,)+VLOOKUP(A164,'TB CY'!A:G,7,0)),0)</f>
        <v>31401.4</v>
      </c>
      <c r="D164" s="746"/>
      <c r="E164" s="731">
        <f>IFERROR(VLOOKUP(A164,'TB Other'!A:M,8,0),0)+IFERROR(VLOOKUP(A164,'TB Other'!A:M,9,0),0)</f>
        <v>0</v>
      </c>
      <c r="F164" s="746"/>
      <c r="G164" s="731">
        <f>IFERROR(VLOOKUP(A164,'TB Other'!A:M,4,0),0)+IFERROR(VLOOKUP(A164,'TB Other'!A:M,5,0),0)</f>
        <v>0</v>
      </c>
      <c r="H164" s="746"/>
      <c r="I164" s="746">
        <f>IFERROR(VLOOKUP(A164,'TB Other'!A:M,13,0),0)+IFERROR(VLOOKUP(A164,'TB Other'!A:M,12,0),0)</f>
        <v>0</v>
      </c>
      <c r="J164" s="746"/>
      <c r="K164" s="747">
        <f t="shared" si="99"/>
        <v>31401.4</v>
      </c>
      <c r="L164" s="734">
        <f>IFERROR(VLOOKUP(A164,'TB PY'!A:G,7,),0)+IFERROR(VLOOKUP(A164,'TB PY'!A:G,6,),0)</f>
        <v>31401.4</v>
      </c>
      <c r="M164" s="746"/>
      <c r="N164" s="746"/>
      <c r="O164" s="746"/>
      <c r="P164" s="746"/>
      <c r="Q164" s="746"/>
      <c r="R164" s="746"/>
      <c r="S164" s="746"/>
      <c r="T164" s="747">
        <f t="shared" si="100"/>
        <v>31401.4</v>
      </c>
    </row>
    <row r="165" spans="1:20" ht="17" thickTop="1" thickBot="1">
      <c r="A165" s="749"/>
      <c r="B165" s="750" t="s">
        <v>51</v>
      </c>
      <c r="C165" s="751">
        <f t="shared" ref="C165:T165" si="101">SUM(C161:C164)</f>
        <v>31401.4</v>
      </c>
      <c r="D165" s="752">
        <f t="shared" si="101"/>
        <v>0</v>
      </c>
      <c r="E165" s="752">
        <f t="shared" si="101"/>
        <v>0</v>
      </c>
      <c r="F165" s="752">
        <f t="shared" si="101"/>
        <v>0</v>
      </c>
      <c r="G165" s="752">
        <f t="shared" si="101"/>
        <v>0</v>
      </c>
      <c r="H165" s="752">
        <f t="shared" si="101"/>
        <v>0</v>
      </c>
      <c r="I165" s="752">
        <f t="shared" ref="I165:J165" si="102">SUM(I161:I164)</f>
        <v>0</v>
      </c>
      <c r="J165" s="752">
        <f t="shared" si="102"/>
        <v>0</v>
      </c>
      <c r="K165" s="754">
        <f t="shared" si="101"/>
        <v>31401.4</v>
      </c>
      <c r="L165" s="751">
        <f t="shared" si="101"/>
        <v>41091901.460000001</v>
      </c>
      <c r="M165" s="752">
        <f t="shared" si="101"/>
        <v>0</v>
      </c>
      <c r="N165" s="752">
        <f t="shared" si="101"/>
        <v>0</v>
      </c>
      <c r="O165" s="752">
        <f t="shared" si="101"/>
        <v>0</v>
      </c>
      <c r="P165" s="752">
        <f t="shared" si="101"/>
        <v>0</v>
      </c>
      <c r="Q165" s="752">
        <f t="shared" si="101"/>
        <v>0</v>
      </c>
      <c r="R165" s="752">
        <f t="shared" ref="R165:S165" si="103">SUM(R161:R164)</f>
        <v>0</v>
      </c>
      <c r="S165" s="752">
        <f t="shared" si="103"/>
        <v>0</v>
      </c>
      <c r="T165" s="754">
        <f t="shared" si="101"/>
        <v>41091901.460000001</v>
      </c>
    </row>
    <row r="166" spans="1:20" ht="16" thickTop="1">
      <c r="A166" s="269" t="s">
        <v>64</v>
      </c>
      <c r="B166" s="745"/>
      <c r="C166" s="734"/>
      <c r="D166" s="746"/>
      <c r="E166" s="746"/>
      <c r="F166" s="746"/>
      <c r="G166" s="746"/>
      <c r="H166" s="746"/>
      <c r="I166" s="746"/>
      <c r="J166" s="746"/>
      <c r="K166" s="747"/>
      <c r="L166" s="734"/>
      <c r="M166" s="746"/>
      <c r="N166" s="746"/>
      <c r="O166" s="746"/>
      <c r="P166" s="746"/>
      <c r="Q166" s="746"/>
      <c r="R166" s="746"/>
      <c r="S166" s="746"/>
      <c r="T166" s="747"/>
    </row>
    <row r="167" spans="1:20">
      <c r="A167" s="269" t="s">
        <v>148</v>
      </c>
      <c r="B167" s="745" t="s">
        <v>460</v>
      </c>
      <c r="C167" s="734">
        <f>IFERROR((VLOOKUP(A167,'TB CY'!A:G,6,)+VLOOKUP(A167,'TB CY'!A:G,7,0)),0)</f>
        <v>11768.42</v>
      </c>
      <c r="D167" s="746"/>
      <c r="E167" s="731">
        <f>IFERROR(VLOOKUP(A167,'TB Other'!A:M,8,0),0)+IFERROR(VLOOKUP(A167,'TB Other'!A:M,9,0),0)</f>
        <v>0</v>
      </c>
      <c r="F167" s="746"/>
      <c r="G167" s="731">
        <f>IFERROR(VLOOKUP(A167,'TB Other'!A:M,4,0),0)+IFERROR(VLOOKUP(A167,'TB Other'!A:M,5,0),0)</f>
        <v>0</v>
      </c>
      <c r="H167" s="746"/>
      <c r="I167" s="746">
        <f>IFERROR(VLOOKUP(A167,'TB Other'!A:M,13,0),0)+IFERROR(VLOOKUP(A167,'TB Other'!A:M,12,0),0)</f>
        <v>0</v>
      </c>
      <c r="J167" s="746"/>
      <c r="K167" s="747">
        <f>SUM(C167:J167)</f>
        <v>11768.42</v>
      </c>
      <c r="L167" s="734">
        <f>VLOOKUP(A167,'TB PY'!A:G,7,)+VLOOKUP(A167,'TB PY'!A:G,6,)</f>
        <v>10191.42</v>
      </c>
      <c r="M167" s="746"/>
      <c r="N167" s="746"/>
      <c r="O167" s="746"/>
      <c r="P167" s="746"/>
      <c r="Q167" s="746"/>
      <c r="R167" s="746"/>
      <c r="S167" s="746"/>
      <c r="T167" s="747">
        <f>SUM(L167:S167)</f>
        <v>10191.42</v>
      </c>
    </row>
    <row r="168" spans="1:20" ht="16" thickBot="1">
      <c r="A168" s="269"/>
      <c r="B168" s="745"/>
      <c r="C168" s="734"/>
      <c r="D168" s="746"/>
      <c r="E168" s="746"/>
      <c r="F168" s="746"/>
      <c r="G168" s="746"/>
      <c r="H168" s="746"/>
      <c r="I168" s="746"/>
      <c r="J168" s="746"/>
      <c r="K168" s="747"/>
      <c r="L168" s="734"/>
      <c r="M168" s="746"/>
      <c r="N168" s="746"/>
      <c r="O168" s="746"/>
      <c r="P168" s="746"/>
      <c r="Q168" s="746"/>
      <c r="R168" s="746"/>
      <c r="S168" s="746"/>
      <c r="T168" s="747"/>
    </row>
    <row r="169" spans="1:20" ht="17" thickTop="1" thickBot="1">
      <c r="A169" s="749"/>
      <c r="B169" s="750" t="s">
        <v>51</v>
      </c>
      <c r="C169" s="751">
        <f t="shared" ref="C169:T169" si="104">SUM(C167:C168)</f>
        <v>11768.42</v>
      </c>
      <c r="D169" s="752">
        <f t="shared" si="104"/>
        <v>0</v>
      </c>
      <c r="E169" s="752">
        <f t="shared" si="104"/>
        <v>0</v>
      </c>
      <c r="F169" s="752">
        <f t="shared" si="104"/>
        <v>0</v>
      </c>
      <c r="G169" s="752">
        <f t="shared" si="104"/>
        <v>0</v>
      </c>
      <c r="H169" s="752">
        <f t="shared" si="104"/>
        <v>0</v>
      </c>
      <c r="I169" s="752">
        <f t="shared" ref="I169:J169" si="105">SUM(I167:I168)</f>
        <v>0</v>
      </c>
      <c r="J169" s="752">
        <f t="shared" si="105"/>
        <v>0</v>
      </c>
      <c r="K169" s="754">
        <f t="shared" si="104"/>
        <v>11768.42</v>
      </c>
      <c r="L169" s="751">
        <f t="shared" si="104"/>
        <v>10191.42</v>
      </c>
      <c r="M169" s="752">
        <f t="shared" si="104"/>
        <v>0</v>
      </c>
      <c r="N169" s="752">
        <f t="shared" si="104"/>
        <v>0</v>
      </c>
      <c r="O169" s="752">
        <f t="shared" si="104"/>
        <v>0</v>
      </c>
      <c r="P169" s="752">
        <f t="shared" si="104"/>
        <v>0</v>
      </c>
      <c r="Q169" s="752">
        <f t="shared" si="104"/>
        <v>0</v>
      </c>
      <c r="R169" s="752">
        <f t="shared" ref="R169:S169" si="106">SUM(R167:R168)</f>
        <v>0</v>
      </c>
      <c r="S169" s="752">
        <f t="shared" si="106"/>
        <v>0</v>
      </c>
      <c r="T169" s="754">
        <f t="shared" si="104"/>
        <v>10191.42</v>
      </c>
    </row>
    <row r="170" spans="1:20" ht="16" thickTop="1">
      <c r="A170" s="269" t="s">
        <v>226</v>
      </c>
      <c r="B170" s="745"/>
      <c r="C170" s="734"/>
      <c r="D170" s="746"/>
      <c r="E170" s="746"/>
      <c r="F170" s="746"/>
      <c r="G170" s="746"/>
      <c r="H170" s="746"/>
      <c r="I170" s="746"/>
      <c r="J170" s="746"/>
      <c r="K170" s="747"/>
      <c r="L170" s="734"/>
      <c r="M170" s="746"/>
      <c r="N170" s="746"/>
      <c r="O170" s="746"/>
      <c r="P170" s="746"/>
      <c r="Q170" s="746"/>
      <c r="R170" s="746"/>
      <c r="S170" s="746"/>
      <c r="T170" s="747"/>
    </row>
    <row r="171" spans="1:20">
      <c r="A171" s="269"/>
      <c r="B171" s="745" t="s">
        <v>1228</v>
      </c>
      <c r="C171" s="734"/>
      <c r="D171" s="746"/>
      <c r="E171" s="746"/>
      <c r="F171" s="746"/>
      <c r="G171" s="746"/>
      <c r="H171" s="746"/>
      <c r="I171" s="746"/>
      <c r="J171" s="746"/>
      <c r="K171" s="747">
        <f>SUBTOTAL(9,C171:J171)</f>
        <v>0</v>
      </c>
      <c r="L171" s="734"/>
      <c r="M171" s="746"/>
      <c r="N171" s="746"/>
      <c r="O171" s="746"/>
      <c r="P171" s="746"/>
      <c r="Q171" s="746"/>
      <c r="R171" s="746"/>
      <c r="S171" s="746"/>
      <c r="T171" s="747">
        <f>SUBTOTAL(9,L171:S171)</f>
        <v>0</v>
      </c>
    </row>
    <row r="172" spans="1:20" ht="16" thickBot="1">
      <c r="A172" s="269"/>
      <c r="B172" s="745"/>
      <c r="C172" s="734"/>
      <c r="D172" s="746"/>
      <c r="E172" s="746"/>
      <c r="F172" s="746"/>
      <c r="G172" s="746"/>
      <c r="H172" s="746"/>
      <c r="I172" s="746"/>
      <c r="J172" s="746"/>
      <c r="K172" s="747"/>
      <c r="L172" s="734"/>
      <c r="M172" s="746"/>
      <c r="N172" s="746"/>
      <c r="O172" s="746"/>
      <c r="P172" s="746"/>
      <c r="Q172" s="746"/>
      <c r="R172" s="746"/>
      <c r="S172" s="746"/>
      <c r="T172" s="747"/>
    </row>
    <row r="173" spans="1:20" ht="17" thickTop="1" thickBot="1">
      <c r="A173" s="749"/>
      <c r="B173" s="750" t="s">
        <v>51</v>
      </c>
      <c r="C173" s="751">
        <f t="shared" ref="C173:T173" si="107">SUM(C171:C172)</f>
        <v>0</v>
      </c>
      <c r="D173" s="752">
        <f t="shared" si="107"/>
        <v>0</v>
      </c>
      <c r="E173" s="752">
        <f t="shared" si="107"/>
        <v>0</v>
      </c>
      <c r="F173" s="752">
        <f t="shared" si="107"/>
        <v>0</v>
      </c>
      <c r="G173" s="752">
        <f t="shared" si="107"/>
        <v>0</v>
      </c>
      <c r="H173" s="752">
        <f t="shared" si="107"/>
        <v>0</v>
      </c>
      <c r="I173" s="752">
        <f t="shared" ref="I173:J173" si="108">SUM(I171:I172)</f>
        <v>0</v>
      </c>
      <c r="J173" s="752">
        <f t="shared" si="108"/>
        <v>0</v>
      </c>
      <c r="K173" s="754">
        <f t="shared" si="107"/>
        <v>0</v>
      </c>
      <c r="L173" s="751">
        <f t="shared" si="107"/>
        <v>0</v>
      </c>
      <c r="M173" s="752">
        <f t="shared" si="107"/>
        <v>0</v>
      </c>
      <c r="N173" s="752">
        <f t="shared" si="107"/>
        <v>0</v>
      </c>
      <c r="O173" s="752">
        <f t="shared" si="107"/>
        <v>0</v>
      </c>
      <c r="P173" s="752">
        <f t="shared" si="107"/>
        <v>0</v>
      </c>
      <c r="Q173" s="752">
        <f t="shared" si="107"/>
        <v>0</v>
      </c>
      <c r="R173" s="752">
        <f t="shared" ref="R173:S173" si="109">SUM(R171:R172)</f>
        <v>0</v>
      </c>
      <c r="S173" s="752">
        <f t="shared" si="109"/>
        <v>0</v>
      </c>
      <c r="T173" s="754">
        <f t="shared" si="107"/>
        <v>0</v>
      </c>
    </row>
    <row r="174" spans="1:20" ht="16" thickTop="1">
      <c r="A174" s="269" t="s">
        <v>124</v>
      </c>
      <c r="B174" s="745"/>
      <c r="C174" s="734"/>
      <c r="D174" s="746"/>
      <c r="E174" s="746"/>
      <c r="F174" s="746"/>
      <c r="G174" s="746"/>
      <c r="H174" s="746"/>
      <c r="I174" s="746"/>
      <c r="J174" s="746"/>
      <c r="K174" s="747"/>
      <c r="L174" s="734"/>
      <c r="M174" s="746"/>
      <c r="N174" s="746"/>
      <c r="O174" s="746"/>
      <c r="P174" s="746"/>
      <c r="Q174" s="746"/>
      <c r="R174" s="746"/>
      <c r="S174" s="746"/>
      <c r="T174" s="747"/>
    </row>
    <row r="175" spans="1:20">
      <c r="A175" s="269" t="s">
        <v>156</v>
      </c>
      <c r="B175" s="745" t="s">
        <v>460</v>
      </c>
      <c r="C175" s="734">
        <f>IFERROR((VLOOKUP(A175,'TB CY'!A:G,6,)+VLOOKUP(A175,'TB CY'!A:G,7,0)),0)</f>
        <v>3679</v>
      </c>
      <c r="D175" s="746"/>
      <c r="E175" s="731">
        <f>IFERROR(VLOOKUP(A175,'TB Other'!A:M,8,0),0)+IFERROR(VLOOKUP(A175,'TB Other'!A:M,9,0),0)</f>
        <v>0</v>
      </c>
      <c r="F175" s="746"/>
      <c r="G175" s="731">
        <f>IFERROR(VLOOKUP(A175,'TB Other'!A:M,4,0),0)+IFERROR(VLOOKUP(A175,'TB Other'!A:M,5,0),0)</f>
        <v>0</v>
      </c>
      <c r="H175" s="746"/>
      <c r="I175" s="746">
        <f>IFERROR(VLOOKUP(A175,'TB Other'!A:M,13,0),0)+IFERROR(VLOOKUP(A175,'TB Other'!A:M,12,0),0)</f>
        <v>0</v>
      </c>
      <c r="J175" s="746"/>
      <c r="K175" s="747">
        <f>SUM(C175:J175)</f>
        <v>3679</v>
      </c>
      <c r="L175" s="734">
        <f>VLOOKUP(A175,'TB PY'!A:G,7,)+VLOOKUP(A175,'TB PY'!A:G,6,)</f>
        <v>3710</v>
      </c>
      <c r="M175" s="746"/>
      <c r="N175" s="746"/>
      <c r="O175" s="746"/>
      <c r="P175" s="746"/>
      <c r="Q175" s="746"/>
      <c r="R175" s="746"/>
      <c r="S175" s="746"/>
      <c r="T175" s="747">
        <f>SUM(L175:S175)</f>
        <v>3710</v>
      </c>
    </row>
    <row r="176" spans="1:20" ht="16" thickBot="1">
      <c r="A176" s="269"/>
      <c r="B176" s="745"/>
      <c r="C176" s="734"/>
      <c r="D176" s="746"/>
      <c r="E176" s="746"/>
      <c r="F176" s="746"/>
      <c r="G176" s="746"/>
      <c r="H176" s="746"/>
      <c r="I176" s="746"/>
      <c r="J176" s="746"/>
      <c r="K176" s="747"/>
      <c r="L176" s="734"/>
      <c r="M176" s="746"/>
      <c r="N176" s="746"/>
      <c r="O176" s="746"/>
      <c r="P176" s="746"/>
      <c r="Q176" s="746"/>
      <c r="R176" s="746"/>
      <c r="S176" s="746"/>
      <c r="T176" s="747"/>
    </row>
    <row r="177" spans="1:20" ht="17" thickTop="1" thickBot="1">
      <c r="A177" s="749"/>
      <c r="B177" s="750" t="s">
        <v>51</v>
      </c>
      <c r="C177" s="751">
        <f t="shared" ref="C177:T177" si="110">SUM(C175:C176)</f>
        <v>3679</v>
      </c>
      <c r="D177" s="752">
        <f t="shared" si="110"/>
        <v>0</v>
      </c>
      <c r="E177" s="752">
        <f t="shared" si="110"/>
        <v>0</v>
      </c>
      <c r="F177" s="752">
        <f t="shared" si="110"/>
        <v>0</v>
      </c>
      <c r="G177" s="752">
        <f t="shared" si="110"/>
        <v>0</v>
      </c>
      <c r="H177" s="752">
        <f t="shared" si="110"/>
        <v>0</v>
      </c>
      <c r="I177" s="752">
        <f t="shared" ref="I177:J177" si="111">SUM(I175:I176)</f>
        <v>0</v>
      </c>
      <c r="J177" s="752">
        <f t="shared" si="111"/>
        <v>0</v>
      </c>
      <c r="K177" s="753">
        <f>SUM(K175:K176)</f>
        <v>3679</v>
      </c>
      <c r="L177" s="751">
        <f t="shared" si="110"/>
        <v>3710</v>
      </c>
      <c r="M177" s="752">
        <f t="shared" si="110"/>
        <v>0</v>
      </c>
      <c r="N177" s="752">
        <f t="shared" si="110"/>
        <v>0</v>
      </c>
      <c r="O177" s="752">
        <f t="shared" si="110"/>
        <v>0</v>
      </c>
      <c r="P177" s="752">
        <f t="shared" si="110"/>
        <v>0</v>
      </c>
      <c r="Q177" s="752">
        <f t="shared" si="110"/>
        <v>0</v>
      </c>
      <c r="R177" s="752">
        <f t="shared" ref="R177:S177" si="112">SUM(R175:R176)</f>
        <v>0</v>
      </c>
      <c r="S177" s="752">
        <f t="shared" si="112"/>
        <v>0</v>
      </c>
      <c r="T177" s="754">
        <f t="shared" si="110"/>
        <v>3710</v>
      </c>
    </row>
    <row r="178" spans="1:20" ht="16" thickTop="1">
      <c r="A178" s="269" t="s">
        <v>228</v>
      </c>
      <c r="B178" s="745"/>
      <c r="C178" s="734"/>
      <c r="D178" s="746"/>
      <c r="E178" s="746"/>
      <c r="F178" s="746"/>
      <c r="G178" s="746"/>
      <c r="H178" s="746"/>
      <c r="I178" s="746"/>
      <c r="J178" s="746"/>
      <c r="K178" s="747"/>
      <c r="L178" s="734"/>
      <c r="M178" s="746"/>
      <c r="N178" s="746"/>
      <c r="O178" s="746"/>
      <c r="P178" s="746"/>
      <c r="Q178" s="746"/>
      <c r="R178" s="746"/>
      <c r="S178" s="746"/>
      <c r="T178" s="747"/>
    </row>
    <row r="179" spans="1:20">
      <c r="A179" s="269" t="s">
        <v>140</v>
      </c>
      <c r="B179" s="745" t="s">
        <v>460</v>
      </c>
      <c r="C179" s="734">
        <f>IFERROR((VLOOKUP(A179,'TB CY'!A:G,6,)+VLOOKUP(A179,'TB CY'!A:G,7,0)),0)</f>
        <v>0</v>
      </c>
      <c r="D179" s="746"/>
      <c r="E179" s="731">
        <f>IFERROR(VLOOKUP(A179,'TB Other'!A:M,8,0),0)+IFERROR(VLOOKUP(A179,'TB Other'!A:M,9,0),0)</f>
        <v>0</v>
      </c>
      <c r="F179" s="746"/>
      <c r="G179" s="731">
        <f>IFERROR(VLOOKUP(A179,'TB Other'!A:M,4,0),0)+IFERROR(VLOOKUP(A179,'TB Other'!A:M,5,0),0)</f>
        <v>0</v>
      </c>
      <c r="H179" s="746"/>
      <c r="I179" s="746">
        <f>IFERROR(VLOOKUP(A179,'TB Other'!A:M,13,0),0)+IFERROR(VLOOKUP(A179,'TB Other'!A:M,12,0),0)</f>
        <v>0</v>
      </c>
      <c r="J179" s="746"/>
      <c r="K179" s="747">
        <f>SUM(C179:J179)</f>
        <v>0</v>
      </c>
      <c r="L179" s="734">
        <f>VLOOKUP(A179,'TB PY'!A:G,7,)+VLOOKUP(A179,'TB PY'!A:G,6,)</f>
        <v>90000</v>
      </c>
      <c r="M179" s="746"/>
      <c r="N179" s="746"/>
      <c r="O179" s="746"/>
      <c r="P179" s="746"/>
      <c r="Q179" s="746"/>
      <c r="R179" s="746"/>
      <c r="S179" s="746"/>
      <c r="T179" s="747">
        <f>SUM(L179:S179)</f>
        <v>90000</v>
      </c>
    </row>
    <row r="180" spans="1:20" ht="16" thickBot="1">
      <c r="A180" s="269"/>
      <c r="B180" s="745"/>
      <c r="C180" s="734"/>
      <c r="D180" s="746"/>
      <c r="E180" s="746"/>
      <c r="F180" s="746"/>
      <c r="G180" s="746"/>
      <c r="H180" s="746"/>
      <c r="I180" s="746"/>
      <c r="J180" s="746"/>
      <c r="K180" s="747"/>
      <c r="L180" s="734"/>
      <c r="M180" s="746"/>
      <c r="N180" s="746"/>
      <c r="O180" s="746"/>
      <c r="P180" s="746"/>
      <c r="Q180" s="746"/>
      <c r="R180" s="746"/>
      <c r="S180" s="746"/>
      <c r="T180" s="747"/>
    </row>
    <row r="181" spans="1:20" ht="17" thickTop="1" thickBot="1">
      <c r="A181" s="749"/>
      <c r="B181" s="750" t="s">
        <v>51</v>
      </c>
      <c r="C181" s="751">
        <f t="shared" ref="C181:T181" si="113">SUM(C179:C180)</f>
        <v>0</v>
      </c>
      <c r="D181" s="752">
        <f t="shared" si="113"/>
        <v>0</v>
      </c>
      <c r="E181" s="752">
        <f t="shared" si="113"/>
        <v>0</v>
      </c>
      <c r="F181" s="752">
        <f t="shared" si="113"/>
        <v>0</v>
      </c>
      <c r="G181" s="752">
        <f t="shared" si="113"/>
        <v>0</v>
      </c>
      <c r="H181" s="752">
        <f t="shared" si="113"/>
        <v>0</v>
      </c>
      <c r="I181" s="752">
        <f t="shared" ref="I181:J181" si="114">SUM(I179:I180)</f>
        <v>0</v>
      </c>
      <c r="J181" s="752">
        <f t="shared" si="114"/>
        <v>0</v>
      </c>
      <c r="K181" s="753">
        <f t="shared" si="113"/>
        <v>0</v>
      </c>
      <c r="L181" s="751">
        <f t="shared" si="113"/>
        <v>90000</v>
      </c>
      <c r="M181" s="752">
        <f t="shared" si="113"/>
        <v>0</v>
      </c>
      <c r="N181" s="752">
        <f t="shared" si="113"/>
        <v>0</v>
      </c>
      <c r="O181" s="752">
        <f t="shared" si="113"/>
        <v>0</v>
      </c>
      <c r="P181" s="752">
        <f t="shared" si="113"/>
        <v>0</v>
      </c>
      <c r="Q181" s="752">
        <f t="shared" si="113"/>
        <v>0</v>
      </c>
      <c r="R181" s="752">
        <f t="shared" ref="R181:S181" si="115">SUM(R179:R180)</f>
        <v>0</v>
      </c>
      <c r="S181" s="752">
        <f t="shared" si="115"/>
        <v>0</v>
      </c>
      <c r="T181" s="754">
        <f t="shared" si="113"/>
        <v>90000</v>
      </c>
    </row>
    <row r="182" spans="1:20" ht="16" thickTop="1">
      <c r="A182" s="269" t="s">
        <v>231</v>
      </c>
      <c r="B182" s="745"/>
      <c r="C182" s="734"/>
      <c r="D182" s="746"/>
      <c r="E182" s="746"/>
      <c r="F182" s="746"/>
      <c r="G182" s="746"/>
      <c r="H182" s="746"/>
      <c r="I182" s="746"/>
      <c r="J182" s="746"/>
      <c r="K182" s="747"/>
      <c r="L182" s="734"/>
      <c r="M182" s="746"/>
      <c r="N182" s="746"/>
      <c r="O182" s="746"/>
      <c r="P182" s="746"/>
      <c r="Q182" s="746"/>
      <c r="R182" s="746"/>
      <c r="S182" s="746"/>
      <c r="T182" s="747"/>
    </row>
    <row r="183" spans="1:20">
      <c r="A183" s="269" t="s">
        <v>143</v>
      </c>
      <c r="B183" s="745" t="s">
        <v>460</v>
      </c>
      <c r="C183" s="734">
        <f>IFERROR((VLOOKUP(A183,'TB CY'!A:G,6,)+VLOOKUP(A183,'TB CY'!A:G,7,0)),0)</f>
        <v>532840.94999999995</v>
      </c>
      <c r="D183" s="746"/>
      <c r="E183" s="731">
        <f>IFERROR(VLOOKUP(A183,'TB Other'!A:M,8,0),0)+IFERROR(VLOOKUP(A183,'TB Other'!A:M,9,0),0)</f>
        <v>0</v>
      </c>
      <c r="F183" s="746"/>
      <c r="G183" s="731">
        <f>IFERROR(VLOOKUP(A183,'TB Other'!A:M,4,0),0)+IFERROR(VLOOKUP(A183,'TB Other'!A:M,5,0),0)</f>
        <v>0</v>
      </c>
      <c r="H183" s="746"/>
      <c r="I183" s="746">
        <f>IFERROR(VLOOKUP(A183,'TB Other'!A:M,13,0),0)+IFERROR(VLOOKUP(A183,'TB Other'!A:M,12,0),0)</f>
        <v>0</v>
      </c>
      <c r="J183" s="746">
        <v>371392</v>
      </c>
      <c r="K183" s="747">
        <f>SUM(C183:J183)</f>
        <v>904232.95</v>
      </c>
      <c r="L183" s="734">
        <f>VLOOKUP(A183,'TB PY'!A:G,7,)+VLOOKUP(A183,'TB PY'!A:G,6,)</f>
        <v>896596.75</v>
      </c>
      <c r="M183" s="746"/>
      <c r="N183" s="746"/>
      <c r="O183" s="746"/>
      <c r="P183" s="746"/>
      <c r="Q183" s="746"/>
      <c r="R183" s="746"/>
      <c r="S183" s="746"/>
      <c r="T183" s="747">
        <f>SUM(L183:S183)</f>
        <v>896596.75</v>
      </c>
    </row>
    <row r="184" spans="1:20" ht="16" thickBot="1">
      <c r="A184" s="269"/>
      <c r="B184" s="745"/>
      <c r="C184" s="734"/>
      <c r="D184" s="746"/>
      <c r="E184" s="746"/>
      <c r="F184" s="746"/>
      <c r="G184" s="746"/>
      <c r="H184" s="746"/>
      <c r="I184" s="746"/>
      <c r="J184" s="746"/>
      <c r="K184" s="747"/>
      <c r="L184" s="734"/>
      <c r="M184" s="746"/>
      <c r="N184" s="746"/>
      <c r="O184" s="746"/>
      <c r="P184" s="746"/>
      <c r="Q184" s="746"/>
      <c r="R184" s="746"/>
      <c r="S184" s="746"/>
      <c r="T184" s="747"/>
    </row>
    <row r="185" spans="1:20" ht="17" thickTop="1" thickBot="1">
      <c r="A185" s="749"/>
      <c r="B185" s="750" t="s">
        <v>51</v>
      </c>
      <c r="C185" s="751">
        <f t="shared" ref="C185:T185" si="116">SUM(C183:C184)</f>
        <v>532840.94999999995</v>
      </c>
      <c r="D185" s="752">
        <f t="shared" si="116"/>
        <v>0</v>
      </c>
      <c r="E185" s="752">
        <f t="shared" si="116"/>
        <v>0</v>
      </c>
      <c r="F185" s="752">
        <f t="shared" si="116"/>
        <v>0</v>
      </c>
      <c r="G185" s="752">
        <f t="shared" si="116"/>
        <v>0</v>
      </c>
      <c r="H185" s="752">
        <f t="shared" si="116"/>
        <v>0</v>
      </c>
      <c r="I185" s="752">
        <f t="shared" ref="I185:J185" si="117">SUM(I183:I184)</f>
        <v>0</v>
      </c>
      <c r="J185" s="752">
        <f t="shared" si="117"/>
        <v>371392</v>
      </c>
      <c r="K185" s="753">
        <f t="shared" si="116"/>
        <v>904232.95</v>
      </c>
      <c r="L185" s="751">
        <f t="shared" si="116"/>
        <v>896596.75</v>
      </c>
      <c r="M185" s="752">
        <f t="shared" si="116"/>
        <v>0</v>
      </c>
      <c r="N185" s="752">
        <f t="shared" si="116"/>
        <v>0</v>
      </c>
      <c r="O185" s="752">
        <f t="shared" si="116"/>
        <v>0</v>
      </c>
      <c r="P185" s="752">
        <f t="shared" si="116"/>
        <v>0</v>
      </c>
      <c r="Q185" s="752">
        <f t="shared" si="116"/>
        <v>0</v>
      </c>
      <c r="R185" s="752">
        <f t="shared" ref="R185:S185" si="118">SUM(R183:R184)</f>
        <v>0</v>
      </c>
      <c r="S185" s="752">
        <f t="shared" si="118"/>
        <v>0</v>
      </c>
      <c r="T185" s="754">
        <f t="shared" si="116"/>
        <v>896596.75</v>
      </c>
    </row>
    <row r="186" spans="1:20" ht="16" thickTop="1">
      <c r="A186" s="223" t="s">
        <v>227</v>
      </c>
      <c r="B186" s="745"/>
      <c r="C186" s="734"/>
      <c r="D186" s="746"/>
      <c r="E186" s="746"/>
      <c r="F186" s="746"/>
      <c r="G186" s="746"/>
      <c r="H186" s="746"/>
      <c r="I186" s="746"/>
      <c r="J186" s="746"/>
      <c r="K186" s="747"/>
      <c r="L186" s="734"/>
      <c r="M186" s="746"/>
      <c r="N186" s="746"/>
      <c r="O186" s="746"/>
      <c r="P186" s="746"/>
      <c r="Q186" s="746"/>
      <c r="R186" s="746"/>
      <c r="S186" s="746"/>
      <c r="T186" s="747"/>
    </row>
    <row r="187" spans="1:20">
      <c r="A187" s="269" t="s">
        <v>111</v>
      </c>
      <c r="B187" s="745" t="s">
        <v>460</v>
      </c>
      <c r="C187" s="734">
        <f>IFERROR((VLOOKUP(A187,'TB CY'!A:G,6,)+VLOOKUP(A187,'TB CY'!A:G,7,0)),0)</f>
        <v>22784461.960000001</v>
      </c>
      <c r="D187" s="746"/>
      <c r="E187" s="731">
        <f>IFERROR(VLOOKUP(A187,'TB Other'!A:M,8,0),0)+IFERROR(VLOOKUP(A187,'TB Other'!A:M,9,0),0)</f>
        <v>119646.88</v>
      </c>
      <c r="F187" s="746"/>
      <c r="G187" s="731">
        <f>IFERROR(VLOOKUP(A187,'TB Other'!A:M,4,0),0)+IFERROR(VLOOKUP(A187,'TB Other'!A:M,5,0),0)</f>
        <v>7421.6899999999987</v>
      </c>
      <c r="H187" s="746"/>
      <c r="I187" s="746">
        <v>194202.45</v>
      </c>
      <c r="J187" s="746">
        <f>37994+17440</f>
        <v>55434</v>
      </c>
      <c r="K187" s="747">
        <f t="shared" ref="K187:K197" si="119">SUM(C187:J187)</f>
        <v>23161166.98</v>
      </c>
      <c r="L187" s="734">
        <f>IFERROR(VLOOKUP(A187,'TB PY'!A:G,7,),0)+IFERROR(VLOOKUP(A187,'TB PY'!A:G,6,),0)</f>
        <v>0</v>
      </c>
      <c r="M187" s="746"/>
      <c r="N187" s="746"/>
      <c r="O187" s="746"/>
      <c r="P187" s="746"/>
      <c r="Q187" s="746"/>
      <c r="R187" s="746"/>
      <c r="S187" s="746"/>
      <c r="T187" s="747">
        <f t="shared" ref="T187:T197" si="120">SUM(L187:S187)</f>
        <v>0</v>
      </c>
    </row>
    <row r="188" spans="1:20">
      <c r="A188" s="269" t="s">
        <v>1131</v>
      </c>
      <c r="B188" s="745" t="s">
        <v>460</v>
      </c>
      <c r="C188" s="734">
        <f>IFERROR((VLOOKUP(A188,'TB CY'!A:G,6,)+VLOOKUP(A188,'TB CY'!A:G,7,0)),0)</f>
        <v>30.49</v>
      </c>
      <c r="D188" s="746"/>
      <c r="E188" s="731">
        <f>IFERROR(VLOOKUP(A188,'TB Other'!A:M,8,0),0)+IFERROR(VLOOKUP(A188,'TB Other'!A:M,9,0),0)</f>
        <v>0</v>
      </c>
      <c r="F188" s="746"/>
      <c r="G188" s="731">
        <f>IFERROR(VLOOKUP(A188,'TB Other'!A:M,4,0),0)+IFERROR(VLOOKUP(A188,'TB Other'!A:M,5,0),0)</f>
        <v>0</v>
      </c>
      <c r="H188" s="746"/>
      <c r="I188" s="746">
        <f>IFERROR(VLOOKUP(A188,'TB Other'!A:M,13,0),0)+IFERROR(VLOOKUP(A188,'TB Other'!A:M,12,0),0)</f>
        <v>0</v>
      </c>
      <c r="J188" s="746"/>
      <c r="K188" s="747">
        <f t="shared" si="119"/>
        <v>30.49</v>
      </c>
      <c r="L188" s="734">
        <f>IFERROR(VLOOKUP(A188,'TB PY'!A:G,7,),0)+IFERROR(VLOOKUP(A188,'TB PY'!A:G,6,),0)</f>
        <v>30.49</v>
      </c>
      <c r="M188" s="746"/>
      <c r="N188" s="746"/>
      <c r="O188" s="746"/>
      <c r="P188" s="746"/>
      <c r="Q188" s="746"/>
      <c r="R188" s="746"/>
      <c r="S188" s="746"/>
      <c r="T188" s="747">
        <f t="shared" si="120"/>
        <v>30.49</v>
      </c>
    </row>
    <row r="189" spans="1:20">
      <c r="A189" s="269" t="s">
        <v>522</v>
      </c>
      <c r="B189" s="745" t="s">
        <v>460</v>
      </c>
      <c r="C189" s="734">
        <f>IFERROR((VLOOKUP(A189,'TB CY'!A:G,6,)+VLOOKUP(A189,'TB CY'!A:G,7,0)),0)</f>
        <v>0</v>
      </c>
      <c r="D189" s="746"/>
      <c r="E189" s="731">
        <f>IFERROR(VLOOKUP(A189,'TB Other'!A:M,8,0),0)+IFERROR(VLOOKUP(A189,'TB Other'!A:M,9,0),0)</f>
        <v>0</v>
      </c>
      <c r="F189" s="746"/>
      <c r="G189" s="731">
        <f>IFERROR(VLOOKUP(A189,'TB Other'!A:M,4,0),0)+IFERROR(VLOOKUP(A189,'TB Other'!A:M,5,0),0)</f>
        <v>0</v>
      </c>
      <c r="H189" s="746"/>
      <c r="I189" s="746">
        <f>IFERROR(VLOOKUP(A189,'TB Other'!A:M,13,0),0)+IFERROR(VLOOKUP(A189,'TB Other'!A:M,12,0),0)</f>
        <v>0</v>
      </c>
      <c r="J189" s="746"/>
      <c r="K189" s="747">
        <f t="shared" si="119"/>
        <v>0</v>
      </c>
      <c r="L189" s="734">
        <f>IFERROR(VLOOKUP(A189,'TB PY'!A:G,7,),0)+IFERROR(VLOOKUP(A189,'TB PY'!A:G,6,),0)</f>
        <v>-9013.7000000000007</v>
      </c>
      <c r="M189" s="746"/>
      <c r="N189" s="746"/>
      <c r="O189" s="746"/>
      <c r="P189" s="746">
        <v>4385</v>
      </c>
      <c r="Q189" s="746"/>
      <c r="R189" s="746"/>
      <c r="S189" s="746"/>
      <c r="T189" s="747">
        <f t="shared" si="120"/>
        <v>-4628.7000000000007</v>
      </c>
    </row>
    <row r="190" spans="1:20">
      <c r="A190" s="269" t="s">
        <v>1030</v>
      </c>
      <c r="B190" s="745" t="s">
        <v>460</v>
      </c>
      <c r="C190" s="734">
        <f>IFERROR((VLOOKUP(A190,'TB CY'!A:G,6,)+VLOOKUP(A190,'TB CY'!A:G,7,0)),0)</f>
        <v>0</v>
      </c>
      <c r="D190" s="746"/>
      <c r="E190" s="731">
        <f>IFERROR(VLOOKUP(A190,'TB Other'!A:M,8,0),0)+IFERROR(VLOOKUP(A190,'TB Other'!A:M,9,0),0)</f>
        <v>0</v>
      </c>
      <c r="F190" s="746"/>
      <c r="G190" s="731">
        <f>IFERROR(VLOOKUP(A190,'TB Other'!A:M,4,0),0)+IFERROR(VLOOKUP(A190,'TB Other'!A:M,5,0),0)</f>
        <v>0</v>
      </c>
      <c r="H190" s="746"/>
      <c r="I190" s="746">
        <f>IFERROR(VLOOKUP(A190,'TB Other'!A:M,13,0),0)+IFERROR(VLOOKUP(A190,'TB Other'!A:M,12,0),0)</f>
        <v>0</v>
      </c>
      <c r="J190" s="746"/>
      <c r="K190" s="747">
        <f t="shared" si="119"/>
        <v>0</v>
      </c>
      <c r="L190" s="734">
        <f>IFERROR(VLOOKUP(A190,'TB PY'!A:G,7,),0)+IFERROR(VLOOKUP(A190,'TB PY'!A:G,6,),0)</f>
        <v>-49.15</v>
      </c>
      <c r="M190" s="746"/>
      <c r="N190" s="746"/>
      <c r="O190" s="746"/>
      <c r="P190" s="746">
        <v>8898</v>
      </c>
      <c r="Q190" s="746"/>
      <c r="R190" s="746"/>
      <c r="S190" s="746"/>
      <c r="T190" s="747">
        <f t="shared" si="120"/>
        <v>8848.85</v>
      </c>
    </row>
    <row r="191" spans="1:20">
      <c r="A191" s="269" t="s">
        <v>1132</v>
      </c>
      <c r="B191" s="745" t="s">
        <v>460</v>
      </c>
      <c r="C191" s="734">
        <f>IFERROR((VLOOKUP(A191,'TB CY'!A:G,6,)+VLOOKUP(A191,'TB CY'!A:G,7,0)),0)</f>
        <v>73.11</v>
      </c>
      <c r="D191" s="746"/>
      <c r="E191" s="731">
        <f>IFERROR(VLOOKUP(A191,'TB Other'!A:M,8,0),0)+IFERROR(VLOOKUP(A191,'TB Other'!A:M,9,0),0)</f>
        <v>0</v>
      </c>
      <c r="F191" s="746"/>
      <c r="G191" s="731">
        <f>IFERROR(VLOOKUP(A191,'TB Other'!A:M,4,0),0)+IFERROR(VLOOKUP(A191,'TB Other'!A:M,5,0),0)</f>
        <v>0</v>
      </c>
      <c r="H191" s="746"/>
      <c r="I191" s="746">
        <f>IFERROR(VLOOKUP(A191,'TB Other'!A:M,13,0),0)+IFERROR(VLOOKUP(A191,'TB Other'!A:M,12,0),0)</f>
        <v>0</v>
      </c>
      <c r="J191" s="746"/>
      <c r="K191" s="747">
        <f t="shared" si="119"/>
        <v>73.11</v>
      </c>
      <c r="L191" s="734">
        <f>IFERROR(VLOOKUP(A191,'TB PY'!A:G,7,),0)+IFERROR(VLOOKUP(A191,'TB PY'!A:G,6,),0)</f>
        <v>73.11</v>
      </c>
      <c r="M191" s="746"/>
      <c r="N191" s="746"/>
      <c r="O191" s="746"/>
      <c r="P191" s="746"/>
      <c r="Q191" s="746"/>
      <c r="R191" s="746"/>
      <c r="S191" s="746"/>
      <c r="T191" s="747">
        <f t="shared" si="120"/>
        <v>73.11</v>
      </c>
    </row>
    <row r="192" spans="1:20">
      <c r="A192" s="269" t="s">
        <v>1579</v>
      </c>
      <c r="B192" s="745" t="s">
        <v>460</v>
      </c>
      <c r="C192" s="734">
        <f>IFERROR((VLOOKUP(A192,'TB CY'!A:G,6,)+VLOOKUP(A192,'TB CY'!A:G,7,0)),0)</f>
        <v>32874.69</v>
      </c>
      <c r="D192" s="746"/>
      <c r="E192" s="731">
        <f>IFERROR(VLOOKUP(A192,'TB Other'!A:M,8,0),0)+IFERROR(VLOOKUP(A192,'TB Other'!A:M,9,0),0)</f>
        <v>0</v>
      </c>
      <c r="F192" s="746"/>
      <c r="G192" s="731">
        <f>IFERROR(VLOOKUP(A192,'TB Other'!A:M,4,0),0)+IFERROR(VLOOKUP(A192,'TB Other'!A:M,5,0),0)</f>
        <v>0</v>
      </c>
      <c r="H192" s="746"/>
      <c r="I192" s="746"/>
      <c r="J192" s="746"/>
      <c r="K192" s="747">
        <f t="shared" si="119"/>
        <v>32874.69</v>
      </c>
      <c r="L192" s="734">
        <f>IFERROR(VLOOKUP(A192,'TB PY'!A:G,7,),0)+IFERROR(VLOOKUP(A192,'TB PY'!A:G,6,),0)</f>
        <v>0</v>
      </c>
      <c r="M192" s="746"/>
      <c r="N192" s="746"/>
      <c r="O192" s="746"/>
      <c r="P192" s="746"/>
      <c r="Q192" s="746"/>
      <c r="R192" s="746"/>
      <c r="S192" s="746"/>
      <c r="T192" s="747">
        <f t="shared" si="120"/>
        <v>0</v>
      </c>
    </row>
    <row r="193" spans="1:20">
      <c r="A193" s="269" t="s">
        <v>1591</v>
      </c>
      <c r="B193" s="745" t="s">
        <v>460</v>
      </c>
      <c r="C193" s="734">
        <f>IFERROR((VLOOKUP(A193,'TB CY'!A:G,6,)+VLOOKUP(A193,'TB CY'!A:G,7,0)),0)</f>
        <v>0</v>
      </c>
      <c r="D193" s="746"/>
      <c r="E193" s="731">
        <f>IFERROR(VLOOKUP(A193,'TB Other'!A:M,8,0),0)+IFERROR(VLOOKUP(A193,'TB Other'!A:M,9,0),0)</f>
        <v>0</v>
      </c>
      <c r="F193" s="746"/>
      <c r="G193" s="731">
        <f>IFERROR(VLOOKUP(A193,'TB Other'!A:M,4,0),0)+IFERROR(VLOOKUP(A193,'TB Other'!A:M,5,0),0)</f>
        <v>4384.95</v>
      </c>
      <c r="H193" s="746"/>
      <c r="I193" s="746">
        <v>51.24</v>
      </c>
      <c r="J193" s="746"/>
      <c r="K193" s="747">
        <f t="shared" ref="K193" si="121">SUM(C193:J193)</f>
        <v>4436.1899999999996</v>
      </c>
      <c r="L193" s="734">
        <f>IFERROR(VLOOKUP(A193,'TB PY'!A:G,7,),0)+IFERROR(VLOOKUP(A193,'TB PY'!A:G,6,),0)</f>
        <v>0</v>
      </c>
      <c r="M193" s="746"/>
      <c r="N193" s="746"/>
      <c r="O193" s="746"/>
      <c r="P193" s="746"/>
      <c r="Q193" s="746"/>
      <c r="R193" s="746"/>
      <c r="S193" s="746"/>
      <c r="T193" s="747">
        <f t="shared" ref="T193" si="122">SUM(L193:S193)</f>
        <v>0</v>
      </c>
    </row>
    <row r="194" spans="1:20">
      <c r="A194" s="269" t="s">
        <v>1134</v>
      </c>
      <c r="B194" s="745" t="s">
        <v>460</v>
      </c>
      <c r="C194" s="734">
        <f>IFERROR((VLOOKUP(A194,'TB CY'!A:G,6,)+VLOOKUP(A194,'TB CY'!A:G,7,0)),0)</f>
        <v>0</v>
      </c>
      <c r="D194" s="746"/>
      <c r="E194" s="731">
        <f>IFERROR(VLOOKUP(A194,'TB Other'!A:M,8,0),0)+IFERROR(VLOOKUP(A194,'TB Other'!A:M,9,0),0)</f>
        <v>0</v>
      </c>
      <c r="F194" s="746"/>
      <c r="G194" s="731">
        <f>IFERROR(VLOOKUP(A194,'TB Other'!A:M,4,0),0)+IFERROR(VLOOKUP(A194,'TB Other'!A:M,5,0),0)</f>
        <v>0</v>
      </c>
      <c r="H194" s="746"/>
      <c r="I194" s="746">
        <f>IFERROR(VLOOKUP(A194,'TB Other'!A:M,13,0),0)+IFERROR(VLOOKUP(A194,'TB Other'!A:M,12,0),0)</f>
        <v>0</v>
      </c>
      <c r="J194" s="746"/>
      <c r="K194" s="747">
        <f t="shared" si="119"/>
        <v>0</v>
      </c>
      <c r="L194" s="734">
        <f>IFERROR(VLOOKUP(A194,'TB PY'!A:G,7,),0)+IFERROR(VLOOKUP(A194,'TB PY'!A:G,6,),0)</f>
        <v>0</v>
      </c>
      <c r="M194" s="746"/>
      <c r="N194" s="746"/>
      <c r="O194" s="746"/>
      <c r="P194" s="746"/>
      <c r="Q194" s="746"/>
      <c r="R194" s="746"/>
      <c r="S194" s="746"/>
      <c r="T194" s="747">
        <f t="shared" si="120"/>
        <v>0</v>
      </c>
    </row>
    <row r="195" spans="1:20">
      <c r="A195" s="269" t="s">
        <v>157</v>
      </c>
      <c r="B195" s="745" t="s">
        <v>460</v>
      </c>
      <c r="C195" s="734">
        <f>IFERROR((VLOOKUP(A195,'TB CY'!A:G,6,)+VLOOKUP(A195,'TB CY'!A:G,7,0)),0)</f>
        <v>22578.799999999999</v>
      </c>
      <c r="D195" s="746"/>
      <c r="E195" s="731">
        <f>IFERROR(VLOOKUP(A195,'TB Other'!A:M,8,0),0)+IFERROR(VLOOKUP(A195,'TB Other'!A:M,9,0),0)</f>
        <v>0</v>
      </c>
      <c r="F195" s="746"/>
      <c r="G195" s="731">
        <f>IFERROR(VLOOKUP(A195,'TB Other'!A:M,4,0),0)+IFERROR(VLOOKUP(A195,'TB Other'!A:M,5,0),0)</f>
        <v>0</v>
      </c>
      <c r="H195" s="746"/>
      <c r="I195" s="746">
        <f>IFERROR(VLOOKUP(A195,'TB Other'!A:M,13,0),0)+IFERROR(VLOOKUP(A195,'TB Other'!A:M,12,0),0)</f>
        <v>0</v>
      </c>
      <c r="J195" s="746">
        <v>12316</v>
      </c>
      <c r="K195" s="747">
        <f t="shared" si="119"/>
        <v>34894.800000000003</v>
      </c>
      <c r="L195" s="734">
        <f>IFERROR(VLOOKUP(A195,'TB PY'!A:G,7,),0)+IFERROR(VLOOKUP(A195,'TB PY'!A:G,6,),0)</f>
        <v>22580</v>
      </c>
      <c r="M195" s="746"/>
      <c r="N195" s="746"/>
      <c r="O195" s="746"/>
      <c r="P195" s="746"/>
      <c r="Q195" s="746"/>
      <c r="R195" s="746"/>
      <c r="S195" s="746"/>
      <c r="T195" s="747">
        <f t="shared" si="120"/>
        <v>22580</v>
      </c>
    </row>
    <row r="196" spans="1:20">
      <c r="A196" s="269" t="s">
        <v>546</v>
      </c>
      <c r="B196" s="745" t="s">
        <v>460</v>
      </c>
      <c r="C196" s="734">
        <f>IFERROR((VLOOKUP(A196,'TB CY'!A:G,6,)+VLOOKUP(A196,'TB CY'!A:G,7,0)),0)</f>
        <v>0</v>
      </c>
      <c r="D196" s="746"/>
      <c r="E196" s="731">
        <f>IFERROR(VLOOKUP(A196,'TB Other'!A:M,8,0),0)+IFERROR(VLOOKUP(A196,'TB Other'!A:M,9,0),0)</f>
        <v>0</v>
      </c>
      <c r="F196" s="746"/>
      <c r="G196" s="731">
        <f>IFERROR(VLOOKUP(A196,'TB Other'!A:M,4,0),0)+IFERROR(VLOOKUP(A196,'TB Other'!A:M,5,0),0)</f>
        <v>0</v>
      </c>
      <c r="H196" s="746"/>
      <c r="I196" s="746">
        <f>IFERROR(VLOOKUP(A196,'TB Other'!A:M,13,0),0)+IFERROR(VLOOKUP(A196,'TB Other'!A:M,12,0),0)</f>
        <v>0</v>
      </c>
      <c r="J196" s="746"/>
      <c r="K196" s="747">
        <f t="shared" si="119"/>
        <v>0</v>
      </c>
      <c r="L196" s="734">
        <f>-IFERROR(VLOOKUP(A196,'TB PY'!A:G,7,),0)-IFERROR(VLOOKUP(A196,'TB PY'!A:G,6,),0)</f>
        <v>17323972.419999998</v>
      </c>
      <c r="M196" s="746"/>
      <c r="N196" s="746">
        <v>31324</v>
      </c>
      <c r="O196" s="746"/>
      <c r="P196" s="746">
        <v>89102</v>
      </c>
      <c r="Q196" s="746"/>
      <c r="R196" s="746"/>
      <c r="S196" s="746"/>
      <c r="T196" s="747">
        <f t="shared" si="120"/>
        <v>17444398.419999998</v>
      </c>
    </row>
    <row r="197" spans="1:20" ht="16" thickBot="1">
      <c r="A197" s="269" t="s">
        <v>141</v>
      </c>
      <c r="B197" s="745" t="s">
        <v>460</v>
      </c>
      <c r="C197" s="734">
        <f>IFERROR((VLOOKUP(A197,'TB CY'!A:G,6,)+VLOOKUP(A197,'TB CY'!A:G,7,0)),0)</f>
        <v>882050.61</v>
      </c>
      <c r="D197" s="746"/>
      <c r="E197" s="731">
        <f>IFERROR(VLOOKUP(A197,'TB Other'!A:M,8,0),0)+IFERROR(VLOOKUP(A197,'TB Other'!A:M,9,0),0)</f>
        <v>0</v>
      </c>
      <c r="F197" s="746"/>
      <c r="G197" s="731">
        <f>IFERROR(VLOOKUP(A197,'TB Other'!A:M,4,0),0)+IFERROR(VLOOKUP(A197,'TB Other'!A:M,5,0),0)</f>
        <v>0</v>
      </c>
      <c r="H197" s="746"/>
      <c r="I197" s="746">
        <f>IFERROR(VLOOKUP(A197,'TB Other'!A:M,13,0),0)+IFERROR(VLOOKUP(A197,'TB Other'!A:M,12,0),0)</f>
        <v>0</v>
      </c>
      <c r="J197" s="746">
        <v>-59511.72</v>
      </c>
      <c r="K197" s="747">
        <f t="shared" si="119"/>
        <v>822538.89</v>
      </c>
      <c r="L197" s="734">
        <f>IFERROR(VLOOKUP(A197,'TB PY'!A:G,7,),0)+IFERROR(VLOOKUP(A197,'TB PY'!A:G,6,),0)</f>
        <v>274204.81</v>
      </c>
      <c r="M197" s="746"/>
      <c r="N197" s="746"/>
      <c r="O197" s="746"/>
      <c r="P197" s="746"/>
      <c r="Q197" s="746"/>
      <c r="R197" s="746"/>
      <c r="S197" s="746"/>
      <c r="T197" s="747">
        <f t="shared" si="120"/>
        <v>274204.81</v>
      </c>
    </row>
    <row r="198" spans="1:20" ht="17" thickTop="1" thickBot="1">
      <c r="A198" s="749"/>
      <c r="B198" s="750" t="s">
        <v>51</v>
      </c>
      <c r="C198" s="751">
        <f t="shared" ref="C198:T198" si="123">SUM(C187:C197)</f>
        <v>23722069.66</v>
      </c>
      <c r="D198" s="752">
        <f t="shared" si="123"/>
        <v>0</v>
      </c>
      <c r="E198" s="752">
        <f t="shared" si="123"/>
        <v>119646.88</v>
      </c>
      <c r="F198" s="752">
        <f t="shared" si="123"/>
        <v>0</v>
      </c>
      <c r="G198" s="752">
        <f t="shared" si="123"/>
        <v>11806.64</v>
      </c>
      <c r="H198" s="752">
        <f t="shared" si="123"/>
        <v>0</v>
      </c>
      <c r="I198" s="752">
        <f t="shared" ref="I198" si="124">SUM(I187:I197)</f>
        <v>194253.69</v>
      </c>
      <c r="J198" s="752">
        <f t="shared" ref="J198" si="125">SUM(J187:J197)</f>
        <v>8238.2799999999988</v>
      </c>
      <c r="K198" s="753">
        <f>SUM(K187:K197)</f>
        <v>24056015.150000002</v>
      </c>
      <c r="L198" s="751">
        <f t="shared" si="123"/>
        <v>17611797.979999997</v>
      </c>
      <c r="M198" s="752">
        <f t="shared" si="123"/>
        <v>0</v>
      </c>
      <c r="N198" s="752">
        <f t="shared" si="123"/>
        <v>31324</v>
      </c>
      <c r="O198" s="752">
        <f t="shared" si="123"/>
        <v>0</v>
      </c>
      <c r="P198" s="752">
        <f t="shared" si="123"/>
        <v>102385</v>
      </c>
      <c r="Q198" s="752">
        <f t="shared" si="123"/>
        <v>0</v>
      </c>
      <c r="R198" s="752">
        <f t="shared" ref="R198" si="126">SUM(R187:R197)</f>
        <v>0</v>
      </c>
      <c r="S198" s="752">
        <f t="shared" ref="S198" si="127">SUM(S187:S197)</f>
        <v>0</v>
      </c>
      <c r="T198" s="754">
        <f t="shared" si="123"/>
        <v>17745506.979999997</v>
      </c>
    </row>
    <row r="199" spans="1:20" ht="16" thickTop="1">
      <c r="A199" s="223" t="s">
        <v>348</v>
      </c>
      <c r="B199" s="745"/>
      <c r="C199" s="734"/>
      <c r="D199" s="746"/>
      <c r="E199" s="746"/>
      <c r="F199" s="746"/>
      <c r="G199" s="746"/>
      <c r="H199" s="746"/>
      <c r="I199" s="746"/>
      <c r="J199" s="746"/>
      <c r="K199" s="747"/>
      <c r="L199" s="734"/>
      <c r="M199" s="746"/>
      <c r="N199" s="746"/>
      <c r="O199" s="746"/>
      <c r="P199" s="746"/>
      <c r="Q199" s="746"/>
      <c r="R199" s="746"/>
      <c r="S199" s="746"/>
      <c r="T199" s="747"/>
    </row>
    <row r="200" spans="1:20">
      <c r="A200" s="269"/>
      <c r="B200" s="745" t="s">
        <v>1228</v>
      </c>
      <c r="C200" s="734"/>
      <c r="D200" s="746">
        <f>-D143</f>
        <v>14557</v>
      </c>
      <c r="E200" s="746"/>
      <c r="F200" s="746"/>
      <c r="G200" s="746"/>
      <c r="H200" s="746"/>
      <c r="I200" s="746"/>
      <c r="J200" s="746"/>
      <c r="K200" s="747">
        <f>SUBTOTAL(9,C200:J200)</f>
        <v>14557</v>
      </c>
      <c r="L200" s="734">
        <v>14412.333333333334</v>
      </c>
      <c r="M200" s="746"/>
      <c r="N200" s="746"/>
      <c r="O200" s="746"/>
      <c r="P200" s="746"/>
      <c r="Q200" s="746"/>
      <c r="R200" s="746"/>
      <c r="S200" s="746"/>
      <c r="T200" s="747">
        <f>SUBTOTAL(9,L200:S200)</f>
        <v>14412.333333333334</v>
      </c>
    </row>
    <row r="201" spans="1:20" ht="16" thickBot="1">
      <c r="A201" s="269"/>
      <c r="B201" s="745"/>
      <c r="C201" s="734"/>
      <c r="D201" s="746"/>
      <c r="E201" s="746"/>
      <c r="F201" s="746"/>
      <c r="G201" s="746"/>
      <c r="H201" s="746"/>
      <c r="I201" s="746"/>
      <c r="J201" s="746"/>
      <c r="K201" s="747"/>
      <c r="L201" s="734"/>
      <c r="M201" s="746"/>
      <c r="N201" s="746"/>
      <c r="O201" s="746"/>
      <c r="P201" s="746"/>
      <c r="Q201" s="746"/>
      <c r="R201" s="746"/>
      <c r="S201" s="746"/>
      <c r="T201" s="747"/>
    </row>
    <row r="202" spans="1:20" ht="17" thickTop="1" thickBot="1">
      <c r="A202" s="749"/>
      <c r="B202" s="750" t="s">
        <v>51</v>
      </c>
      <c r="C202" s="751">
        <f t="shared" ref="C202:T202" si="128">SUM(C200:C201)</f>
        <v>0</v>
      </c>
      <c r="D202" s="752">
        <f t="shared" si="128"/>
        <v>14557</v>
      </c>
      <c r="E202" s="752">
        <f t="shared" si="128"/>
        <v>0</v>
      </c>
      <c r="F202" s="752">
        <f t="shared" si="128"/>
        <v>0</v>
      </c>
      <c r="G202" s="752">
        <f t="shared" si="128"/>
        <v>0</v>
      </c>
      <c r="H202" s="752">
        <f t="shared" si="128"/>
        <v>0</v>
      </c>
      <c r="I202" s="752">
        <f t="shared" ref="I202:J202" si="129">SUM(I200:I201)</f>
        <v>0</v>
      </c>
      <c r="J202" s="752">
        <f t="shared" si="129"/>
        <v>0</v>
      </c>
      <c r="K202" s="753">
        <f t="shared" si="128"/>
        <v>14557</v>
      </c>
      <c r="L202" s="751">
        <f t="shared" si="128"/>
        <v>14412.333333333334</v>
      </c>
      <c r="M202" s="752">
        <f t="shared" si="128"/>
        <v>0</v>
      </c>
      <c r="N202" s="752">
        <f t="shared" si="128"/>
        <v>0</v>
      </c>
      <c r="O202" s="752">
        <f t="shared" si="128"/>
        <v>0</v>
      </c>
      <c r="P202" s="752">
        <f t="shared" si="128"/>
        <v>0</v>
      </c>
      <c r="Q202" s="752">
        <f t="shared" si="128"/>
        <v>0</v>
      </c>
      <c r="R202" s="752">
        <f t="shared" ref="R202:S202" si="130">SUM(R200:R201)</f>
        <v>0</v>
      </c>
      <c r="S202" s="752">
        <f t="shared" si="130"/>
        <v>0</v>
      </c>
      <c r="T202" s="754">
        <f t="shared" si="128"/>
        <v>14412.333333333334</v>
      </c>
    </row>
    <row r="203" spans="1:20" ht="16" thickTop="1">
      <c r="B203" s="756"/>
      <c r="C203" s="734"/>
      <c r="D203" s="746"/>
      <c r="E203" s="746"/>
      <c r="F203" s="746"/>
      <c r="G203" s="746"/>
      <c r="H203" s="746"/>
      <c r="I203" s="746"/>
      <c r="J203" s="746"/>
      <c r="K203" s="747"/>
      <c r="L203" s="734"/>
      <c r="M203" s="746"/>
      <c r="N203" s="746"/>
      <c r="O203" s="746"/>
      <c r="P203" s="746"/>
      <c r="Q203" s="746"/>
      <c r="R203" s="746"/>
      <c r="S203" s="746"/>
      <c r="T203" s="747"/>
    </row>
    <row r="204" spans="1:20">
      <c r="B204" s="756"/>
      <c r="C204" s="734"/>
      <c r="D204" s="746"/>
      <c r="E204" s="746"/>
      <c r="F204" s="746"/>
      <c r="G204" s="746"/>
      <c r="H204" s="746"/>
      <c r="I204" s="746"/>
      <c r="J204" s="746"/>
      <c r="K204" s="747"/>
      <c r="L204" s="734"/>
      <c r="M204" s="746"/>
      <c r="N204" s="746"/>
      <c r="O204" s="746"/>
      <c r="P204" s="746"/>
      <c r="Q204" s="746"/>
      <c r="R204" s="746"/>
      <c r="S204" s="746"/>
      <c r="T204" s="747"/>
    </row>
    <row r="205" spans="1:20">
      <c r="B205" s="756"/>
      <c r="C205" s="734"/>
      <c r="D205" s="746"/>
      <c r="E205" s="746"/>
      <c r="F205" s="746"/>
      <c r="G205" s="746"/>
      <c r="H205" s="746"/>
      <c r="I205" s="746"/>
      <c r="J205" s="746"/>
      <c r="K205" s="747"/>
      <c r="L205" s="734"/>
      <c r="M205" s="746"/>
      <c r="N205" s="746"/>
      <c r="O205" s="746"/>
      <c r="P205" s="746"/>
      <c r="Q205" s="746"/>
      <c r="R205" s="746"/>
      <c r="S205" s="746"/>
      <c r="T205" s="747"/>
    </row>
    <row r="206" spans="1:20">
      <c r="B206" s="756"/>
      <c r="C206" s="734"/>
      <c r="D206" s="746"/>
      <c r="E206" s="746"/>
      <c r="F206" s="746"/>
      <c r="G206" s="746"/>
      <c r="H206" s="746"/>
      <c r="I206" s="746"/>
      <c r="J206" s="746"/>
      <c r="K206" s="747"/>
      <c r="L206" s="734"/>
      <c r="M206" s="746"/>
      <c r="N206" s="746"/>
      <c r="O206" s="746"/>
      <c r="P206" s="746"/>
      <c r="Q206" s="746"/>
      <c r="R206" s="746"/>
      <c r="S206" s="746"/>
      <c r="T206" s="747"/>
    </row>
    <row r="207" spans="1:20">
      <c r="B207" s="756"/>
      <c r="C207" s="734"/>
      <c r="D207" s="746"/>
      <c r="E207" s="746"/>
      <c r="F207" s="746"/>
      <c r="G207" s="746"/>
      <c r="H207" s="746"/>
      <c r="I207" s="746"/>
      <c r="J207" s="746"/>
      <c r="K207" s="747"/>
      <c r="L207" s="734"/>
      <c r="M207" s="746"/>
      <c r="N207" s="746"/>
      <c r="O207" s="746"/>
      <c r="P207" s="746"/>
      <c r="Q207" s="746"/>
      <c r="R207" s="746"/>
      <c r="S207" s="746"/>
      <c r="T207" s="747"/>
    </row>
    <row r="208" spans="1:20">
      <c r="B208" s="756"/>
      <c r="C208" s="734"/>
      <c r="D208" s="746"/>
      <c r="E208" s="746"/>
      <c r="F208" s="746"/>
      <c r="G208" s="746"/>
      <c r="H208" s="746"/>
      <c r="I208" s="746"/>
      <c r="J208" s="746"/>
      <c r="K208" s="747"/>
      <c r="L208" s="734"/>
      <c r="M208" s="746"/>
      <c r="N208" s="746"/>
      <c r="O208" s="746"/>
      <c r="P208" s="746"/>
      <c r="Q208" s="746"/>
      <c r="R208" s="746"/>
      <c r="S208" s="746"/>
      <c r="T208" s="747"/>
    </row>
    <row r="209" spans="1:23">
      <c r="B209" s="756"/>
      <c r="C209" s="734"/>
      <c r="D209" s="746"/>
      <c r="E209" s="746"/>
      <c r="F209" s="746"/>
      <c r="G209" s="746"/>
      <c r="H209" s="746"/>
      <c r="I209" s="746"/>
      <c r="J209" s="746"/>
      <c r="K209" s="747"/>
      <c r="L209" s="734"/>
      <c r="M209" s="746"/>
      <c r="N209" s="746"/>
      <c r="O209" s="746"/>
      <c r="P209" s="746"/>
      <c r="Q209" s="746"/>
      <c r="R209" s="746"/>
      <c r="S209" s="746"/>
      <c r="T209" s="747"/>
    </row>
    <row r="210" spans="1:23">
      <c r="B210" s="756"/>
      <c r="C210" s="734"/>
      <c r="D210" s="746"/>
      <c r="E210" s="746"/>
      <c r="F210" s="746"/>
      <c r="G210" s="746"/>
      <c r="H210" s="746"/>
      <c r="I210" s="746"/>
      <c r="J210" s="746"/>
      <c r="K210" s="747"/>
      <c r="L210" s="734"/>
      <c r="M210" s="746"/>
      <c r="N210" s="746"/>
      <c r="O210" s="746"/>
      <c r="P210" s="746"/>
      <c r="Q210" s="746"/>
      <c r="R210" s="746"/>
      <c r="S210" s="746"/>
      <c r="T210" s="747"/>
    </row>
    <row r="211" spans="1:23">
      <c r="B211" s="756"/>
      <c r="C211" s="734"/>
      <c r="D211" s="746"/>
      <c r="E211" s="746"/>
      <c r="F211" s="746"/>
      <c r="G211" s="746"/>
      <c r="H211" s="746"/>
      <c r="I211" s="746"/>
      <c r="J211" s="746"/>
      <c r="K211" s="747"/>
      <c r="L211" s="734"/>
      <c r="M211" s="746"/>
      <c r="N211" s="746"/>
      <c r="O211" s="746"/>
      <c r="P211" s="746"/>
      <c r="Q211" s="746"/>
      <c r="R211" s="746"/>
      <c r="S211" s="746"/>
      <c r="T211" s="747"/>
    </row>
    <row r="212" spans="1:23">
      <c r="B212" s="756"/>
      <c r="C212" s="734"/>
      <c r="D212" s="746"/>
      <c r="E212" s="746"/>
      <c r="F212" s="746"/>
      <c r="G212" s="746"/>
      <c r="H212" s="746"/>
      <c r="I212" s="746"/>
      <c r="J212" s="746"/>
      <c r="K212" s="747"/>
      <c r="L212" s="734"/>
      <c r="M212" s="746"/>
      <c r="N212" s="746"/>
      <c r="O212" s="746"/>
      <c r="P212" s="746"/>
      <c r="Q212" s="746"/>
      <c r="R212" s="746"/>
      <c r="S212" s="746"/>
      <c r="T212" s="747"/>
    </row>
    <row r="213" spans="1:23">
      <c r="B213" s="756"/>
      <c r="C213" s="734"/>
      <c r="D213" s="746"/>
      <c r="E213" s="746"/>
      <c r="F213" s="746"/>
      <c r="G213" s="746"/>
      <c r="H213" s="746"/>
      <c r="I213" s="746"/>
      <c r="J213" s="746"/>
      <c r="K213" s="747"/>
      <c r="L213" s="734"/>
      <c r="M213" s="746"/>
      <c r="N213" s="746"/>
      <c r="O213" s="746"/>
      <c r="P213" s="746"/>
      <c r="Q213" s="746"/>
      <c r="R213" s="746"/>
      <c r="S213" s="746"/>
      <c r="T213" s="747"/>
    </row>
    <row r="214" spans="1:23">
      <c r="B214" s="756"/>
      <c r="C214" s="734"/>
      <c r="D214" s="746"/>
      <c r="E214" s="746"/>
      <c r="F214" s="746"/>
      <c r="G214" s="746"/>
      <c r="H214" s="746"/>
      <c r="I214" s="746"/>
      <c r="J214" s="746"/>
      <c r="K214" s="747"/>
      <c r="L214" s="734"/>
      <c r="M214" s="746"/>
      <c r="N214" s="746"/>
      <c r="O214" s="746"/>
      <c r="P214" s="746"/>
      <c r="Q214" s="746"/>
      <c r="R214" s="746"/>
      <c r="S214" s="746"/>
      <c r="T214" s="747"/>
    </row>
    <row r="215" spans="1:23">
      <c r="B215" s="756"/>
      <c r="C215" s="734"/>
      <c r="D215" s="746"/>
      <c r="E215" s="746"/>
      <c r="F215" s="746"/>
      <c r="G215" s="746"/>
      <c r="H215" s="746"/>
      <c r="I215" s="746"/>
      <c r="J215" s="746"/>
      <c r="K215" s="747"/>
      <c r="L215" s="734"/>
      <c r="M215" s="746"/>
      <c r="N215" s="746"/>
      <c r="O215" s="746"/>
      <c r="P215" s="746"/>
      <c r="Q215" s="746"/>
      <c r="R215" s="746"/>
      <c r="S215" s="746"/>
      <c r="T215" s="747"/>
    </row>
    <row r="216" spans="1:23">
      <c r="B216" s="756"/>
      <c r="C216" s="734"/>
      <c r="D216" s="746"/>
      <c r="E216" s="746"/>
      <c r="F216" s="746"/>
      <c r="G216" s="746"/>
      <c r="H216" s="746"/>
      <c r="I216" s="746"/>
      <c r="J216" s="746"/>
      <c r="K216" s="747"/>
      <c r="L216" s="734"/>
      <c r="M216" s="746"/>
      <c r="N216" s="746"/>
      <c r="O216" s="746"/>
      <c r="P216" s="746"/>
      <c r="Q216" s="746"/>
      <c r="R216" s="746"/>
      <c r="S216" s="746"/>
      <c r="T216" s="747"/>
    </row>
    <row r="217" spans="1:23">
      <c r="B217" s="756"/>
      <c r="C217" s="734"/>
      <c r="D217" s="746"/>
      <c r="E217" s="746"/>
      <c r="F217" s="746"/>
      <c r="G217" s="746"/>
      <c r="H217" s="746"/>
      <c r="I217" s="746"/>
      <c r="J217" s="746"/>
      <c r="K217" s="747"/>
      <c r="L217" s="734"/>
      <c r="M217" s="746"/>
      <c r="N217" s="746"/>
      <c r="O217" s="746"/>
      <c r="P217" s="746"/>
      <c r="Q217" s="746"/>
      <c r="R217" s="746"/>
      <c r="S217" s="746"/>
      <c r="T217" s="747"/>
    </row>
    <row r="218" spans="1:23">
      <c r="B218" s="756"/>
      <c r="C218" s="734"/>
      <c r="D218" s="746"/>
      <c r="E218" s="746"/>
      <c r="F218" s="746"/>
      <c r="G218" s="746"/>
      <c r="H218" s="746"/>
      <c r="I218" s="746"/>
      <c r="J218" s="746"/>
      <c r="K218" s="747"/>
      <c r="L218" s="734"/>
      <c r="M218" s="746"/>
      <c r="N218" s="746"/>
      <c r="O218" s="746"/>
      <c r="P218" s="746"/>
      <c r="Q218" s="746"/>
      <c r="R218" s="746"/>
      <c r="S218" s="746"/>
      <c r="T218" s="747"/>
    </row>
    <row r="219" spans="1:23">
      <c r="B219" s="756"/>
      <c r="C219" s="734"/>
      <c r="D219" s="746"/>
      <c r="E219" s="746"/>
      <c r="F219" s="746"/>
      <c r="G219" s="746"/>
      <c r="H219" s="746"/>
      <c r="I219" s="746"/>
      <c r="J219" s="746"/>
      <c r="K219" s="747"/>
      <c r="L219" s="734"/>
      <c r="M219" s="746"/>
      <c r="N219" s="746"/>
      <c r="O219" s="746"/>
      <c r="P219" s="746"/>
      <c r="Q219" s="746"/>
      <c r="R219" s="746"/>
      <c r="S219" s="746"/>
      <c r="T219" s="747"/>
    </row>
    <row r="220" spans="1:23">
      <c r="B220" s="756"/>
      <c r="C220" s="734"/>
      <c r="D220" s="746"/>
      <c r="E220" s="746"/>
      <c r="F220" s="746"/>
      <c r="G220" s="746"/>
      <c r="H220" s="746"/>
      <c r="I220" s="746"/>
      <c r="J220" s="746"/>
      <c r="K220" s="747"/>
      <c r="L220" s="734"/>
      <c r="M220" s="746"/>
      <c r="N220" s="746"/>
      <c r="O220" s="746"/>
      <c r="P220" s="746"/>
      <c r="Q220" s="746"/>
      <c r="R220" s="746"/>
      <c r="S220" s="746"/>
      <c r="T220" s="747"/>
    </row>
    <row r="221" spans="1:23">
      <c r="A221" s="269" t="s">
        <v>1355</v>
      </c>
      <c r="B221" s="745"/>
      <c r="C221" s="734">
        <f t="shared" ref="C221:T221" si="131">+C11+C21+C27+C32+C38+C42+C50+C55+C58+C63+C67+C78+C82+C88+C94+C99+C102+C106+C15</f>
        <v>81299929.689999998</v>
      </c>
      <c r="D221" s="746">
        <f t="shared" si="131"/>
        <v>-304395.33333333349</v>
      </c>
      <c r="E221" s="746">
        <f t="shared" si="131"/>
        <v>-587616.66</v>
      </c>
      <c r="F221" s="746">
        <f t="shared" si="131"/>
        <v>374337</v>
      </c>
      <c r="G221" s="746">
        <f t="shared" si="131"/>
        <v>-1149095.08</v>
      </c>
      <c r="H221" s="746">
        <f t="shared" si="131"/>
        <v>14412.333333333328</v>
      </c>
      <c r="I221" s="746">
        <f t="shared" si="131"/>
        <v>518291.72</v>
      </c>
      <c r="J221" s="746">
        <f t="shared" si="131"/>
        <v>364025.28000000009</v>
      </c>
      <c r="K221" s="747">
        <f t="shared" si="131"/>
        <v>80529888.949999988</v>
      </c>
      <c r="L221" s="734">
        <f t="shared" si="131"/>
        <v>115443333.37000002</v>
      </c>
      <c r="M221" s="746">
        <f t="shared" si="131"/>
        <v>2766699.23</v>
      </c>
      <c r="N221" s="746">
        <f t="shared" si="131"/>
        <v>-100353</v>
      </c>
      <c r="O221" s="746">
        <f t="shared" si="131"/>
        <v>-136884</v>
      </c>
      <c r="P221" s="746">
        <f t="shared" si="131"/>
        <v>-1082429</v>
      </c>
      <c r="Q221" s="746">
        <f t="shared" si="131"/>
        <v>0</v>
      </c>
      <c r="R221" s="746">
        <f t="shared" si="131"/>
        <v>0</v>
      </c>
      <c r="S221" s="746">
        <f t="shared" si="131"/>
        <v>0</v>
      </c>
      <c r="T221" s="747">
        <f t="shared" si="131"/>
        <v>116890366.60000001</v>
      </c>
      <c r="V221" s="216"/>
      <c r="W221" s="216"/>
    </row>
    <row r="222" spans="1:23">
      <c r="A222" s="269" t="s">
        <v>152</v>
      </c>
      <c r="B222" s="745"/>
      <c r="C222" s="734">
        <f t="shared" ref="C222:T222" si="132">+C202+C198+C185+C181+C177+C173+C169+C165+C158+C149+C145+C141+C137+C133+C128+C120+C124+C115+C111</f>
        <v>85326898.060000002</v>
      </c>
      <c r="D222" s="746">
        <f t="shared" si="132"/>
        <v>-304309.33333333331</v>
      </c>
      <c r="E222" s="746">
        <f t="shared" si="132"/>
        <v>-587617.27</v>
      </c>
      <c r="F222" s="746">
        <f t="shared" si="132"/>
        <v>0</v>
      </c>
      <c r="G222" s="746">
        <f t="shared" si="132"/>
        <v>-1148986.03</v>
      </c>
      <c r="H222" s="746">
        <f t="shared" si="132"/>
        <v>0</v>
      </c>
      <c r="I222" s="746">
        <f t="shared" si="132"/>
        <v>518290.58</v>
      </c>
      <c r="J222" s="746">
        <f t="shared" si="132"/>
        <v>364025.28</v>
      </c>
      <c r="K222" s="747">
        <f t="shared" si="132"/>
        <v>84168301.286666662</v>
      </c>
      <c r="L222" s="734">
        <f t="shared" si="132"/>
        <v>117540196.93333332</v>
      </c>
      <c r="M222" s="746">
        <f t="shared" si="132"/>
        <v>-388424.33333333331</v>
      </c>
      <c r="N222" s="746">
        <f t="shared" si="132"/>
        <v>-100353</v>
      </c>
      <c r="O222" s="746">
        <f t="shared" si="132"/>
        <v>0</v>
      </c>
      <c r="P222" s="746">
        <f t="shared" si="132"/>
        <v>-1082430.8899999999</v>
      </c>
      <c r="Q222" s="746">
        <f t="shared" si="132"/>
        <v>0</v>
      </c>
      <c r="R222" s="746">
        <f t="shared" si="132"/>
        <v>0</v>
      </c>
      <c r="S222" s="746">
        <f t="shared" si="132"/>
        <v>0</v>
      </c>
      <c r="T222" s="747">
        <f t="shared" si="132"/>
        <v>115968988.70999998</v>
      </c>
      <c r="V222" s="216"/>
    </row>
    <row r="223" spans="1:23">
      <c r="A223" s="269" t="s">
        <v>580</v>
      </c>
      <c r="B223" s="745"/>
      <c r="C223" s="734">
        <f>+C221-C222</f>
        <v>-4026968.3700000048</v>
      </c>
      <c r="D223" s="746">
        <f t="shared" ref="D223:T223" si="133">+D221-D222</f>
        <v>-86.000000000174623</v>
      </c>
      <c r="E223" s="746">
        <f t="shared" si="133"/>
        <v>0.60999999998603016</v>
      </c>
      <c r="F223" s="746">
        <f t="shared" si="133"/>
        <v>374337</v>
      </c>
      <c r="G223" s="746">
        <f t="shared" si="133"/>
        <v>-109.05000000004657</v>
      </c>
      <c r="H223" s="746">
        <f t="shared" si="133"/>
        <v>14412.333333333328</v>
      </c>
      <c r="I223" s="746">
        <f t="shared" si="133"/>
        <v>1.1399999999557622</v>
      </c>
      <c r="J223" s="746">
        <f t="shared" si="133"/>
        <v>0</v>
      </c>
      <c r="K223" s="747">
        <f t="shared" si="133"/>
        <v>-3638412.3366666734</v>
      </c>
      <c r="L223" s="734">
        <f t="shared" si="133"/>
        <v>-2096863.5633333027</v>
      </c>
      <c r="M223" s="746">
        <f t="shared" si="133"/>
        <v>3155123.5633333335</v>
      </c>
      <c r="N223" s="746">
        <f t="shared" si="133"/>
        <v>0</v>
      </c>
      <c r="O223" s="746">
        <f t="shared" si="133"/>
        <v>-136884</v>
      </c>
      <c r="P223" s="746">
        <f t="shared" si="133"/>
        <v>1.8899999998975545</v>
      </c>
      <c r="Q223" s="746">
        <f t="shared" si="133"/>
        <v>0</v>
      </c>
      <c r="R223" s="746">
        <f t="shared" si="133"/>
        <v>0</v>
      </c>
      <c r="S223" s="746">
        <f t="shared" si="133"/>
        <v>0</v>
      </c>
      <c r="T223" s="747">
        <f t="shared" si="133"/>
        <v>921377.8900000304</v>
      </c>
    </row>
    <row r="225" spans="3:11">
      <c r="K225" s="334">
        <f>K223-F223</f>
        <v>-4012749.3366666734</v>
      </c>
    </row>
    <row r="226" spans="3:11">
      <c r="C226" s="334">
        <v>84674835.939999998</v>
      </c>
    </row>
    <row r="227" spans="3:11">
      <c r="C227" s="334">
        <f>C221-C226</f>
        <v>-3374906.25</v>
      </c>
    </row>
  </sheetData>
  <autoFilter ref="A5:X219" xr:uid="{739AA7B2-9A29-4AC4-8807-7C7F54F5F591}"/>
  <mergeCells count="2">
    <mergeCell ref="C4:K4"/>
    <mergeCell ref="L4:T4"/>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CCC2E-4D95-4522-9E6E-2799B91E6663}">
  <dimension ref="A1:O54"/>
  <sheetViews>
    <sheetView workbookViewId="0">
      <pane xSplit="1" ySplit="2" topLeftCell="B31" activePane="bottomRight" state="frozen"/>
      <selection activeCell="B25" sqref="B25"/>
      <selection pane="topRight" activeCell="B25" sqref="B25"/>
      <selection pane="bottomLeft" activeCell="B25" sqref="B25"/>
      <selection pane="bottomRight" activeCell="B25" sqref="B25"/>
    </sheetView>
  </sheetViews>
  <sheetFormatPr baseColWidth="10" defaultColWidth="9.1640625" defaultRowHeight="15"/>
  <cols>
    <col min="1" max="1" width="38.5" style="215" customWidth="1"/>
    <col min="2" max="2" width="10.5" style="215" bestFit="1" customWidth="1"/>
    <col min="3" max="3" width="11" style="215" bestFit="1" customWidth="1"/>
    <col min="4" max="5" width="11" style="215" customWidth="1"/>
    <col min="6" max="7" width="11" style="215" bestFit="1" customWidth="1"/>
    <col min="8" max="9" width="11" style="215" customWidth="1"/>
    <col min="10" max="10" width="11" style="215" bestFit="1" customWidth="1"/>
    <col min="11" max="11" width="10.5" style="215" bestFit="1" customWidth="1"/>
    <col min="12" max="12" width="11" style="215" bestFit="1" customWidth="1"/>
    <col min="13" max="13" width="10.5" style="215" bestFit="1" customWidth="1"/>
    <col min="14" max="16384" width="9.1640625" style="215"/>
  </cols>
  <sheetData>
    <row r="1" spans="1:15" ht="16">
      <c r="A1" s="659" t="s">
        <v>98</v>
      </c>
      <c r="B1" s="659"/>
      <c r="C1" s="659"/>
      <c r="D1" s="659"/>
      <c r="E1" s="660">
        <f>C1-B1</f>
        <v>0</v>
      </c>
      <c r="F1" s="661"/>
      <c r="G1" s="661"/>
      <c r="H1" s="661"/>
      <c r="I1" s="661"/>
      <c r="J1" s="661"/>
      <c r="K1" s="661"/>
      <c r="L1" s="661"/>
      <c r="M1" s="661"/>
    </row>
    <row r="2" spans="1:15" ht="45.75" customHeight="1">
      <c r="A2" s="662" t="s">
        <v>99</v>
      </c>
      <c r="B2" s="663" t="s">
        <v>1583</v>
      </c>
      <c r="C2" s="664"/>
      <c r="D2" s="664"/>
      <c r="E2" s="664"/>
      <c r="F2" s="665" t="s">
        <v>1584</v>
      </c>
      <c r="G2" s="666"/>
      <c r="H2" s="666"/>
      <c r="I2" s="666"/>
      <c r="J2" s="663" t="s">
        <v>1585</v>
      </c>
      <c r="K2" s="664"/>
      <c r="L2" s="663"/>
      <c r="M2" s="664"/>
      <c r="N2" s="215" t="s">
        <v>1604</v>
      </c>
      <c r="O2" s="215" t="s">
        <v>1605</v>
      </c>
    </row>
    <row r="3" spans="1:15" ht="15" customHeight="1">
      <c r="A3" s="667" t="s">
        <v>0</v>
      </c>
      <c r="B3" s="668" t="s">
        <v>1515</v>
      </c>
      <c r="C3" s="669"/>
      <c r="D3" s="669"/>
      <c r="E3" s="669"/>
      <c r="F3" s="670" t="s">
        <v>1515</v>
      </c>
      <c r="G3" s="671"/>
      <c r="H3" s="671"/>
      <c r="I3" s="671"/>
      <c r="J3" s="668" t="s">
        <v>1515</v>
      </c>
      <c r="K3" s="669"/>
      <c r="L3" s="668"/>
      <c r="M3" s="669"/>
    </row>
    <row r="4" spans="1:15">
      <c r="A4" s="672" t="s">
        <v>99</v>
      </c>
      <c r="B4" s="673" t="s">
        <v>100</v>
      </c>
      <c r="C4" s="674"/>
      <c r="D4" s="674"/>
      <c r="E4" s="674"/>
      <c r="F4" s="673" t="s">
        <v>100</v>
      </c>
      <c r="G4" s="674"/>
      <c r="H4" s="674"/>
      <c r="I4" s="674"/>
      <c r="J4" s="673" t="s">
        <v>100</v>
      </c>
      <c r="K4" s="674"/>
      <c r="L4" s="673"/>
      <c r="M4" s="674"/>
    </row>
    <row r="5" spans="1:15">
      <c r="A5" s="675" t="s">
        <v>99</v>
      </c>
      <c r="B5" s="676" t="s">
        <v>101</v>
      </c>
      <c r="C5" s="676" t="s">
        <v>102</v>
      </c>
      <c r="D5" s="676"/>
      <c r="E5" s="676"/>
      <c r="F5" s="676" t="s">
        <v>101</v>
      </c>
      <c r="G5" s="676" t="s">
        <v>102</v>
      </c>
      <c r="H5" s="676"/>
      <c r="I5" s="676"/>
      <c r="J5" s="676" t="s">
        <v>101</v>
      </c>
      <c r="K5" s="676" t="s">
        <v>102</v>
      </c>
      <c r="L5" s="676"/>
      <c r="M5" s="676"/>
    </row>
    <row r="6" spans="1:15">
      <c r="A6" s="677" t="s">
        <v>110</v>
      </c>
      <c r="B6" s="678">
        <v>1481328.87</v>
      </c>
      <c r="C6" s="679">
        <v>77001.87</v>
      </c>
      <c r="D6" s="679"/>
      <c r="E6" s="679"/>
      <c r="F6" s="680">
        <v>123604.74</v>
      </c>
      <c r="G6" s="681">
        <v>3957.86</v>
      </c>
      <c r="H6" s="681"/>
      <c r="I6" s="681"/>
      <c r="J6" s="678">
        <v>214694.49</v>
      </c>
      <c r="K6" s="679">
        <v>782945.52</v>
      </c>
      <c r="L6" s="678"/>
      <c r="M6" s="679"/>
    </row>
    <row r="7" spans="1:15">
      <c r="A7" s="682" t="s">
        <v>111</v>
      </c>
      <c r="B7" s="683">
        <v>31046.34</v>
      </c>
      <c r="C7" s="684">
        <v>23624.65</v>
      </c>
      <c r="D7" s="684">
        <f>B7-C7</f>
        <v>7421.6899999999987</v>
      </c>
      <c r="E7" s="684"/>
      <c r="F7" s="685">
        <v>123604.74</v>
      </c>
      <c r="G7" s="686">
        <v>3957.86</v>
      </c>
      <c r="H7" s="686">
        <f>F7-G7</f>
        <v>119646.88</v>
      </c>
      <c r="I7" s="686"/>
      <c r="J7" s="683">
        <v>194253.69</v>
      </c>
      <c r="K7" s="687"/>
      <c r="L7" s="683">
        <f>J7-K7</f>
        <v>194253.69</v>
      </c>
      <c r="M7" s="687"/>
      <c r="N7" s="215" t="str">
        <f>VLOOKUP(A7,'BS Grouping'!A:A,1,)</f>
        <v>Duties &amp; Taxes</v>
      </c>
    </row>
    <row r="8" spans="1:15">
      <c r="A8" s="682" t="s">
        <v>115</v>
      </c>
      <c r="B8" s="688">
        <v>1450282.53</v>
      </c>
      <c r="C8" s="689">
        <v>53269.02</v>
      </c>
      <c r="D8" s="689"/>
      <c r="E8" s="660">
        <f>C8-B8</f>
        <v>-1397013.51</v>
      </c>
      <c r="F8" s="690"/>
      <c r="G8" s="691"/>
      <c r="H8" s="691"/>
      <c r="I8" s="691"/>
      <c r="J8" s="688">
        <v>20440.8</v>
      </c>
      <c r="K8" s="689">
        <v>782386.52</v>
      </c>
      <c r="L8" s="688"/>
      <c r="M8" s="689">
        <f>K8-J8</f>
        <v>761945.72</v>
      </c>
      <c r="N8" s="215" t="str">
        <f>VLOOKUP(A8,'BS Grouping'!A:A,1,)</f>
        <v>Sundry Creditors</v>
      </c>
    </row>
    <row r="9" spans="1:15">
      <c r="A9" s="692" t="s">
        <v>1586</v>
      </c>
      <c r="B9" s="690"/>
      <c r="C9" s="660">
        <v>0.2</v>
      </c>
      <c r="D9" s="660"/>
      <c r="E9" s="660">
        <f>C9-B9</f>
        <v>0.2</v>
      </c>
      <c r="F9" s="693"/>
      <c r="G9" s="694"/>
      <c r="H9" s="694"/>
      <c r="I9" s="694"/>
      <c r="J9" s="690"/>
      <c r="K9" s="691"/>
      <c r="L9" s="690"/>
      <c r="M9" s="691"/>
      <c r="N9" s="215" t="e">
        <f>VLOOKUP(A9,'BS Grouping'!A:A,1,)</f>
        <v>#N/A</v>
      </c>
    </row>
    <row r="10" spans="1:15">
      <c r="A10" s="692" t="s">
        <v>1587</v>
      </c>
      <c r="B10" s="690"/>
      <c r="C10" s="660">
        <v>71</v>
      </c>
      <c r="D10" s="660"/>
      <c r="E10" s="660">
        <f t="shared" ref="E10:E12" si="0">C10-B10</f>
        <v>71</v>
      </c>
      <c r="F10" s="693"/>
      <c r="G10" s="694"/>
      <c r="H10" s="694"/>
      <c r="I10" s="694"/>
      <c r="J10" s="690"/>
      <c r="K10" s="691"/>
      <c r="L10" s="690"/>
      <c r="M10" s="691"/>
      <c r="N10" s="215" t="e">
        <f>VLOOKUP(A10,'BS Grouping'!A:A,1,)</f>
        <v>#N/A</v>
      </c>
    </row>
    <row r="11" spans="1:15">
      <c r="A11" s="692" t="s">
        <v>1588</v>
      </c>
      <c r="B11" s="690"/>
      <c r="C11" s="660">
        <v>37</v>
      </c>
      <c r="D11" s="660"/>
      <c r="E11" s="660">
        <f t="shared" si="0"/>
        <v>37</v>
      </c>
      <c r="F11" s="693"/>
      <c r="G11" s="694"/>
      <c r="H11" s="694"/>
      <c r="I11" s="694"/>
      <c r="J11" s="690"/>
      <c r="K11" s="691"/>
      <c r="L11" s="690"/>
      <c r="M11" s="691"/>
      <c r="N11" s="215" t="e">
        <f>VLOOKUP(A11,'BS Grouping'!A:A,1,)</f>
        <v>#N/A</v>
      </c>
    </row>
    <row r="12" spans="1:15">
      <c r="A12" s="692" t="s">
        <v>1589</v>
      </c>
      <c r="B12" s="690"/>
      <c r="C12" s="691"/>
      <c r="D12" s="691"/>
      <c r="E12" s="691">
        <f t="shared" si="0"/>
        <v>0</v>
      </c>
      <c r="F12" s="693"/>
      <c r="G12" s="694"/>
      <c r="H12" s="694"/>
      <c r="I12" s="694"/>
      <c r="J12" s="690"/>
      <c r="K12" s="691"/>
      <c r="L12" s="690"/>
      <c r="M12" s="691"/>
      <c r="N12" s="215" t="e">
        <f>VLOOKUP(A12,'BS Grouping'!A:A,1,)</f>
        <v>#N/A</v>
      </c>
    </row>
    <row r="13" spans="1:15">
      <c r="A13" s="677" t="s">
        <v>131</v>
      </c>
      <c r="B13" s="695"/>
      <c r="C13" s="696"/>
      <c r="D13" s="696"/>
      <c r="E13" s="696"/>
      <c r="F13" s="697"/>
      <c r="G13" s="698"/>
      <c r="H13" s="698"/>
      <c r="I13" s="698"/>
      <c r="J13" s="699">
        <v>34968.86</v>
      </c>
      <c r="K13" s="696"/>
      <c r="L13" s="699">
        <f>J13-K13</f>
        <v>34968.86</v>
      </c>
      <c r="M13" s="696"/>
      <c r="N13" s="215" t="str">
        <f>VLOOKUP(A13,'BS Grouping'!A:A,1,)</f>
        <v>Fixed Assets</v>
      </c>
    </row>
    <row r="14" spans="1:15">
      <c r="A14" s="692" t="s">
        <v>1590</v>
      </c>
      <c r="B14" s="700"/>
      <c r="C14" s="701"/>
      <c r="D14" s="701"/>
      <c r="E14" s="701"/>
      <c r="F14" s="702"/>
      <c r="G14" s="687"/>
      <c r="H14" s="687"/>
      <c r="I14" s="687"/>
      <c r="J14" s="685">
        <v>34968.86</v>
      </c>
      <c r="K14" s="701"/>
      <c r="L14" s="685"/>
      <c r="M14" s="701"/>
    </row>
    <row r="15" spans="1:15">
      <c r="A15" s="677" t="s">
        <v>133</v>
      </c>
      <c r="B15" s="699">
        <v>194334.29</v>
      </c>
      <c r="C15" s="703">
        <v>12003.6</v>
      </c>
      <c r="D15" s="703"/>
      <c r="E15" s="703"/>
      <c r="F15" s="704">
        <v>182204.04</v>
      </c>
      <c r="G15" s="698"/>
      <c r="H15" s="698"/>
      <c r="I15" s="698"/>
      <c r="J15" s="699">
        <v>5747.03</v>
      </c>
      <c r="K15" s="696"/>
      <c r="L15" s="699">
        <f>J15-K15</f>
        <v>5747.03</v>
      </c>
      <c r="M15" s="696"/>
    </row>
    <row r="16" spans="1:15">
      <c r="A16" s="692" t="s">
        <v>134</v>
      </c>
      <c r="B16" s="685">
        <v>10401.65</v>
      </c>
      <c r="C16" s="701"/>
      <c r="D16" s="701">
        <f t="shared" ref="D16:D20" si="1">B16-C16</f>
        <v>10401.65</v>
      </c>
      <c r="E16" s="701"/>
      <c r="F16" s="683">
        <v>51847.94</v>
      </c>
      <c r="G16" s="687"/>
      <c r="H16" s="687">
        <f>F16+G16</f>
        <v>51847.94</v>
      </c>
      <c r="I16" s="687"/>
      <c r="J16" s="700"/>
      <c r="K16" s="701"/>
      <c r="L16" s="700">
        <f t="shared" ref="L16:L20" si="2">J16-K16</f>
        <v>0</v>
      </c>
      <c r="M16" s="701"/>
      <c r="N16" s="215" t="e">
        <f>VLOOKUP(A16,'BS Grouping'!A:A,1,)</f>
        <v>#N/A</v>
      </c>
    </row>
    <row r="17" spans="1:15">
      <c r="A17" s="682" t="s">
        <v>137</v>
      </c>
      <c r="B17" s="693"/>
      <c r="C17" s="694"/>
      <c r="D17" s="694"/>
      <c r="E17" s="694"/>
      <c r="F17" s="705">
        <v>130350</v>
      </c>
      <c r="G17" s="691"/>
      <c r="H17" s="691">
        <f t="shared" ref="H17:H20" si="3">F17+G17</f>
        <v>130350</v>
      </c>
      <c r="I17" s="691"/>
      <c r="J17" s="693"/>
      <c r="K17" s="694"/>
      <c r="L17" s="693">
        <f t="shared" si="2"/>
        <v>0</v>
      </c>
      <c r="M17" s="694"/>
      <c r="N17" s="215" t="e">
        <f>VLOOKUP(A17,'BS Grouping'!A:A,1,)</f>
        <v>#N/A</v>
      </c>
    </row>
    <row r="18" spans="1:15">
      <c r="A18" s="682" t="s">
        <v>139</v>
      </c>
      <c r="B18" s="693"/>
      <c r="C18" s="694"/>
      <c r="D18" s="694">
        <f t="shared" si="1"/>
        <v>0</v>
      </c>
      <c r="E18" s="694"/>
      <c r="F18" s="690"/>
      <c r="G18" s="691"/>
      <c r="H18" s="691">
        <f t="shared" si="3"/>
        <v>0</v>
      </c>
      <c r="I18" s="691"/>
      <c r="J18" s="693"/>
      <c r="K18" s="694"/>
      <c r="L18" s="693">
        <f t="shared" si="2"/>
        <v>0</v>
      </c>
      <c r="M18" s="694"/>
      <c r="N18" s="215" t="e">
        <f>VLOOKUP(A18,'BS Grouping'!A:A,1,)</f>
        <v>#N/A</v>
      </c>
    </row>
    <row r="19" spans="1:15">
      <c r="A19" s="682" t="s">
        <v>144</v>
      </c>
      <c r="B19" s="688">
        <v>179547.69</v>
      </c>
      <c r="C19" s="689">
        <v>12003.6</v>
      </c>
      <c r="D19" s="689">
        <f t="shared" si="1"/>
        <v>167544.09</v>
      </c>
      <c r="E19" s="689"/>
      <c r="F19" s="705">
        <v>6.1</v>
      </c>
      <c r="G19" s="691"/>
      <c r="H19" s="691">
        <f t="shared" si="3"/>
        <v>6.1</v>
      </c>
      <c r="I19" s="691"/>
      <c r="J19" s="688">
        <v>5747.03</v>
      </c>
      <c r="K19" s="694"/>
      <c r="L19" s="688">
        <f t="shared" si="2"/>
        <v>5747.03</v>
      </c>
      <c r="M19" s="694"/>
      <c r="N19" s="215" t="str">
        <f>VLOOKUP(A19,'BS Grouping'!A:A,1,)</f>
        <v>Sundry Debtors</v>
      </c>
    </row>
    <row r="20" spans="1:15">
      <c r="A20" s="692" t="s">
        <v>1591</v>
      </c>
      <c r="B20" s="705">
        <v>4384.95</v>
      </c>
      <c r="C20" s="691"/>
      <c r="D20" s="691">
        <f t="shared" si="1"/>
        <v>4384.95</v>
      </c>
      <c r="E20" s="691"/>
      <c r="F20" s="693"/>
      <c r="G20" s="694"/>
      <c r="H20" s="694">
        <f t="shared" si="3"/>
        <v>0</v>
      </c>
      <c r="I20" s="694"/>
      <c r="J20" s="690"/>
      <c r="K20" s="691"/>
      <c r="L20" s="690">
        <f t="shared" si="2"/>
        <v>0</v>
      </c>
      <c r="M20" s="691"/>
      <c r="N20" s="215" t="str">
        <f>VLOOKUP(A20,'BS Grouping'!A:A,1,)</f>
        <v>TCS AY 22-23</v>
      </c>
    </row>
    <row r="21" spans="1:15">
      <c r="A21" s="677" t="s">
        <v>551</v>
      </c>
      <c r="B21" s="695"/>
      <c r="C21" s="703">
        <v>1381731.76</v>
      </c>
      <c r="D21" s="703"/>
      <c r="E21" s="703"/>
      <c r="F21" s="697"/>
      <c r="G21" s="706">
        <v>953094.25</v>
      </c>
      <c r="H21" s="706"/>
      <c r="I21" s="706"/>
      <c r="J21" s="695"/>
      <c r="K21" s="703">
        <v>620149</v>
      </c>
      <c r="L21" s="695"/>
      <c r="M21" s="703"/>
      <c r="N21" s="215" t="e">
        <f>VLOOKUP(A21,'BS Grouping'!A:A,1,)</f>
        <v>#N/A</v>
      </c>
    </row>
    <row r="22" spans="1:15">
      <c r="A22" s="692" t="s">
        <v>1592</v>
      </c>
      <c r="B22" s="700"/>
      <c r="C22" s="686">
        <v>1381731.76</v>
      </c>
      <c r="D22" s="686">
        <f>B22-C22</f>
        <v>-1381731.76</v>
      </c>
      <c r="E22" s="686"/>
      <c r="F22" s="702"/>
      <c r="G22" s="684">
        <v>953094.25</v>
      </c>
      <c r="H22" s="686">
        <f>F22-G22</f>
        <v>-953094.25</v>
      </c>
      <c r="I22" s="684"/>
      <c r="J22" s="700"/>
      <c r="K22" s="686">
        <v>620149</v>
      </c>
      <c r="L22" s="686">
        <f>J22-K22</f>
        <v>-620149</v>
      </c>
      <c r="M22" s="686"/>
      <c r="N22" s="215" t="str">
        <f>VLOOKUP(A22,'BS Grouping'!A:A,1,)</f>
        <v>Head Office - Mumbai</v>
      </c>
    </row>
    <row r="23" spans="1:15">
      <c r="A23" s="677" t="s">
        <v>158</v>
      </c>
      <c r="B23" s="695"/>
      <c r="C23" s="703">
        <v>91360.19</v>
      </c>
      <c r="D23" s="703"/>
      <c r="E23" s="703">
        <f t="shared" ref="E23:E29" si="4">C23-B23</f>
        <v>91360.19</v>
      </c>
      <c r="F23" s="697"/>
      <c r="G23" s="706">
        <v>159005.92000000001</v>
      </c>
      <c r="H23" s="706"/>
      <c r="I23" s="706">
        <f>G23+F23</f>
        <v>159005.92000000001</v>
      </c>
      <c r="J23" s="695"/>
      <c r="K23" s="703">
        <v>406946.2</v>
      </c>
      <c r="L23" s="695"/>
      <c r="M23" s="703">
        <f>K23-J23</f>
        <v>406946.2</v>
      </c>
      <c r="O23" s="215" t="str">
        <f>VLOOKUP(A23,'PL Grouping'!A:A,1,)</f>
        <v>Sales Accounts</v>
      </c>
    </row>
    <row r="24" spans="1:15">
      <c r="A24" s="692" t="s">
        <v>1593</v>
      </c>
      <c r="B24" s="700"/>
      <c r="C24" s="686">
        <v>10953.46</v>
      </c>
      <c r="D24" s="686"/>
      <c r="E24" s="686">
        <f t="shared" si="4"/>
        <v>10953.46</v>
      </c>
      <c r="F24" s="702"/>
      <c r="G24" s="687"/>
      <c r="H24" s="687"/>
      <c r="I24" s="687"/>
      <c r="J24" s="700"/>
      <c r="K24" s="701"/>
      <c r="L24" s="700"/>
      <c r="M24" s="701">
        <f t="shared" ref="M24:M29" si="5">K24-J24</f>
        <v>0</v>
      </c>
      <c r="O24" s="215" t="e">
        <f>VLOOKUP(A24,'PL Grouping'!A:A,1,)</f>
        <v>#N/A</v>
      </c>
    </row>
    <row r="25" spans="1:15">
      <c r="A25" s="692" t="s">
        <v>1594</v>
      </c>
      <c r="B25" s="690"/>
      <c r="C25" s="691"/>
      <c r="D25" s="691"/>
      <c r="E25" s="691">
        <f t="shared" si="4"/>
        <v>0</v>
      </c>
      <c r="F25" s="693"/>
      <c r="G25" s="694"/>
      <c r="H25" s="694"/>
      <c r="I25" s="694"/>
      <c r="J25" s="690"/>
      <c r="K25" s="691"/>
      <c r="L25" s="690"/>
      <c r="M25" s="691">
        <f t="shared" si="5"/>
        <v>0</v>
      </c>
      <c r="O25" s="215" t="e">
        <f>VLOOKUP(A25,'PL Grouping'!A:A,1,)</f>
        <v>#N/A</v>
      </c>
    </row>
    <row r="26" spans="1:15">
      <c r="A26" s="692" t="s">
        <v>1535</v>
      </c>
      <c r="B26" s="690"/>
      <c r="C26" s="691"/>
      <c r="D26" s="691"/>
      <c r="E26" s="691">
        <f t="shared" si="4"/>
        <v>0</v>
      </c>
      <c r="F26" s="693"/>
      <c r="G26" s="689">
        <v>127227.57</v>
      </c>
      <c r="H26" s="689"/>
      <c r="I26" s="689">
        <f t="shared" ref="I26:I29" si="6">G26+F26</f>
        <v>127227.57</v>
      </c>
      <c r="J26" s="690"/>
      <c r="K26" s="691"/>
      <c r="L26" s="690"/>
      <c r="M26" s="691">
        <f t="shared" si="5"/>
        <v>0</v>
      </c>
      <c r="O26" s="215" t="e">
        <f>VLOOKUP(A26,'PL Grouping'!A:A,1,)</f>
        <v>#N/A</v>
      </c>
    </row>
    <row r="27" spans="1:15">
      <c r="A27" s="692" t="s">
        <v>1536</v>
      </c>
      <c r="B27" s="690"/>
      <c r="C27" s="691"/>
      <c r="D27" s="691"/>
      <c r="E27" s="691">
        <f t="shared" si="4"/>
        <v>0</v>
      </c>
      <c r="F27" s="693"/>
      <c r="G27" s="689">
        <v>31778.35</v>
      </c>
      <c r="H27" s="689"/>
      <c r="I27" s="689">
        <f t="shared" si="6"/>
        <v>31778.35</v>
      </c>
      <c r="J27" s="690"/>
      <c r="K27" s="691"/>
      <c r="L27" s="690"/>
      <c r="M27" s="691">
        <f t="shared" si="5"/>
        <v>0</v>
      </c>
      <c r="O27" s="215" t="e">
        <f>VLOOKUP(A27,'PL Grouping'!A:A,1,)</f>
        <v>#N/A</v>
      </c>
    </row>
    <row r="28" spans="1:15">
      <c r="A28" s="692" t="s">
        <v>1537</v>
      </c>
      <c r="B28" s="690"/>
      <c r="C28" s="660">
        <v>68964.38</v>
      </c>
      <c r="D28" s="660"/>
      <c r="E28" s="660">
        <f t="shared" si="4"/>
        <v>68964.38</v>
      </c>
      <c r="F28" s="693"/>
      <c r="G28" s="694"/>
      <c r="H28" s="694"/>
      <c r="I28" s="694">
        <f t="shared" si="6"/>
        <v>0</v>
      </c>
      <c r="J28" s="690"/>
      <c r="K28" s="691"/>
      <c r="L28" s="690"/>
      <c r="M28" s="691">
        <f t="shared" si="5"/>
        <v>0</v>
      </c>
      <c r="O28" s="215" t="e">
        <f>VLOOKUP(A28,'PL Grouping'!A:A,1,)</f>
        <v>#N/A</v>
      </c>
    </row>
    <row r="29" spans="1:15">
      <c r="A29" s="692" t="s">
        <v>1538</v>
      </c>
      <c r="B29" s="690"/>
      <c r="C29" s="660">
        <v>11442.35</v>
      </c>
      <c r="D29" s="660"/>
      <c r="E29" s="660">
        <f t="shared" si="4"/>
        <v>11442.35</v>
      </c>
      <c r="F29" s="693"/>
      <c r="G29" s="694"/>
      <c r="H29" s="694"/>
      <c r="I29" s="694">
        <f t="shared" si="6"/>
        <v>0</v>
      </c>
      <c r="J29" s="690"/>
      <c r="K29" s="660">
        <v>406946.2</v>
      </c>
      <c r="L29" s="690"/>
      <c r="M29" s="660">
        <f t="shared" si="5"/>
        <v>406946.2</v>
      </c>
      <c r="O29" s="215" t="e">
        <f>VLOOKUP(A29,'PL Grouping'!A:A,1,)</f>
        <v>#N/A</v>
      </c>
    </row>
    <row r="30" spans="1:15">
      <c r="A30" s="677" t="s">
        <v>159</v>
      </c>
      <c r="B30" s="699">
        <v>95909.75</v>
      </c>
      <c r="C30" s="696"/>
      <c r="D30" s="696">
        <f t="shared" ref="D30:D33" si="7">B30-C30</f>
        <v>95909.75</v>
      </c>
      <c r="E30" s="696"/>
      <c r="F30" s="704">
        <v>125415.76</v>
      </c>
      <c r="G30" s="698"/>
      <c r="H30" s="698">
        <f t="shared" ref="H30:H33" si="8">F30+G30</f>
        <v>125415.76</v>
      </c>
      <c r="I30" s="698"/>
      <c r="J30" s="699">
        <v>1221116.94</v>
      </c>
      <c r="K30" s="696"/>
      <c r="L30" s="699">
        <f t="shared" ref="L30:L33" si="9">J30-K30</f>
        <v>1221116.94</v>
      </c>
      <c r="M30" s="696"/>
      <c r="O30" s="215" t="e">
        <f>VLOOKUP(A30,'PL Grouping'!A:A,1,)</f>
        <v>#N/A</v>
      </c>
    </row>
    <row r="31" spans="1:15">
      <c r="A31" s="692" t="s">
        <v>1595</v>
      </c>
      <c r="B31" s="685">
        <v>95909.75</v>
      </c>
      <c r="C31" s="701"/>
      <c r="D31" s="701">
        <f t="shared" si="7"/>
        <v>95909.75</v>
      </c>
      <c r="E31" s="701"/>
      <c r="F31" s="683">
        <v>125415.76</v>
      </c>
      <c r="G31" s="687"/>
      <c r="H31" s="687">
        <f t="shared" si="8"/>
        <v>125415.76</v>
      </c>
      <c r="I31" s="687"/>
      <c r="J31" s="700"/>
      <c r="K31" s="701"/>
      <c r="L31" s="700">
        <f t="shared" si="9"/>
        <v>0</v>
      </c>
      <c r="M31" s="701"/>
      <c r="O31" s="215" t="str">
        <f>VLOOKUP(A31,'PL Grouping'!A:A,1,)</f>
        <v>Branch purchase account</v>
      </c>
    </row>
    <row r="32" spans="1:15">
      <c r="A32" s="692" t="s">
        <v>162</v>
      </c>
      <c r="B32" s="690"/>
      <c r="C32" s="691"/>
      <c r="D32" s="691">
        <f t="shared" si="7"/>
        <v>0</v>
      </c>
      <c r="E32" s="691"/>
      <c r="F32" s="693"/>
      <c r="G32" s="694"/>
      <c r="H32" s="694">
        <f t="shared" si="8"/>
        <v>0</v>
      </c>
      <c r="I32" s="694"/>
      <c r="J32" s="705">
        <v>998095.52</v>
      </c>
      <c r="K32" s="691"/>
      <c r="L32" s="705">
        <f t="shared" si="9"/>
        <v>998095.52</v>
      </c>
      <c r="M32" s="691"/>
      <c r="O32" s="215" t="str">
        <f>VLOOKUP(A32,'PL Grouping'!A:A,1,)</f>
        <v>Purchase Interstate</v>
      </c>
    </row>
    <row r="33" spans="1:15">
      <c r="A33" s="692" t="s">
        <v>163</v>
      </c>
      <c r="B33" s="690"/>
      <c r="C33" s="691"/>
      <c r="D33" s="691">
        <f t="shared" si="7"/>
        <v>0</v>
      </c>
      <c r="E33" s="691"/>
      <c r="F33" s="693"/>
      <c r="G33" s="694"/>
      <c r="H33" s="694">
        <f t="shared" si="8"/>
        <v>0</v>
      </c>
      <c r="I33" s="694"/>
      <c r="J33" s="705">
        <v>223021</v>
      </c>
      <c r="K33" s="691"/>
      <c r="L33" s="705">
        <f t="shared" si="9"/>
        <v>223021</v>
      </c>
      <c r="M33" s="691"/>
      <c r="O33" s="215" t="str">
        <f>VLOOKUP(A33,'PL Grouping'!A:A,1,)</f>
        <v>Purchase  Local</v>
      </c>
    </row>
    <row r="34" spans="1:15">
      <c r="A34" s="677" t="s">
        <v>166</v>
      </c>
      <c r="B34" s="695"/>
      <c r="C34" s="703">
        <v>33.9</v>
      </c>
      <c r="D34" s="703"/>
      <c r="E34" s="703">
        <f t="shared" ref="E34:E35" si="10">C34-B34</f>
        <v>33.9</v>
      </c>
      <c r="F34" s="697"/>
      <c r="G34" s="706">
        <v>1928.01</v>
      </c>
      <c r="H34" s="706"/>
      <c r="I34" s="706">
        <f t="shared" ref="I34:I35" si="11">G34+F34</f>
        <v>1928.01</v>
      </c>
      <c r="J34" s="695"/>
      <c r="K34" s="696"/>
      <c r="L34" s="695"/>
      <c r="M34" s="696"/>
      <c r="O34" s="215" t="e">
        <f>VLOOKUP(A34,'PL Grouping'!A:A,1,)</f>
        <v>#N/A</v>
      </c>
    </row>
    <row r="35" spans="1:15">
      <c r="A35" s="692" t="s">
        <v>457</v>
      </c>
      <c r="B35" s="700"/>
      <c r="C35" s="686">
        <v>33.9</v>
      </c>
      <c r="D35" s="686"/>
      <c r="E35" s="686">
        <f t="shared" si="10"/>
        <v>33.9</v>
      </c>
      <c r="F35" s="702"/>
      <c r="G35" s="684">
        <v>1928.01</v>
      </c>
      <c r="H35" s="684"/>
      <c r="I35" s="684">
        <f t="shared" si="11"/>
        <v>1928.01</v>
      </c>
      <c r="J35" s="700"/>
      <c r="K35" s="701"/>
      <c r="L35" s="700"/>
      <c r="M35" s="701">
        <f t="shared" ref="M35" si="12">K35-J35</f>
        <v>0</v>
      </c>
      <c r="O35" s="215" t="str">
        <f>VLOOKUP(A35,'PL Grouping'!A:A,1,)</f>
        <v>Shipping Charges</v>
      </c>
    </row>
    <row r="36" spans="1:15">
      <c r="A36" s="677" t="s">
        <v>170</v>
      </c>
      <c r="B36" s="699">
        <v>50086.74</v>
      </c>
      <c r="C36" s="703">
        <v>595512.9</v>
      </c>
      <c r="D36" s="703">
        <f t="shared" ref="D36:D52" si="13">B36-C36</f>
        <v>-545426.16</v>
      </c>
      <c r="E36" s="703"/>
      <c r="F36" s="704">
        <v>547520.84</v>
      </c>
      <c r="G36" s="698"/>
      <c r="H36" s="698"/>
      <c r="I36" s="698"/>
      <c r="J36" s="699">
        <v>333519.71000000002</v>
      </c>
      <c r="K36" s="703">
        <v>6.31</v>
      </c>
      <c r="L36" s="699"/>
      <c r="M36" s="703"/>
      <c r="O36" s="215" t="e">
        <f>VLOOKUP(A36,'PL Grouping'!A:A,1,)</f>
        <v>#N/A</v>
      </c>
    </row>
    <row r="37" spans="1:15">
      <c r="A37" s="692" t="s">
        <v>1596</v>
      </c>
      <c r="B37" s="685">
        <v>28691.86</v>
      </c>
      <c r="C37" s="701"/>
      <c r="D37" s="701">
        <f t="shared" si="13"/>
        <v>28691.86</v>
      </c>
      <c r="E37" s="701"/>
      <c r="F37" s="702"/>
      <c r="G37" s="687"/>
      <c r="H37" s="687">
        <f t="shared" ref="H37:H52" si="14">F37+G37</f>
        <v>0</v>
      </c>
      <c r="I37" s="687"/>
      <c r="J37" s="700"/>
      <c r="K37" s="701"/>
      <c r="L37" s="700">
        <f t="shared" ref="L37:L53" si="15">J37-K37</f>
        <v>0</v>
      </c>
      <c r="M37" s="701"/>
      <c r="O37" s="215" t="str">
        <f>VLOOKUP(A37,'PL Grouping'!A:A,1,)</f>
        <v>Amazon Storage, Pick Pack, Transp and Shipping Fees</v>
      </c>
    </row>
    <row r="38" spans="1:15">
      <c r="A38" s="692" t="s">
        <v>190</v>
      </c>
      <c r="B38" s="690"/>
      <c r="C38" s="691"/>
      <c r="D38" s="691">
        <f t="shared" si="13"/>
        <v>0</v>
      </c>
      <c r="E38" s="691"/>
      <c r="F38" s="693"/>
      <c r="G38" s="694"/>
      <c r="H38" s="694">
        <f t="shared" si="14"/>
        <v>0</v>
      </c>
      <c r="I38" s="694"/>
      <c r="J38" s="705">
        <v>24039</v>
      </c>
      <c r="K38" s="691"/>
      <c r="L38" s="705">
        <f t="shared" si="15"/>
        <v>24039</v>
      </c>
      <c r="M38" s="691"/>
      <c r="O38" s="215" t="str">
        <f>VLOOKUP(A38,'PL Grouping'!A:A,1,)</f>
        <v>Business Promotion Expenses</v>
      </c>
    </row>
    <row r="39" spans="1:15">
      <c r="A39" s="692" t="s">
        <v>1597</v>
      </c>
      <c r="B39" s="705">
        <v>9900</v>
      </c>
      <c r="C39" s="691"/>
      <c r="D39" s="691">
        <f t="shared" si="13"/>
        <v>9900</v>
      </c>
      <c r="E39" s="691"/>
      <c r="F39" s="693"/>
      <c r="G39" s="694"/>
      <c r="H39" s="694">
        <f t="shared" si="14"/>
        <v>0</v>
      </c>
      <c r="I39" s="694"/>
      <c r="J39" s="690"/>
      <c r="K39" s="691"/>
      <c r="L39" s="690">
        <f t="shared" si="15"/>
        <v>0</v>
      </c>
      <c r="M39" s="691"/>
      <c r="O39" s="215" t="str">
        <f>VLOOKUP(A39,'PL Grouping'!A:A,1,)</f>
        <v>Business Support Service</v>
      </c>
    </row>
    <row r="40" spans="1:15">
      <c r="A40" s="692" t="s">
        <v>192</v>
      </c>
      <c r="B40" s="705">
        <v>11394.88</v>
      </c>
      <c r="C40" s="691"/>
      <c r="D40" s="691">
        <f t="shared" si="13"/>
        <v>11394.88</v>
      </c>
      <c r="E40" s="691"/>
      <c r="F40" s="688">
        <v>27234.76</v>
      </c>
      <c r="G40" s="694"/>
      <c r="H40" s="694">
        <f t="shared" si="14"/>
        <v>27234.76</v>
      </c>
      <c r="I40" s="694"/>
      <c r="J40" s="690"/>
      <c r="K40" s="691"/>
      <c r="L40" s="690">
        <f t="shared" si="15"/>
        <v>0</v>
      </c>
      <c r="M40" s="691"/>
      <c r="O40" s="215" t="str">
        <f>VLOOKUP(A40,'PL Grouping'!A:A,1,)</f>
        <v>Commission</v>
      </c>
    </row>
    <row r="41" spans="1:15">
      <c r="A41" s="692" t="s">
        <v>194</v>
      </c>
      <c r="B41" s="690"/>
      <c r="C41" s="691"/>
      <c r="D41" s="691">
        <f t="shared" si="13"/>
        <v>0</v>
      </c>
      <c r="E41" s="691"/>
      <c r="F41" s="693"/>
      <c r="G41" s="694"/>
      <c r="H41" s="694">
        <f t="shared" si="14"/>
        <v>0</v>
      </c>
      <c r="I41" s="694"/>
      <c r="J41" s="705">
        <f>32788+150</f>
        <v>32938</v>
      </c>
      <c r="K41" s="691"/>
      <c r="L41" s="705">
        <f t="shared" si="15"/>
        <v>32938</v>
      </c>
      <c r="M41" s="691"/>
      <c r="O41" s="215" t="str">
        <f>VLOOKUP(A41,'PL Grouping'!A:A,1,)</f>
        <v>Conveyance Expenses</v>
      </c>
    </row>
    <row r="42" spans="1:15">
      <c r="A42" s="692" t="s">
        <v>1598</v>
      </c>
      <c r="B42" s="690"/>
      <c r="C42" s="691"/>
      <c r="D42" s="691">
        <f t="shared" si="13"/>
        <v>0</v>
      </c>
      <c r="E42" s="691"/>
      <c r="F42" s="693"/>
      <c r="G42" s="694"/>
      <c r="H42" s="694">
        <f t="shared" si="14"/>
        <v>0</v>
      </c>
      <c r="I42" s="694"/>
      <c r="J42" s="705">
        <v>42840</v>
      </c>
      <c r="K42" s="691"/>
      <c r="L42" s="705">
        <f t="shared" si="15"/>
        <v>42840</v>
      </c>
      <c r="M42" s="691"/>
      <c r="O42" s="215" t="str">
        <f>VLOOKUP(A42,'PL Grouping'!A:A,1,)</f>
        <v>Electricity Expenses</v>
      </c>
    </row>
    <row r="43" spans="1:15">
      <c r="A43" s="692" t="s">
        <v>1146</v>
      </c>
      <c r="B43" s="690"/>
      <c r="C43" s="691"/>
      <c r="D43" s="691">
        <f t="shared" si="13"/>
        <v>0</v>
      </c>
      <c r="E43" s="691"/>
      <c r="F43" s="693"/>
      <c r="G43" s="694"/>
      <c r="H43" s="694">
        <f t="shared" si="14"/>
        <v>0</v>
      </c>
      <c r="I43" s="694"/>
      <c r="J43" s="705">
        <v>100</v>
      </c>
      <c r="K43" s="691"/>
      <c r="L43" s="705">
        <f t="shared" si="15"/>
        <v>100</v>
      </c>
      <c r="M43" s="691"/>
      <c r="O43" s="215" t="str">
        <f>VLOOKUP(A43,'PL Grouping'!A:A,1,)</f>
        <v>GST Late Fees</v>
      </c>
    </row>
    <row r="44" spans="1:15">
      <c r="A44" s="692" t="s">
        <v>1599</v>
      </c>
      <c r="B44" s="705">
        <v>100</v>
      </c>
      <c r="C44" s="691"/>
      <c r="D44" s="691">
        <f t="shared" si="13"/>
        <v>100</v>
      </c>
      <c r="E44" s="691"/>
      <c r="F44" s="693"/>
      <c r="G44" s="694"/>
      <c r="H44" s="694">
        <f t="shared" si="14"/>
        <v>0</v>
      </c>
      <c r="I44" s="694"/>
      <c r="J44" s="690"/>
      <c r="K44" s="691"/>
      <c r="L44" s="690">
        <f t="shared" si="15"/>
        <v>0</v>
      </c>
      <c r="M44" s="691"/>
      <c r="O44" s="215" t="str">
        <f>VLOOKUP(A44,'PL Grouping'!A:A,1,)</f>
        <v>Gst Late Filing Fees</v>
      </c>
    </row>
    <row r="45" spans="1:15">
      <c r="A45" s="692" t="s">
        <v>206</v>
      </c>
      <c r="B45" s="690"/>
      <c r="C45" s="691"/>
      <c r="D45" s="691">
        <f t="shared" si="13"/>
        <v>0</v>
      </c>
      <c r="E45" s="691"/>
      <c r="F45" s="693"/>
      <c r="G45" s="694"/>
      <c r="H45" s="694">
        <f t="shared" si="14"/>
        <v>0</v>
      </c>
      <c r="I45" s="694"/>
      <c r="J45" s="705">
        <v>13000</v>
      </c>
      <c r="K45" s="691"/>
      <c r="L45" s="705">
        <f t="shared" si="15"/>
        <v>13000</v>
      </c>
      <c r="M45" s="691"/>
      <c r="O45" s="215" t="str">
        <f>VLOOKUP(A45,'PL Grouping'!A:A,1,)</f>
        <v>Legal &amp; Professional Charges</v>
      </c>
    </row>
    <row r="46" spans="1:15">
      <c r="A46" s="692" t="s">
        <v>1600</v>
      </c>
      <c r="B46" s="690"/>
      <c r="C46" s="691"/>
      <c r="D46" s="691">
        <f t="shared" si="13"/>
        <v>0</v>
      </c>
      <c r="E46" s="691"/>
      <c r="F46" s="693"/>
      <c r="G46" s="694"/>
      <c r="H46" s="694">
        <f t="shared" si="14"/>
        <v>0</v>
      </c>
      <c r="I46" s="694"/>
      <c r="J46" s="705">
        <v>62314.3</v>
      </c>
      <c r="K46" s="691"/>
      <c r="L46" s="705">
        <f t="shared" si="15"/>
        <v>62314.3</v>
      </c>
      <c r="M46" s="691"/>
      <c r="O46" s="215" t="str">
        <f>VLOOKUP(A46,'PL Grouping'!A:A,1,)</f>
        <v>Maintenance Expenses</v>
      </c>
    </row>
    <row r="47" spans="1:15">
      <c r="A47" s="692" t="s">
        <v>207</v>
      </c>
      <c r="B47" s="690"/>
      <c r="C47" s="660">
        <v>595511</v>
      </c>
      <c r="D47" s="660">
        <f t="shared" si="13"/>
        <v>-595511</v>
      </c>
      <c r="E47" s="660"/>
      <c r="F47" s="693"/>
      <c r="G47" s="694"/>
      <c r="H47" s="694">
        <f t="shared" si="14"/>
        <v>0</v>
      </c>
      <c r="I47" s="694"/>
      <c r="J47" s="690"/>
      <c r="K47" s="691"/>
      <c r="L47" s="690">
        <f t="shared" si="15"/>
        <v>0</v>
      </c>
      <c r="M47" s="691"/>
      <c r="O47" s="215" t="str">
        <f>VLOOKUP(A47,'PL Grouping'!A:A,1,)</f>
        <v>Marketing Expenses</v>
      </c>
    </row>
    <row r="48" spans="1:15">
      <c r="A48" s="707" t="s">
        <v>216</v>
      </c>
      <c r="B48" s="690"/>
      <c r="C48" s="691"/>
      <c r="D48" s="691">
        <f t="shared" si="13"/>
        <v>0</v>
      </c>
      <c r="E48" s="691"/>
      <c r="F48" s="688">
        <v>457629</v>
      </c>
      <c r="G48" s="694"/>
      <c r="H48" s="694">
        <f t="shared" si="14"/>
        <v>457629</v>
      </c>
      <c r="I48" s="694"/>
      <c r="J48" s="705">
        <v>157729.41</v>
      </c>
      <c r="K48" s="691"/>
      <c r="L48" s="705">
        <f t="shared" si="15"/>
        <v>157729.41</v>
      </c>
      <c r="M48" s="691"/>
      <c r="O48" s="215" t="str">
        <f>VLOOKUP(A48,'PL Grouping'!A:A,1,)</f>
        <v>Rent</v>
      </c>
    </row>
    <row r="49" spans="1:15">
      <c r="A49" s="692" t="s">
        <v>219</v>
      </c>
      <c r="B49" s="690"/>
      <c r="C49" s="691"/>
      <c r="D49" s="691">
        <f t="shared" si="13"/>
        <v>0</v>
      </c>
      <c r="E49" s="691"/>
      <c r="F49" s="688">
        <v>2.92</v>
      </c>
      <c r="G49" s="694"/>
      <c r="H49" s="694">
        <f t="shared" si="14"/>
        <v>2.92</v>
      </c>
      <c r="I49" s="694"/>
      <c r="J49" s="690"/>
      <c r="K49" s="660">
        <v>6.31</v>
      </c>
      <c r="L49" s="690">
        <f t="shared" si="15"/>
        <v>-6.31</v>
      </c>
      <c r="M49" s="660"/>
      <c r="O49" s="215" t="str">
        <f>VLOOKUP(A49,'PL Grouping'!A:A,1,)</f>
        <v>Rounding Off</v>
      </c>
    </row>
    <row r="50" spans="1:15">
      <c r="A50" s="692" t="s">
        <v>1552</v>
      </c>
      <c r="B50" s="690"/>
      <c r="C50" s="660">
        <v>1.9</v>
      </c>
      <c r="D50" s="660">
        <f t="shared" si="13"/>
        <v>-1.9</v>
      </c>
      <c r="E50" s="660"/>
      <c r="F50" s="688">
        <v>0.08</v>
      </c>
      <c r="G50" s="694"/>
      <c r="H50" s="694">
        <f t="shared" si="14"/>
        <v>0.08</v>
      </c>
      <c r="I50" s="694"/>
      <c r="J50" s="690"/>
      <c r="K50" s="691"/>
      <c r="L50" s="690">
        <f t="shared" si="15"/>
        <v>0</v>
      </c>
      <c r="M50" s="691"/>
      <c r="O50" s="215" t="str">
        <f>VLOOKUP(A50,'PL Grouping'!A:A,1,)</f>
        <v>RoundOff</v>
      </c>
    </row>
    <row r="51" spans="1:15">
      <c r="A51" s="692" t="s">
        <v>457</v>
      </c>
      <c r="B51" s="690"/>
      <c r="C51" s="691"/>
      <c r="D51" s="691">
        <f t="shared" si="13"/>
        <v>0</v>
      </c>
      <c r="E51" s="691"/>
      <c r="F51" s="693"/>
      <c r="G51" s="694"/>
      <c r="H51" s="694">
        <f t="shared" si="14"/>
        <v>0</v>
      </c>
      <c r="I51" s="694"/>
      <c r="J51" s="705"/>
      <c r="K51" s="691"/>
      <c r="L51" s="705">
        <f t="shared" si="15"/>
        <v>0</v>
      </c>
      <c r="M51" s="691"/>
      <c r="O51" s="215" t="str">
        <f>VLOOKUP(A51,'PL Grouping'!A:A,1,)</f>
        <v>Shipping Charges</v>
      </c>
    </row>
    <row r="52" spans="1:15">
      <c r="A52" s="692" t="s">
        <v>1601</v>
      </c>
      <c r="B52" s="690"/>
      <c r="C52" s="691"/>
      <c r="D52" s="691">
        <f t="shared" si="13"/>
        <v>0</v>
      </c>
      <c r="E52" s="691"/>
      <c r="F52" s="688">
        <v>62654.080000000002</v>
      </c>
      <c r="G52" s="694"/>
      <c r="H52" s="694">
        <f t="shared" si="14"/>
        <v>62654.080000000002</v>
      </c>
      <c r="I52" s="694"/>
      <c r="J52" s="690"/>
      <c r="K52" s="691"/>
      <c r="L52" s="690">
        <f t="shared" si="15"/>
        <v>0</v>
      </c>
      <c r="M52" s="691"/>
      <c r="O52" s="215" t="str">
        <f>VLOOKUP(A52,'PL Grouping'!A:A,1,)</f>
        <v>Storage, Shipping and Pick and Pack Fees</v>
      </c>
    </row>
    <row r="53" spans="1:15">
      <c r="A53" s="708" t="s">
        <v>1153</v>
      </c>
      <c r="B53" s="688">
        <v>335984.57</v>
      </c>
      <c r="C53" s="694"/>
      <c r="D53" s="694"/>
      <c r="E53" s="694">
        <f>C53-B53</f>
        <v>-335984.57</v>
      </c>
      <c r="F53" s="705">
        <v>139240.66</v>
      </c>
      <c r="G53" s="691"/>
      <c r="H53" s="691"/>
      <c r="I53" s="694">
        <f>G53-F53</f>
        <v>-139240.66</v>
      </c>
      <c r="J53" s="693"/>
      <c r="K53" s="694"/>
      <c r="L53" s="693">
        <f t="shared" si="15"/>
        <v>0</v>
      </c>
      <c r="M53" s="694">
        <f>K53-J53</f>
        <v>0</v>
      </c>
      <c r="O53" s="215" t="e">
        <f>VLOOKUP(A53,'PL Grouping'!A:A,1,)</f>
        <v>#N/A</v>
      </c>
    </row>
    <row r="54" spans="1:15">
      <c r="A54" s="709" t="s">
        <v>1154</v>
      </c>
      <c r="B54" s="678">
        <v>2157644.2200000002</v>
      </c>
      <c r="C54" s="679">
        <v>2157644.2200000002</v>
      </c>
      <c r="D54" s="679"/>
      <c r="E54" s="679"/>
      <c r="F54" s="680">
        <v>1117986.04</v>
      </c>
      <c r="G54" s="681">
        <v>1117986.04</v>
      </c>
      <c r="H54" s="681"/>
      <c r="I54" s="681"/>
      <c r="J54" s="678">
        <v>1810047.03</v>
      </c>
      <c r="K54" s="679">
        <v>1810047.03</v>
      </c>
      <c r="L54" s="678"/>
      <c r="M54" s="679"/>
    </row>
  </sheetData>
  <autoFilter ref="A2:O54" xr:uid="{24ACCC2E-4D95-4522-9E6E-2799B91E6663}"/>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97045-84DB-47A0-9CFF-DDDE53DE6BA6}">
  <dimension ref="A1:Y370"/>
  <sheetViews>
    <sheetView zoomScaleNormal="100" workbookViewId="0">
      <pane xSplit="2" ySplit="5" topLeftCell="C157" activePane="bottomRight" state="frozen"/>
      <selection activeCell="B25" sqref="B25"/>
      <selection pane="topRight" activeCell="B25" sqref="B25"/>
      <selection pane="bottomLeft" activeCell="B25" sqref="B25"/>
      <selection pane="bottomRight" activeCell="B25" sqref="B25"/>
    </sheetView>
  </sheetViews>
  <sheetFormatPr baseColWidth="10" defaultColWidth="9.1640625" defaultRowHeight="15"/>
  <cols>
    <col min="1" max="1" width="30.1640625" style="628" customWidth="1"/>
    <col min="2" max="2" width="12.33203125" style="215" bestFit="1" customWidth="1"/>
    <col min="3" max="3" width="16" style="334" bestFit="1" customWidth="1"/>
    <col min="4" max="4" width="15.33203125" style="334" bestFit="1" customWidth="1"/>
    <col min="5" max="5" width="12.5" style="334" bestFit="1" customWidth="1"/>
    <col min="6" max="6" width="10.33203125" style="334" customWidth="1"/>
    <col min="7" max="7" width="13" style="334" bestFit="1" customWidth="1"/>
    <col min="8" max="8" width="13.83203125" style="334" bestFit="1" customWidth="1"/>
    <col min="9" max="9" width="14.33203125" style="334" bestFit="1" customWidth="1"/>
    <col min="10" max="10" width="13.83203125" style="334" bestFit="1" customWidth="1"/>
    <col min="11" max="11" width="16.33203125" style="334" bestFit="1" customWidth="1"/>
    <col min="12" max="12" width="15.33203125" style="334" customWidth="1"/>
    <col min="13" max="14" width="15.1640625" style="334" customWidth="1"/>
    <col min="15" max="15" width="12.5" style="334" customWidth="1"/>
    <col min="16" max="19" width="15.1640625" style="334" customWidth="1"/>
    <col min="20" max="20" width="16.1640625" style="334" customWidth="1"/>
    <col min="21" max="21" width="14.83203125" style="215" customWidth="1"/>
    <col min="22" max="22" width="11.6640625" style="215" bestFit="1" customWidth="1"/>
    <col min="23" max="23" width="12.5" style="215" bestFit="1" customWidth="1"/>
    <col min="24" max="24" width="9.33203125" style="215" bestFit="1" customWidth="1"/>
    <col min="25" max="16384" width="9.1640625" style="215"/>
  </cols>
  <sheetData>
    <row r="1" spans="1:25" s="6" customFormat="1">
      <c r="A1" s="6" t="str">
        <f>BS!A1</f>
        <v>1908 E-Ventures Private Limited</v>
      </c>
      <c r="B1" s="293"/>
      <c r="C1" s="731"/>
      <c r="D1" s="731" t="s">
        <v>1559</v>
      </c>
      <c r="E1" s="731"/>
      <c r="F1" s="731"/>
      <c r="G1" s="731"/>
      <c r="H1" s="731"/>
      <c r="I1" s="731"/>
      <c r="J1" s="731"/>
      <c r="K1" s="732">
        <f>-K588-K594-K602-K611-K625-K629-K636-K650-K654-K661-K665-K669-K673-K738-K677-K686-K682-K691-K698-K615+K619</f>
        <v>0</v>
      </c>
      <c r="L1" s="731"/>
      <c r="M1" s="731"/>
      <c r="N1" s="731"/>
      <c r="O1" s="731"/>
      <c r="P1" s="731"/>
      <c r="Q1" s="731"/>
      <c r="R1" s="731"/>
      <c r="S1" s="731"/>
      <c r="T1" s="731">
        <f>-T588-T594-T602-T611-T625-T629-T636-T650-T654-T661-T665-T669-T673-T738-T677-T686-T682-T691-T698-T615</f>
        <v>0</v>
      </c>
      <c r="U1" s="733"/>
    </row>
    <row r="2" spans="1:25" s="6" customFormat="1">
      <c r="A2" s="293" t="s">
        <v>1641</v>
      </c>
      <c r="B2" s="293"/>
      <c r="C2" s="731"/>
      <c r="D2" s="731"/>
      <c r="E2" s="731"/>
      <c r="F2" s="731"/>
      <c r="G2" s="731"/>
      <c r="H2" s="731"/>
      <c r="I2" s="731"/>
      <c r="J2" s="731"/>
      <c r="K2" s="732" t="s">
        <v>1557</v>
      </c>
      <c r="L2" s="734">
        <f>IFERROR(VLOOKUP(A2,'TB PY'!A:G,7,),0)+IFERROR(VLOOKUP(A2,'TB PY'!A:G,6,),0)</f>
        <v>0</v>
      </c>
      <c r="M2" s="731"/>
      <c r="N2" s="731"/>
      <c r="O2" s="731"/>
      <c r="P2" s="731"/>
      <c r="Q2" s="731"/>
      <c r="R2" s="731"/>
      <c r="S2" s="731"/>
      <c r="T2" s="731"/>
      <c r="U2" s="293"/>
    </row>
    <row r="3" spans="1:25" s="1" customFormat="1" ht="16" thickBot="1">
      <c r="A3" s="735"/>
      <c r="C3" s="50"/>
      <c r="D3" s="50"/>
      <c r="E3" s="50"/>
      <c r="F3" s="50"/>
      <c r="G3" s="50">
        <v>18640762</v>
      </c>
      <c r="H3" s="50">
        <v>18509809</v>
      </c>
      <c r="I3" s="50">
        <f>G3-H3</f>
        <v>130953</v>
      </c>
      <c r="J3" s="50"/>
      <c r="K3" s="50"/>
      <c r="L3" s="50"/>
      <c r="M3" s="50"/>
      <c r="N3" s="50"/>
      <c r="O3" s="50"/>
      <c r="P3" s="50"/>
      <c r="Q3" s="50"/>
      <c r="R3" s="50"/>
      <c r="S3" s="50"/>
      <c r="T3" s="50"/>
    </row>
    <row r="4" spans="1:25" s="1" customFormat="1" ht="16.5" customHeight="1" thickTop="1" thickBot="1">
      <c r="A4" s="736" t="s">
        <v>0</v>
      </c>
      <c r="B4" s="737"/>
      <c r="C4" s="1040" t="s">
        <v>1509</v>
      </c>
      <c r="D4" s="1041"/>
      <c r="E4" s="1041"/>
      <c r="F4" s="1041"/>
      <c r="G4" s="1041"/>
      <c r="H4" s="1041"/>
      <c r="I4" s="1041"/>
      <c r="J4" s="1041"/>
      <c r="K4" s="1042"/>
      <c r="L4" s="1043" t="s">
        <v>1212</v>
      </c>
      <c r="M4" s="1041"/>
      <c r="N4" s="1041"/>
      <c r="O4" s="1041"/>
      <c r="P4" s="1041"/>
      <c r="Q4" s="1041"/>
      <c r="R4" s="1041"/>
      <c r="S4" s="1041"/>
      <c r="T4" s="1044"/>
      <c r="U4" s="738"/>
    </row>
    <row r="5" spans="1:25" s="1" customFormat="1" ht="18" thickTop="1" thickBot="1">
      <c r="A5" s="739"/>
      <c r="B5" s="740" t="s">
        <v>1219</v>
      </c>
      <c r="C5" s="741" t="s">
        <v>97</v>
      </c>
      <c r="D5" s="741" t="s">
        <v>1218</v>
      </c>
      <c r="E5" s="741" t="s">
        <v>1161</v>
      </c>
      <c r="F5" s="741" t="s">
        <v>1218</v>
      </c>
      <c r="G5" s="741" t="s">
        <v>1160</v>
      </c>
      <c r="H5" s="741" t="s">
        <v>1218</v>
      </c>
      <c r="I5" s="741" t="s">
        <v>1602</v>
      </c>
      <c r="J5" s="741" t="s">
        <v>1218</v>
      </c>
      <c r="K5" s="742" t="s">
        <v>51</v>
      </c>
      <c r="L5" s="741" t="s">
        <v>97</v>
      </c>
      <c r="M5" s="741" t="s">
        <v>1218</v>
      </c>
      <c r="N5" s="741" t="s">
        <v>1161</v>
      </c>
      <c r="O5" s="741" t="s">
        <v>1218</v>
      </c>
      <c r="P5" s="741" t="s">
        <v>1160</v>
      </c>
      <c r="Q5" s="741" t="s">
        <v>1218</v>
      </c>
      <c r="R5" s="741" t="s">
        <v>1603</v>
      </c>
      <c r="S5" s="741" t="s">
        <v>1218</v>
      </c>
      <c r="T5" s="743" t="s">
        <v>51</v>
      </c>
      <c r="U5" s="738" t="s">
        <v>1510</v>
      </c>
      <c r="X5" s="1">
        <v>24500</v>
      </c>
      <c r="Y5" s="1" t="s">
        <v>1213</v>
      </c>
    </row>
    <row r="6" spans="1:25" ht="17" thickTop="1">
      <c r="A6" s="744" t="s">
        <v>28</v>
      </c>
      <c r="B6" s="745"/>
      <c r="C6" s="734"/>
      <c r="D6" s="746"/>
      <c r="E6" s="746"/>
      <c r="F6" s="746"/>
      <c r="G6" s="746"/>
      <c r="H6" s="746"/>
      <c r="I6" s="746"/>
      <c r="J6" s="746"/>
      <c r="K6" s="747"/>
      <c r="L6" s="734"/>
      <c r="M6" s="746"/>
      <c r="N6" s="746"/>
      <c r="O6" s="746"/>
      <c r="P6" s="746"/>
      <c r="Q6" s="746"/>
      <c r="R6" s="746"/>
      <c r="S6" s="746"/>
      <c r="T6" s="747"/>
      <c r="X6" s="215">
        <v>9000</v>
      </c>
      <c r="Y6" s="215" t="s">
        <v>1214</v>
      </c>
    </row>
    <row r="7" spans="1:25" ht="16">
      <c r="A7" s="628" t="s">
        <v>240</v>
      </c>
      <c r="B7" s="745"/>
      <c r="C7" s="734"/>
      <c r="D7" s="746"/>
      <c r="E7" s="746"/>
      <c r="F7" s="746"/>
      <c r="G7" s="746"/>
      <c r="H7" s="746"/>
      <c r="I7" s="746"/>
      <c r="J7" s="746"/>
      <c r="K7" s="747">
        <f>SUM(C7:H7)</f>
        <v>0</v>
      </c>
      <c r="L7" s="734"/>
      <c r="M7" s="746"/>
      <c r="N7" s="746"/>
      <c r="O7" s="746"/>
      <c r="P7" s="746"/>
      <c r="Q7" s="746"/>
      <c r="R7" s="746"/>
      <c r="S7" s="746"/>
      <c r="T7" s="747">
        <f>SUM(L7:Q7)</f>
        <v>0</v>
      </c>
      <c r="U7" s="748"/>
      <c r="X7" s="215">
        <v>10000</v>
      </c>
      <c r="Y7" s="215" t="s">
        <v>284</v>
      </c>
    </row>
    <row r="8" spans="1:25" ht="16">
      <c r="A8" s="628" t="s">
        <v>158</v>
      </c>
      <c r="B8" s="745" t="s">
        <v>460</v>
      </c>
      <c r="C8" s="734">
        <f>IFERROR(VLOOKUP(A8,'TB CY'!A:G,7,)+VLOOKUP(A8,'TB CY'!A:G,6,),0)</f>
        <v>63860391.359999999</v>
      </c>
      <c r="D8" s="746"/>
      <c r="E8" s="746">
        <f>IFERROR(VLOOKUP(A8,'TB Other'!A:I,8,0),0)+IFERROR(VLOOKUP(A8,'TB Other'!A:I,9,0),0)</f>
        <v>159005.92000000001</v>
      </c>
      <c r="F8" s="746">
        <f>F87</f>
        <v>-125415.76</v>
      </c>
      <c r="G8" s="746">
        <f>IFERROR(VLOOKUP(A8,'TB Other'!A:E,4,),0)+IFERROR(VLOOKUP(A8,'TB Other'!A:E,5,),0)</f>
        <v>91360.19</v>
      </c>
      <c r="H8" s="746">
        <f>H87</f>
        <v>-95909.75</v>
      </c>
      <c r="I8" s="746">
        <f>IFERROR(VLOOKUP(A8,'TB Other'!A:M,12,0),0)+IFERROR(VLOOKUP(A8,'TB Other'!A:M,13,0),0)</f>
        <v>406946.2</v>
      </c>
      <c r="J8" s="746"/>
      <c r="K8" s="747">
        <f>SUM(C8:J8)</f>
        <v>64296378.160000004</v>
      </c>
      <c r="L8" s="734">
        <f>VLOOKUP(A8,'TB PY'!A:G,7,)+VLOOKUP(A8,'TB PY'!A:G,6,)</f>
        <v>60671545.950000003</v>
      </c>
      <c r="M8" s="746"/>
      <c r="N8" s="746">
        <v>315818</v>
      </c>
      <c r="O8" s="746">
        <f>+O68</f>
        <v>-201412</v>
      </c>
      <c r="P8" s="746">
        <v>3683319</v>
      </c>
      <c r="Q8" s="746">
        <f>+Q68</f>
        <v>-9378</v>
      </c>
      <c r="R8" s="746"/>
      <c r="S8" s="746"/>
      <c r="T8" s="747">
        <f>SUM(L8:S8)</f>
        <v>64459892.950000003</v>
      </c>
      <c r="U8" s="748"/>
      <c r="X8" s="215">
        <v>13000</v>
      </c>
      <c r="Y8" s="215" t="s">
        <v>1215</v>
      </c>
    </row>
    <row r="9" spans="1:25" ht="16" thickBot="1">
      <c r="B9" s="745"/>
      <c r="C9" s="734"/>
      <c r="D9" s="746"/>
      <c r="E9" s="746"/>
      <c r="F9" s="746"/>
      <c r="G9" s="746"/>
      <c r="H9" s="746"/>
      <c r="I9" s="746"/>
      <c r="J9" s="746"/>
      <c r="K9" s="747"/>
      <c r="L9" s="734"/>
      <c r="M9" s="746"/>
      <c r="N9" s="746"/>
      <c r="O9" s="746"/>
      <c r="P9" s="746"/>
      <c r="Q9" s="746"/>
      <c r="R9" s="746"/>
      <c r="S9" s="746"/>
      <c r="T9" s="747">
        <f>SUM(L9:Q9)</f>
        <v>0</v>
      </c>
      <c r="U9" s="748"/>
      <c r="X9" s="215">
        <v>5000</v>
      </c>
      <c r="Y9" s="215" t="s">
        <v>1216</v>
      </c>
    </row>
    <row r="10" spans="1:25" ht="17" thickTop="1" thickBot="1">
      <c r="A10" s="749"/>
      <c r="B10" s="750" t="s">
        <v>51</v>
      </c>
      <c r="C10" s="751">
        <f>SUM(C7:C9)</f>
        <v>63860391.359999999</v>
      </c>
      <c r="D10" s="752">
        <f t="shared" ref="D10:T10" si="0">SUM(D7:D9)</f>
        <v>0</v>
      </c>
      <c r="E10" s="752">
        <f t="shared" si="0"/>
        <v>159005.92000000001</v>
      </c>
      <c r="F10" s="752">
        <f t="shared" si="0"/>
        <v>-125415.76</v>
      </c>
      <c r="G10" s="752">
        <f t="shared" si="0"/>
        <v>91360.19</v>
      </c>
      <c r="H10" s="752">
        <f t="shared" si="0"/>
        <v>-95909.75</v>
      </c>
      <c r="I10" s="752">
        <f t="shared" ref="I10:J10" si="1">SUM(I7:I9)</f>
        <v>406946.2</v>
      </c>
      <c r="J10" s="752">
        <f t="shared" si="1"/>
        <v>0</v>
      </c>
      <c r="K10" s="753">
        <f t="shared" si="0"/>
        <v>64296378.160000004</v>
      </c>
      <c r="L10" s="751">
        <f t="shared" si="0"/>
        <v>60671545.950000003</v>
      </c>
      <c r="M10" s="752">
        <f t="shared" ref="M10:Q10" si="2">SUM(M7:M9)</f>
        <v>0</v>
      </c>
      <c r="N10" s="752">
        <f t="shared" si="2"/>
        <v>315818</v>
      </c>
      <c r="O10" s="752">
        <f t="shared" si="2"/>
        <v>-201412</v>
      </c>
      <c r="P10" s="752">
        <f t="shared" si="2"/>
        <v>3683319</v>
      </c>
      <c r="Q10" s="752">
        <f t="shared" si="2"/>
        <v>-9378</v>
      </c>
      <c r="R10" s="752">
        <f t="shared" ref="R10:S10" si="3">SUM(R7:R9)</f>
        <v>0</v>
      </c>
      <c r="S10" s="752">
        <f t="shared" si="3"/>
        <v>0</v>
      </c>
      <c r="T10" s="754">
        <f t="shared" si="0"/>
        <v>64459892.950000003</v>
      </c>
      <c r="U10" s="748">
        <f>K10-T10</f>
        <v>-163514.78999999911</v>
      </c>
      <c r="X10" s="215">
        <v>11000</v>
      </c>
      <c r="Y10" s="215" t="s">
        <v>1217</v>
      </c>
    </row>
    <row r="11" spans="1:25" ht="16" thickTop="1">
      <c r="B11" s="745"/>
      <c r="C11" s="734"/>
      <c r="D11" s="746"/>
      <c r="E11" s="746"/>
      <c r="F11" s="746"/>
      <c r="G11" s="746"/>
      <c r="H11" s="746"/>
      <c r="I11" s="746"/>
      <c r="J11" s="746"/>
      <c r="K11" s="747"/>
      <c r="L11" s="734"/>
      <c r="M11" s="746"/>
      <c r="N11" s="746"/>
      <c r="O11" s="746"/>
      <c r="P11" s="746"/>
      <c r="Q11" s="746"/>
      <c r="R11" s="746"/>
      <c r="S11" s="746"/>
      <c r="T11" s="747"/>
    </row>
    <row r="12" spans="1:25" ht="16">
      <c r="A12" s="755" t="s">
        <v>241</v>
      </c>
      <c r="B12" s="745" t="s">
        <v>1223</v>
      </c>
      <c r="C12" s="734"/>
      <c r="D12" s="746"/>
      <c r="E12" s="746"/>
      <c r="F12" s="746"/>
      <c r="G12" s="746"/>
      <c r="H12" s="746"/>
      <c r="I12" s="746"/>
      <c r="J12" s="746"/>
      <c r="K12" s="747">
        <f>SUM(C12:J12)</f>
        <v>0</v>
      </c>
      <c r="L12" s="734"/>
      <c r="M12" s="746"/>
      <c r="N12" s="746"/>
      <c r="O12" s="746"/>
      <c r="P12" s="746"/>
      <c r="Q12" s="746"/>
      <c r="R12" s="746"/>
      <c r="S12" s="746"/>
      <c r="T12" s="747">
        <f>SUM(L12:S12)</f>
        <v>0</v>
      </c>
      <c r="X12" s="215">
        <f>SUM(X5:X11)</f>
        <v>72500</v>
      </c>
    </row>
    <row r="13" spans="1:25">
      <c r="B13" s="745"/>
      <c r="C13" s="734"/>
      <c r="D13" s="746"/>
      <c r="E13" s="746"/>
      <c r="F13" s="746"/>
      <c r="G13" s="746"/>
      <c r="H13" s="746"/>
      <c r="I13" s="746"/>
      <c r="J13" s="746"/>
      <c r="K13" s="747"/>
      <c r="L13" s="734"/>
      <c r="M13" s="746"/>
      <c r="N13" s="746"/>
      <c r="O13" s="746"/>
      <c r="P13" s="746"/>
      <c r="Q13" s="746"/>
      <c r="R13" s="746"/>
      <c r="S13" s="746"/>
      <c r="T13" s="747"/>
    </row>
    <row r="14" spans="1:25">
      <c r="B14" s="745"/>
      <c r="C14" s="734"/>
      <c r="D14" s="746"/>
      <c r="E14" s="746"/>
      <c r="F14" s="746"/>
      <c r="G14" s="746"/>
      <c r="H14" s="746"/>
      <c r="I14" s="746"/>
      <c r="J14" s="746"/>
      <c r="K14" s="747"/>
      <c r="L14" s="734"/>
      <c r="M14" s="746"/>
      <c r="N14" s="746"/>
      <c r="O14" s="746"/>
      <c r="P14" s="746"/>
      <c r="Q14" s="746"/>
      <c r="R14" s="746"/>
      <c r="S14" s="746"/>
      <c r="T14" s="747"/>
    </row>
    <row r="15" spans="1:25" ht="16">
      <c r="A15" s="755" t="s">
        <v>29</v>
      </c>
      <c r="B15" s="745"/>
      <c r="C15" s="734"/>
      <c r="D15" s="746"/>
      <c r="E15" s="746"/>
      <c r="F15" s="746"/>
      <c r="G15" s="746"/>
      <c r="H15" s="746"/>
      <c r="I15" s="746"/>
      <c r="J15" s="746"/>
      <c r="K15" s="747"/>
      <c r="L15" s="734"/>
      <c r="M15" s="746"/>
      <c r="N15" s="746"/>
      <c r="O15" s="746"/>
      <c r="P15" s="746"/>
      <c r="Q15" s="746"/>
      <c r="R15" s="746"/>
      <c r="S15" s="746"/>
      <c r="T15" s="747"/>
    </row>
    <row r="16" spans="1:25">
      <c r="B16" s="745"/>
      <c r="C16" s="734"/>
      <c r="D16" s="746"/>
      <c r="E16" s="746"/>
      <c r="F16" s="746"/>
      <c r="G16" s="746"/>
      <c r="H16" s="746"/>
      <c r="I16" s="746"/>
      <c r="J16" s="746"/>
      <c r="K16" s="747"/>
      <c r="L16" s="734"/>
      <c r="M16" s="746"/>
      <c r="N16" s="746"/>
      <c r="O16" s="746"/>
      <c r="P16" s="746"/>
      <c r="Q16" s="746"/>
      <c r="R16" s="746"/>
      <c r="S16" s="746"/>
      <c r="T16" s="747"/>
    </row>
    <row r="17" spans="1:21" ht="16">
      <c r="A17" s="628" t="s">
        <v>1229</v>
      </c>
      <c r="B17" s="745"/>
      <c r="C17" s="734"/>
      <c r="D17" s="746"/>
      <c r="E17" s="746"/>
      <c r="F17" s="746"/>
      <c r="G17" s="746"/>
      <c r="H17" s="746"/>
      <c r="I17" s="746"/>
      <c r="J17" s="746"/>
      <c r="K17" s="747"/>
      <c r="L17" s="734"/>
      <c r="M17" s="746"/>
      <c r="N17" s="746"/>
      <c r="O17" s="746"/>
      <c r="P17" s="746"/>
      <c r="Q17" s="746"/>
      <c r="R17" s="746"/>
      <c r="S17" s="746"/>
      <c r="T17" s="747"/>
    </row>
    <row r="18" spans="1:21" ht="16">
      <c r="A18" s="628" t="s">
        <v>168</v>
      </c>
      <c r="B18" s="745" t="s">
        <v>460</v>
      </c>
      <c r="C18" s="734">
        <f>IFERROR(VLOOKUP(A18,'TB CY'!A:G,7,)+VLOOKUP(A18,'TB CY'!A:G,6,),0)</f>
        <v>5186</v>
      </c>
      <c r="D18" s="746"/>
      <c r="E18" s="746">
        <f>IFERROR(VLOOKUP(A18,'TB Other'!A:I,8,0),0)+IFERROR(VLOOKUP(A18,'TB Other'!A:I,9,0),0)</f>
        <v>0</v>
      </c>
      <c r="F18" s="746"/>
      <c r="G18" s="746">
        <f>IFERROR(VLOOKUP(A18,'TB Other'!A:E,4,),0)+IFERROR(VLOOKUP(A18,'TB Other'!A:E,5,),0)</f>
        <v>0</v>
      </c>
      <c r="H18" s="746"/>
      <c r="I18" s="746">
        <f>IFERROR(VLOOKUP(A18,'TB Other'!A:M,12,0),0)+IFERROR(VLOOKUP(A18,'TB Other'!A:M,13,0),0)</f>
        <v>0</v>
      </c>
      <c r="J18" s="746"/>
      <c r="K18" s="747">
        <f>SUM(C18:J18)</f>
        <v>5186</v>
      </c>
      <c r="L18" s="734">
        <f>VLOOKUP(A18,'TB PY'!A:G,7,)+VLOOKUP(A18,'TB PY'!A:G,6,)</f>
        <v>4729</v>
      </c>
      <c r="M18" s="746"/>
      <c r="N18" s="746"/>
      <c r="O18" s="746"/>
      <c r="P18" s="746"/>
      <c r="Q18" s="746"/>
      <c r="R18" s="746"/>
      <c r="S18" s="746"/>
      <c r="T18" s="747">
        <f>SUM(L18:S18)</f>
        <v>4729</v>
      </c>
      <c r="U18" s="748"/>
    </row>
    <row r="19" spans="1:21" ht="16" thickBot="1">
      <c r="B19" s="745"/>
      <c r="C19" s="734"/>
      <c r="D19" s="746"/>
      <c r="E19" s="746"/>
      <c r="F19" s="746"/>
      <c r="G19" s="746"/>
      <c r="H19" s="746"/>
      <c r="I19" s="746"/>
      <c r="J19" s="746"/>
      <c r="K19" s="747"/>
      <c r="L19" s="734"/>
      <c r="M19" s="746"/>
      <c r="N19" s="746"/>
      <c r="O19" s="746"/>
      <c r="P19" s="746"/>
      <c r="Q19" s="746"/>
      <c r="R19" s="746"/>
      <c r="S19" s="746"/>
      <c r="T19" s="747"/>
    </row>
    <row r="20" spans="1:21" ht="17" thickTop="1" thickBot="1">
      <c r="A20" s="749"/>
      <c r="B20" s="750" t="s">
        <v>51</v>
      </c>
      <c r="C20" s="751">
        <f>SUM(C18:C19)</f>
        <v>5186</v>
      </c>
      <c r="D20" s="752">
        <f t="shared" ref="D20:T20" si="4">SUM(D18:D19)</f>
        <v>0</v>
      </c>
      <c r="E20" s="752">
        <f t="shared" si="4"/>
        <v>0</v>
      </c>
      <c r="F20" s="752">
        <f t="shared" si="4"/>
        <v>0</v>
      </c>
      <c r="G20" s="752">
        <f t="shared" si="4"/>
        <v>0</v>
      </c>
      <c r="H20" s="752">
        <f t="shared" si="4"/>
        <v>0</v>
      </c>
      <c r="I20" s="752">
        <f t="shared" ref="I20:J20" si="5">SUM(I18:I19)</f>
        <v>0</v>
      </c>
      <c r="J20" s="752">
        <f t="shared" si="5"/>
        <v>0</v>
      </c>
      <c r="K20" s="753">
        <f t="shared" si="4"/>
        <v>5186</v>
      </c>
      <c r="L20" s="751">
        <f t="shared" si="4"/>
        <v>4729</v>
      </c>
      <c r="M20" s="752">
        <f t="shared" ref="M20:Q20" si="6">SUM(M18:M19)</f>
        <v>0</v>
      </c>
      <c r="N20" s="752">
        <f t="shared" si="6"/>
        <v>0</v>
      </c>
      <c r="O20" s="752">
        <f t="shared" si="6"/>
        <v>0</v>
      </c>
      <c r="P20" s="752">
        <f t="shared" si="6"/>
        <v>0</v>
      </c>
      <c r="Q20" s="752">
        <f t="shared" si="6"/>
        <v>0</v>
      </c>
      <c r="R20" s="752">
        <f t="shared" ref="R20:S20" si="7">SUM(R18:R19)</f>
        <v>0</v>
      </c>
      <c r="S20" s="752">
        <f t="shared" si="7"/>
        <v>0</v>
      </c>
      <c r="T20" s="754">
        <f t="shared" si="4"/>
        <v>4729</v>
      </c>
      <c r="U20" s="748">
        <f>K20-T20</f>
        <v>457</v>
      </c>
    </row>
    <row r="21" spans="1:21" ht="16" thickTop="1">
      <c r="B21" s="745"/>
      <c r="C21" s="734"/>
      <c r="D21" s="746"/>
      <c r="E21" s="746"/>
      <c r="F21" s="746"/>
      <c r="G21" s="746"/>
      <c r="H21" s="746"/>
      <c r="I21" s="746"/>
      <c r="J21" s="746"/>
      <c r="K21" s="747"/>
      <c r="L21" s="734"/>
      <c r="M21" s="746"/>
      <c r="N21" s="746"/>
      <c r="O21" s="746"/>
      <c r="P21" s="746"/>
      <c r="Q21" s="746"/>
      <c r="R21" s="746"/>
      <c r="S21" s="746"/>
      <c r="T21" s="747"/>
    </row>
    <row r="22" spans="1:21" ht="16">
      <c r="A22" s="628" t="s">
        <v>1230</v>
      </c>
      <c r="B22" s="745"/>
      <c r="C22" s="734"/>
      <c r="D22" s="746"/>
      <c r="E22" s="746"/>
      <c r="F22" s="746"/>
      <c r="G22" s="746"/>
      <c r="H22" s="746"/>
      <c r="I22" s="746"/>
      <c r="J22" s="746"/>
      <c r="K22" s="747"/>
      <c r="L22" s="734"/>
      <c r="M22" s="746"/>
      <c r="N22" s="746"/>
      <c r="O22" s="746"/>
      <c r="P22" s="746"/>
      <c r="Q22" s="746"/>
      <c r="R22" s="746"/>
      <c r="S22" s="746"/>
      <c r="T22" s="747"/>
    </row>
    <row r="23" spans="1:21" ht="16">
      <c r="A23" s="628" t="s">
        <v>454</v>
      </c>
      <c r="B23" s="745" t="s">
        <v>460</v>
      </c>
      <c r="C23" s="734">
        <f>IFERROR(VLOOKUP(A23,'TB CY'!A:G,7,)+VLOOKUP(A23,'TB CY'!A:G,6,),0)</f>
        <v>2797</v>
      </c>
      <c r="D23" s="746"/>
      <c r="E23" s="746">
        <f>IFERROR(VLOOKUP(A23,'TB Other'!A:I,8,0),0)+IFERROR(VLOOKUP(A23,'TB Other'!A:I,9,0),0)</f>
        <v>0</v>
      </c>
      <c r="F23" s="746"/>
      <c r="G23" s="746">
        <f>IFERROR(VLOOKUP(A23,'TB Other'!A:E,4,),0)+IFERROR(VLOOKUP(A23,'TB Other'!A:E,5,),0)</f>
        <v>0</v>
      </c>
      <c r="H23" s="746"/>
      <c r="I23" s="746">
        <f>IFERROR(VLOOKUP(A23,'TB Other'!A:M,12,0),0)+IFERROR(VLOOKUP(A23,'TB Other'!A:M,13,0),0)</f>
        <v>0</v>
      </c>
      <c r="J23" s="746"/>
      <c r="K23" s="747">
        <f>SUM(C23:J23)</f>
        <v>2797</v>
      </c>
      <c r="L23" s="734">
        <f>VLOOKUP(A23,'TB PY'!A:G,7,)+VLOOKUP(A23,'TB PY'!A:G,6,)</f>
        <v>8748</v>
      </c>
      <c r="M23" s="746"/>
      <c r="N23" s="746"/>
      <c r="O23" s="746"/>
      <c r="P23" s="746"/>
      <c r="Q23" s="746"/>
      <c r="R23" s="746"/>
      <c r="S23" s="746"/>
      <c r="T23" s="747">
        <f>SUM(L23:S23)</f>
        <v>8748</v>
      </c>
      <c r="U23" s="748"/>
    </row>
    <row r="24" spans="1:21" ht="16" thickBot="1">
      <c r="B24" s="745"/>
      <c r="C24" s="734"/>
      <c r="D24" s="746"/>
      <c r="E24" s="746"/>
      <c r="F24" s="746"/>
      <c r="G24" s="746"/>
      <c r="H24" s="746"/>
      <c r="I24" s="746"/>
      <c r="J24" s="746"/>
      <c r="K24" s="747"/>
      <c r="L24" s="734"/>
      <c r="M24" s="746"/>
      <c r="N24" s="746"/>
      <c r="O24" s="746"/>
      <c r="P24" s="746"/>
      <c r="Q24" s="746"/>
      <c r="R24" s="746"/>
      <c r="S24" s="746"/>
      <c r="T24" s="747"/>
    </row>
    <row r="25" spans="1:21" ht="17" thickTop="1" thickBot="1">
      <c r="A25" s="749"/>
      <c r="B25" s="750" t="s">
        <v>51</v>
      </c>
      <c r="C25" s="751">
        <f>SUM(C23:C24)</f>
        <v>2797</v>
      </c>
      <c r="D25" s="752">
        <f t="shared" ref="D25:T25" si="8">SUM(D23:D24)</f>
        <v>0</v>
      </c>
      <c r="E25" s="752">
        <f t="shared" si="8"/>
        <v>0</v>
      </c>
      <c r="F25" s="752">
        <f t="shared" si="8"/>
        <v>0</v>
      </c>
      <c r="G25" s="752">
        <f t="shared" si="8"/>
        <v>0</v>
      </c>
      <c r="H25" s="752">
        <f t="shared" si="8"/>
        <v>0</v>
      </c>
      <c r="I25" s="752">
        <f t="shared" ref="I25:J25" si="9">SUM(I23:I24)</f>
        <v>0</v>
      </c>
      <c r="J25" s="752">
        <f t="shared" si="9"/>
        <v>0</v>
      </c>
      <c r="K25" s="753">
        <f t="shared" si="8"/>
        <v>2797</v>
      </c>
      <c r="L25" s="751">
        <f t="shared" si="8"/>
        <v>8748</v>
      </c>
      <c r="M25" s="752">
        <f t="shared" ref="M25:Q25" si="10">SUM(M23:M24)</f>
        <v>0</v>
      </c>
      <c r="N25" s="752">
        <f t="shared" si="10"/>
        <v>0</v>
      </c>
      <c r="O25" s="752">
        <f t="shared" si="10"/>
        <v>0</v>
      </c>
      <c r="P25" s="752">
        <f t="shared" si="10"/>
        <v>0</v>
      </c>
      <c r="Q25" s="752">
        <f t="shared" si="10"/>
        <v>0</v>
      </c>
      <c r="R25" s="752">
        <f t="shared" ref="R25:S25" si="11">SUM(R23:R24)</f>
        <v>0</v>
      </c>
      <c r="S25" s="752">
        <f t="shared" si="11"/>
        <v>0</v>
      </c>
      <c r="T25" s="754">
        <f t="shared" si="8"/>
        <v>8748</v>
      </c>
      <c r="U25" s="748">
        <f>K25-T25</f>
        <v>-5951</v>
      </c>
    </row>
    <row r="26" spans="1:21" ht="16" thickTop="1">
      <c r="B26" s="745"/>
      <c r="C26" s="734"/>
      <c r="D26" s="746"/>
      <c r="E26" s="746"/>
      <c r="F26" s="746"/>
      <c r="G26" s="746"/>
      <c r="H26" s="746"/>
      <c r="I26" s="746"/>
      <c r="J26" s="746"/>
      <c r="K26" s="747"/>
      <c r="L26" s="734"/>
      <c r="M26" s="746"/>
      <c r="N26" s="746"/>
      <c r="O26" s="746"/>
      <c r="P26" s="746"/>
      <c r="Q26" s="746"/>
      <c r="R26" s="746"/>
      <c r="S26" s="746"/>
      <c r="T26" s="747"/>
    </row>
    <row r="27" spans="1:21" ht="16">
      <c r="A27" s="628" t="s">
        <v>1326</v>
      </c>
      <c r="B27" s="745"/>
      <c r="C27" s="734"/>
      <c r="D27" s="746"/>
      <c r="E27" s="746"/>
      <c r="F27" s="746"/>
      <c r="G27" s="746"/>
      <c r="H27" s="746"/>
      <c r="I27" s="746"/>
      <c r="J27" s="746"/>
      <c r="K27" s="747"/>
      <c r="L27" s="734"/>
      <c r="M27" s="746"/>
      <c r="N27" s="746"/>
      <c r="O27" s="746"/>
      <c r="P27" s="746"/>
      <c r="Q27" s="746"/>
      <c r="R27" s="746"/>
      <c r="S27" s="746"/>
      <c r="T27" s="747"/>
    </row>
    <row r="28" spans="1:21" ht="16">
      <c r="A28" s="628" t="s">
        <v>1574</v>
      </c>
      <c r="B28" s="745" t="s">
        <v>460</v>
      </c>
      <c r="C28" s="734">
        <f>IFERROR(VLOOKUP(A28,'TB CY'!A:G,7,)+VLOOKUP(A28,'TB CY'!A:G,6,),0)</f>
        <v>0</v>
      </c>
      <c r="D28" s="746"/>
      <c r="E28" s="746">
        <f>IFERROR(VLOOKUP(A28,'TB Other'!A:I,8,0),0)+IFERROR(VLOOKUP(A28,'TB Other'!A:I,9,0),0)</f>
        <v>0</v>
      </c>
      <c r="F28" s="746"/>
      <c r="G28" s="746">
        <f>IFERROR(VLOOKUP(A28,'TB Other'!A:E,4,),0)+IFERROR(VLOOKUP(A28,'TB Other'!A:E,5,),0)</f>
        <v>0</v>
      </c>
      <c r="H28" s="746"/>
      <c r="I28" s="746">
        <f>IFERROR(VLOOKUP(A28,'TB Other'!A:M,12,0),0)+IFERROR(VLOOKUP(A28,'TB Other'!A:M,13,0),0)</f>
        <v>0</v>
      </c>
      <c r="J28" s="746"/>
      <c r="K28" s="747">
        <f>SUM(C28:J28)</f>
        <v>0</v>
      </c>
      <c r="L28" s="734"/>
      <c r="M28" s="746"/>
      <c r="N28" s="746"/>
      <c r="O28" s="746"/>
      <c r="P28" s="746"/>
      <c r="Q28" s="746"/>
      <c r="R28" s="746"/>
      <c r="S28" s="746"/>
      <c r="T28" s="747">
        <f>SUM(L28:S28)</f>
        <v>0</v>
      </c>
      <c r="U28" s="748"/>
    </row>
    <row r="29" spans="1:21" ht="16" thickBot="1">
      <c r="B29" s="745"/>
      <c r="C29" s="734"/>
      <c r="D29" s="746"/>
      <c r="E29" s="746"/>
      <c r="F29" s="746"/>
      <c r="G29" s="746"/>
      <c r="H29" s="746"/>
      <c r="I29" s="746"/>
      <c r="J29" s="746"/>
      <c r="K29" s="747"/>
      <c r="L29" s="734"/>
      <c r="M29" s="746"/>
      <c r="N29" s="746"/>
      <c r="O29" s="746"/>
      <c r="P29" s="746"/>
      <c r="Q29" s="746"/>
      <c r="R29" s="746"/>
      <c r="S29" s="746"/>
      <c r="T29" s="747"/>
    </row>
    <row r="30" spans="1:21" ht="17" thickTop="1" thickBot="1">
      <c r="A30" s="749"/>
      <c r="B30" s="750" t="s">
        <v>51</v>
      </c>
      <c r="C30" s="751">
        <f>SUM(C28:C29)</f>
        <v>0</v>
      </c>
      <c r="D30" s="752">
        <f t="shared" ref="D30:T30" si="12">SUM(D28:D29)</f>
        <v>0</v>
      </c>
      <c r="E30" s="752">
        <f t="shared" si="12"/>
        <v>0</v>
      </c>
      <c r="F30" s="752">
        <f t="shared" si="12"/>
        <v>0</v>
      </c>
      <c r="G30" s="752">
        <f t="shared" si="12"/>
        <v>0</v>
      </c>
      <c r="H30" s="752">
        <f t="shared" si="12"/>
        <v>0</v>
      </c>
      <c r="I30" s="752">
        <f t="shared" ref="I30:J30" si="13">SUM(I28:I29)</f>
        <v>0</v>
      </c>
      <c r="J30" s="752">
        <f t="shared" si="13"/>
        <v>0</v>
      </c>
      <c r="K30" s="754">
        <f t="shared" si="12"/>
        <v>0</v>
      </c>
      <c r="L30" s="751">
        <f t="shared" si="12"/>
        <v>0</v>
      </c>
      <c r="M30" s="752">
        <f t="shared" ref="M30:Q30" si="14">SUM(M28:M29)</f>
        <v>0</v>
      </c>
      <c r="N30" s="752">
        <f t="shared" si="14"/>
        <v>0</v>
      </c>
      <c r="O30" s="752">
        <f t="shared" si="14"/>
        <v>0</v>
      </c>
      <c r="P30" s="752">
        <f t="shared" si="14"/>
        <v>0</v>
      </c>
      <c r="Q30" s="752">
        <f t="shared" si="14"/>
        <v>0</v>
      </c>
      <c r="R30" s="752">
        <f t="shared" ref="R30:S30" si="15">SUM(R28:R29)</f>
        <v>0</v>
      </c>
      <c r="S30" s="752">
        <f t="shared" si="15"/>
        <v>0</v>
      </c>
      <c r="T30" s="754">
        <f t="shared" si="12"/>
        <v>0</v>
      </c>
      <c r="U30" s="748">
        <f>K30-T30</f>
        <v>0</v>
      </c>
    </row>
    <row r="31" spans="1:21" ht="17" thickTop="1">
      <c r="A31" s="628" t="s">
        <v>1357</v>
      </c>
      <c r="B31" s="745"/>
      <c r="C31" s="734"/>
      <c r="D31" s="746"/>
      <c r="E31" s="746"/>
      <c r="F31" s="746"/>
      <c r="G31" s="746"/>
      <c r="H31" s="746"/>
      <c r="I31" s="746"/>
      <c r="J31" s="746"/>
      <c r="K31" s="747"/>
      <c r="L31" s="734"/>
      <c r="M31" s="746"/>
      <c r="N31" s="746"/>
      <c r="O31" s="746"/>
      <c r="P31" s="746"/>
      <c r="Q31" s="746"/>
      <c r="R31" s="746"/>
      <c r="S31" s="746"/>
      <c r="T31" s="747"/>
    </row>
    <row r="32" spans="1:21" ht="16">
      <c r="A32" s="628" t="s">
        <v>1358</v>
      </c>
      <c r="B32" s="745" t="s">
        <v>460</v>
      </c>
      <c r="C32" s="734">
        <f>IFERROR(VLOOKUP(A32,'TB CY'!A:G,7,)+VLOOKUP(A32,'TB CY'!A:G,6,),0)</f>
        <v>0</v>
      </c>
      <c r="D32" s="746"/>
      <c r="E32" s="746">
        <f>IFERROR(VLOOKUP(A32,'TB Other'!A:I,8,0),0)+IFERROR(VLOOKUP(A32,'TB Other'!A:I,9,0),0)</f>
        <v>0</v>
      </c>
      <c r="F32" s="746"/>
      <c r="G32" s="746">
        <f>IFERROR(VLOOKUP(A32,'TB Other'!A:E,4,),0)+IFERROR(VLOOKUP(A32,'TB Other'!A:E,5,),0)</f>
        <v>0</v>
      </c>
      <c r="H32" s="746"/>
      <c r="I32" s="746">
        <f>IFERROR(VLOOKUP(A32,'TB Other'!A:M,12,0),0)+IFERROR(VLOOKUP(A32,'TB Other'!A:M,13,0),0)</f>
        <v>0</v>
      </c>
      <c r="J32" s="746"/>
      <c r="K32" s="747">
        <f t="shared" ref="K32:K33" si="16">SUM(C32:J32)</f>
        <v>0</v>
      </c>
      <c r="L32" s="734">
        <f>VLOOKUP(A32,'TB PY'!A:G,7,)+VLOOKUP(A32,'TB PY'!A:G,6,)</f>
        <v>2435</v>
      </c>
      <c r="M32" s="746"/>
      <c r="N32" s="746"/>
      <c r="O32" s="746"/>
      <c r="P32" s="746"/>
      <c r="Q32" s="746"/>
      <c r="R32" s="746"/>
      <c r="S32" s="746"/>
      <c r="T32" s="747">
        <f t="shared" ref="T32:T33" si="17">SUM(L32:S32)</f>
        <v>2435</v>
      </c>
      <c r="U32" s="748"/>
    </row>
    <row r="33" spans="1:21" ht="16">
      <c r="A33" s="628" t="s">
        <v>1549</v>
      </c>
      <c r="B33" s="745" t="s">
        <v>460</v>
      </c>
      <c r="C33" s="734">
        <f>IFERROR(VLOOKUP(A33,'TB CY'!A:G,7,)+VLOOKUP(A33,'TB CY'!A:G,6,),0)*0</f>
        <v>0</v>
      </c>
      <c r="D33" s="746"/>
      <c r="E33" s="746">
        <f>IFERROR(VLOOKUP(A33,'TB Other'!A:I,8,0),0)+IFERROR(VLOOKUP(A33,'TB Other'!A:I,9,0),0)</f>
        <v>0</v>
      </c>
      <c r="F33" s="746"/>
      <c r="G33" s="746">
        <f>IFERROR(VLOOKUP(A33,'TB Other'!A:E,4,),0)+IFERROR(VLOOKUP(A33,'TB Other'!A:E,5,),0)</f>
        <v>0</v>
      </c>
      <c r="H33" s="746"/>
      <c r="I33" s="746">
        <f>IFERROR(VLOOKUP(A33,'TB Other'!A:M,12,0),0)+IFERROR(VLOOKUP(A33,'TB Other'!A:M,13,0),0)</f>
        <v>0</v>
      </c>
      <c r="J33" s="746"/>
      <c r="K33" s="747">
        <f t="shared" si="16"/>
        <v>0</v>
      </c>
      <c r="L33" s="734">
        <f>IFERROR(VLOOKUP(A33,'TB PY'!A:G,7,),0)+IFERROR(VLOOKUP(A33,'TB PY'!A:G,6,),0)</f>
        <v>0</v>
      </c>
      <c r="M33" s="746"/>
      <c r="N33" s="746"/>
      <c r="O33" s="746"/>
      <c r="P33" s="746"/>
      <c r="Q33" s="746"/>
      <c r="R33" s="746"/>
      <c r="S33" s="746"/>
      <c r="T33" s="747">
        <f t="shared" si="17"/>
        <v>0</v>
      </c>
      <c r="U33" s="748"/>
    </row>
    <row r="34" spans="1:21" ht="16" thickBot="1">
      <c r="B34" s="745"/>
      <c r="C34" s="734"/>
      <c r="D34" s="746"/>
      <c r="E34" s="746"/>
      <c r="F34" s="746"/>
      <c r="G34" s="746"/>
      <c r="H34" s="746"/>
      <c r="I34" s="746"/>
      <c r="J34" s="746"/>
      <c r="K34" s="747"/>
      <c r="L34" s="734"/>
      <c r="M34" s="746"/>
      <c r="N34" s="746"/>
      <c r="O34" s="746"/>
      <c r="P34" s="746"/>
      <c r="Q34" s="746"/>
      <c r="R34" s="746"/>
      <c r="S34" s="746"/>
      <c r="T34" s="747"/>
    </row>
    <row r="35" spans="1:21" ht="17" thickTop="1" thickBot="1">
      <c r="A35" s="749"/>
      <c r="B35" s="750" t="s">
        <v>51</v>
      </c>
      <c r="C35" s="751">
        <f t="shared" ref="C35:K35" si="18">SUM(C32:C34)</f>
        <v>0</v>
      </c>
      <c r="D35" s="752">
        <f t="shared" si="18"/>
        <v>0</v>
      </c>
      <c r="E35" s="752">
        <f t="shared" si="18"/>
        <v>0</v>
      </c>
      <c r="F35" s="752">
        <f t="shared" si="18"/>
        <v>0</v>
      </c>
      <c r="G35" s="752">
        <f t="shared" si="18"/>
        <v>0</v>
      </c>
      <c r="H35" s="752">
        <f t="shared" si="18"/>
        <v>0</v>
      </c>
      <c r="I35" s="752">
        <f t="shared" ref="I35:J35" si="19">SUM(I32:I34)</f>
        <v>0</v>
      </c>
      <c r="J35" s="752">
        <f t="shared" si="19"/>
        <v>0</v>
      </c>
      <c r="K35" s="753">
        <f t="shared" si="18"/>
        <v>0</v>
      </c>
      <c r="L35" s="751">
        <f>SUM(L32:L34)</f>
        <v>2435</v>
      </c>
      <c r="M35" s="752">
        <f t="shared" ref="M35:T35" si="20">SUM(M32:M34)</f>
        <v>0</v>
      </c>
      <c r="N35" s="752">
        <f t="shared" si="20"/>
        <v>0</v>
      </c>
      <c r="O35" s="752">
        <f t="shared" si="20"/>
        <v>0</v>
      </c>
      <c r="P35" s="752">
        <f t="shared" si="20"/>
        <v>0</v>
      </c>
      <c r="Q35" s="752">
        <f t="shared" si="20"/>
        <v>0</v>
      </c>
      <c r="R35" s="752">
        <f t="shared" ref="R35:S35" si="21">SUM(R32:R34)</f>
        <v>0</v>
      </c>
      <c r="S35" s="752">
        <f t="shared" si="21"/>
        <v>0</v>
      </c>
      <c r="T35" s="754">
        <f t="shared" si="20"/>
        <v>2435</v>
      </c>
      <c r="U35" s="748">
        <f>K35-T35</f>
        <v>-2435</v>
      </c>
    </row>
    <row r="36" spans="1:21" ht="17" thickTop="1">
      <c r="A36" s="628" t="s">
        <v>244</v>
      </c>
      <c r="B36" s="745"/>
      <c r="C36" s="734"/>
      <c r="D36" s="746"/>
      <c r="E36" s="746"/>
      <c r="F36" s="746"/>
      <c r="G36" s="746"/>
      <c r="H36" s="746"/>
      <c r="I36" s="746"/>
      <c r="J36" s="746"/>
      <c r="K36" s="747"/>
      <c r="L36" s="734"/>
      <c r="M36" s="746"/>
      <c r="N36" s="746"/>
      <c r="O36" s="746"/>
      <c r="P36" s="746"/>
      <c r="Q36" s="746"/>
      <c r="R36" s="746"/>
      <c r="S36" s="746"/>
      <c r="T36" s="747"/>
    </row>
    <row r="37" spans="1:21" ht="32">
      <c r="A37" s="628" t="s">
        <v>1554</v>
      </c>
      <c r="B37" s="745" t="s">
        <v>460</v>
      </c>
      <c r="C37" s="734">
        <f>IFERROR(VLOOKUP(A37,'TB CY'!A:G,7,)+VLOOKUP(A37,'TB CY'!A:G,6,),0)*-1</f>
        <v>-23932</v>
      </c>
      <c r="D37" s="746">
        <f>-C37</f>
        <v>23932</v>
      </c>
      <c r="E37" s="746">
        <f>IFERROR(VLOOKUP(A37,'TB Other'!A:I,8,0),0)+IFERROR(VLOOKUP(A37,'TB Other'!A:I,9,0),0)</f>
        <v>0</v>
      </c>
      <c r="F37" s="746"/>
      <c r="G37" s="746">
        <f>IFERROR(VLOOKUP(A37,'TB Other'!A:E,4,),0)+IFERROR(VLOOKUP(A37,'TB Other'!A:E,5,),0)</f>
        <v>0</v>
      </c>
      <c r="H37" s="746"/>
      <c r="I37" s="746">
        <f>IFERROR(VLOOKUP(A37,'TB Other'!A:M,12,0),0)+IFERROR(VLOOKUP(A37,'TB Other'!A:M,13,0),0)</f>
        <v>0</v>
      </c>
      <c r="J37" s="746"/>
      <c r="K37" s="747">
        <f t="shared" ref="K37:K38" si="22">SUM(C37:J37)</f>
        <v>0</v>
      </c>
      <c r="L37" s="734">
        <f>IFERROR(VLOOKUP(A37,'TB PY'!A:G,7,),0)+IFERROR(VLOOKUP(A37,'TB PY'!A:G,6,),0)</f>
        <v>0</v>
      </c>
      <c r="M37" s="746">
        <v>40000</v>
      </c>
      <c r="N37" s="746"/>
      <c r="O37" s="746"/>
      <c r="P37" s="746"/>
      <c r="Q37" s="746"/>
      <c r="R37" s="746"/>
      <c r="S37" s="746"/>
      <c r="T37" s="747">
        <f t="shared" ref="T37:T38" si="23">SUM(L37:S37)</f>
        <v>40000</v>
      </c>
    </row>
    <row r="38" spans="1:21" ht="32">
      <c r="A38" s="628" t="s">
        <v>526</v>
      </c>
      <c r="B38" s="745" t="s">
        <v>460</v>
      </c>
      <c r="C38" s="734">
        <f>IFERROR(VLOOKUP(A38,'TB CY'!A:G,7,)+VLOOKUP(A38,'TB CY'!A:G,6,),0)</f>
        <v>13411.11</v>
      </c>
      <c r="D38" s="746"/>
      <c r="E38" s="746">
        <f>IFERROR(VLOOKUP(A38,'TB Other'!A:I,8,0),0)+IFERROR(VLOOKUP(A38,'TB Other'!A:I,9,0),0)</f>
        <v>0</v>
      </c>
      <c r="F38" s="746"/>
      <c r="G38" s="746">
        <f>IFERROR(VLOOKUP(A38,'TB Other'!A:E,4,),0)+IFERROR(VLOOKUP(A38,'TB Other'!A:E,5,),0)</f>
        <v>0</v>
      </c>
      <c r="H38" s="746"/>
      <c r="I38" s="746">
        <f>IFERROR(VLOOKUP(A38,'TB Other'!A:M,12,0),0)+IFERROR(VLOOKUP(A38,'TB Other'!A:M,13,0),0)</f>
        <v>0</v>
      </c>
      <c r="J38" s="746">
        <f>12765.52+14892.02-223.35</f>
        <v>27434.190000000002</v>
      </c>
      <c r="K38" s="747">
        <f t="shared" si="22"/>
        <v>40845.300000000003</v>
      </c>
      <c r="L38" s="734">
        <f>VLOOKUP(A38,'TB PY'!A:G,7,)+VLOOKUP(A38,'TB PY'!A:G,6,)</f>
        <v>224249.5</v>
      </c>
      <c r="M38" s="746"/>
      <c r="N38" s="746"/>
      <c r="O38" s="746">
        <f>4337+658</f>
        <v>4995</v>
      </c>
      <c r="P38" s="746"/>
      <c r="Q38" s="746"/>
      <c r="R38" s="746"/>
      <c r="S38" s="746"/>
      <c r="T38" s="747">
        <f t="shared" si="23"/>
        <v>229244.5</v>
      </c>
    </row>
    <row r="39" spans="1:21" ht="16" thickBot="1">
      <c r="B39" s="745"/>
      <c r="C39" s="734"/>
      <c r="D39" s="746"/>
      <c r="E39" s="746"/>
      <c r="F39" s="746"/>
      <c r="G39" s="746"/>
      <c r="H39" s="746"/>
      <c r="I39" s="746"/>
      <c r="J39" s="746"/>
      <c r="K39" s="747"/>
      <c r="L39" s="734"/>
      <c r="M39" s="746"/>
      <c r="N39" s="746"/>
      <c r="O39" s="746"/>
      <c r="P39" s="746"/>
      <c r="Q39" s="746"/>
      <c r="R39" s="746"/>
      <c r="S39" s="746"/>
      <c r="T39" s="747"/>
    </row>
    <row r="40" spans="1:21" ht="17" thickTop="1" thickBot="1">
      <c r="A40" s="749"/>
      <c r="B40" s="750" t="s">
        <v>51</v>
      </c>
      <c r="C40" s="751">
        <f>SUM(C37:C39)</f>
        <v>-10520.89</v>
      </c>
      <c r="D40" s="752">
        <f t="shared" ref="D40:T40" si="24">SUM(D37:D39)</f>
        <v>23932</v>
      </c>
      <c r="E40" s="752">
        <f t="shared" si="24"/>
        <v>0</v>
      </c>
      <c r="F40" s="752">
        <f t="shared" si="24"/>
        <v>0</v>
      </c>
      <c r="G40" s="752">
        <f t="shared" si="24"/>
        <v>0</v>
      </c>
      <c r="H40" s="752">
        <f t="shared" si="24"/>
        <v>0</v>
      </c>
      <c r="I40" s="752">
        <f t="shared" ref="I40:J40" si="25">SUM(I37:I39)</f>
        <v>0</v>
      </c>
      <c r="J40" s="752">
        <f t="shared" si="25"/>
        <v>27434.190000000002</v>
      </c>
      <c r="K40" s="753">
        <f t="shared" si="24"/>
        <v>40845.300000000003</v>
      </c>
      <c r="L40" s="751">
        <f t="shared" si="24"/>
        <v>224249.5</v>
      </c>
      <c r="M40" s="752">
        <f t="shared" si="24"/>
        <v>40000</v>
      </c>
      <c r="N40" s="752">
        <f t="shared" si="24"/>
        <v>0</v>
      </c>
      <c r="O40" s="752">
        <f t="shared" si="24"/>
        <v>4995</v>
      </c>
      <c r="P40" s="752">
        <f t="shared" si="24"/>
        <v>0</v>
      </c>
      <c r="Q40" s="752">
        <f t="shared" si="24"/>
        <v>0</v>
      </c>
      <c r="R40" s="752">
        <f t="shared" ref="R40:S40" si="26">SUM(R37:R39)</f>
        <v>0</v>
      </c>
      <c r="S40" s="752">
        <f t="shared" si="26"/>
        <v>0</v>
      </c>
      <c r="T40" s="754">
        <f t="shared" si="24"/>
        <v>269244.5</v>
      </c>
      <c r="U40" s="748">
        <f>K40-T40</f>
        <v>-228399.2</v>
      </c>
    </row>
    <row r="41" spans="1:21" ht="17" thickTop="1">
      <c r="A41" s="628" t="s">
        <v>1572</v>
      </c>
      <c r="B41" s="745"/>
      <c r="C41" s="734"/>
      <c r="D41" s="746"/>
      <c r="E41" s="746"/>
      <c r="F41" s="746"/>
      <c r="G41" s="746"/>
      <c r="H41" s="746"/>
      <c r="I41" s="746"/>
      <c r="J41" s="746"/>
      <c r="K41" s="747"/>
      <c r="L41" s="734"/>
      <c r="M41" s="746"/>
      <c r="N41" s="746"/>
      <c r="O41" s="746"/>
      <c r="P41" s="746"/>
      <c r="Q41" s="746"/>
      <c r="R41" s="746"/>
      <c r="S41" s="746"/>
      <c r="T41" s="747"/>
    </row>
    <row r="42" spans="1:21" ht="16">
      <c r="A42" s="628" t="s">
        <v>1141</v>
      </c>
      <c r="B42" s="745" t="s">
        <v>460</v>
      </c>
      <c r="C42" s="734">
        <f>IFERROR(VLOOKUP(A42,'TB CY'!A:G,7,)+VLOOKUP(A42,'TB CY'!A:G,6,),0)</f>
        <v>0</v>
      </c>
      <c r="D42" s="746"/>
      <c r="E42" s="746">
        <f>IFERROR(VLOOKUP(A42,'TB Other'!A:I,8,0),0)+IFERROR(VLOOKUP(A42,'TB Other'!A:I,9,0),0)</f>
        <v>0</v>
      </c>
      <c r="F42" s="746"/>
      <c r="G42" s="746">
        <f>IFERROR(VLOOKUP(A42,'TB Other'!A:E,4,),0)+IFERROR(VLOOKUP(A42,'TB Other'!A:E,5,),0)</f>
        <v>0</v>
      </c>
      <c r="H42" s="746"/>
      <c r="I42" s="746">
        <f>IFERROR(VLOOKUP(A42,'TB Other'!A:M,12,0),0)+IFERROR(VLOOKUP(A42,'TB Other'!A:M,13,0),0)</f>
        <v>0</v>
      </c>
      <c r="J42" s="746"/>
      <c r="K42" s="747">
        <f t="shared" ref="K42:K52" si="27">SUM(C42:J42)</f>
        <v>0</v>
      </c>
      <c r="L42" s="734">
        <f>IFERROR(VLOOKUP(A42,'TB PY'!A:G,7,),0)+IFERROR(VLOOKUP(A42,'TB PY'!A:G,6,),0)</f>
        <v>0</v>
      </c>
      <c r="M42" s="746"/>
      <c r="N42" s="746"/>
      <c r="O42" s="746"/>
      <c r="P42" s="746"/>
      <c r="Q42" s="746"/>
      <c r="R42" s="746"/>
      <c r="S42" s="746"/>
      <c r="T42" s="747">
        <f t="shared" ref="T42:T51" si="28">SUM(L42:S42)</f>
        <v>0</v>
      </c>
    </row>
    <row r="43" spans="1:21" ht="16">
      <c r="A43" s="628" t="s">
        <v>1142</v>
      </c>
      <c r="B43" s="745" t="s">
        <v>460</v>
      </c>
      <c r="C43" s="734">
        <f>IFERROR(VLOOKUP(A43,'TB CY'!A:G,7,)+VLOOKUP(A43,'TB CY'!A:G,6,),0)</f>
        <v>0</v>
      </c>
      <c r="D43" s="746"/>
      <c r="E43" s="746">
        <f>IFERROR(VLOOKUP(A43,'TB Other'!A:I,8,0),0)+IFERROR(VLOOKUP(A43,'TB Other'!A:I,9,0),0)</f>
        <v>0</v>
      </c>
      <c r="F43" s="746"/>
      <c r="G43" s="746">
        <f>IFERROR(VLOOKUP(A43,'TB Other'!A:E,4,),0)+IFERROR(VLOOKUP(A43,'TB Other'!A:E,5,),0)</f>
        <v>0</v>
      </c>
      <c r="H43" s="746"/>
      <c r="I43" s="746">
        <f>IFERROR(VLOOKUP(A43,'TB Other'!A:M,12,0),0)+IFERROR(VLOOKUP(A43,'TB Other'!A:M,13,0),0)</f>
        <v>0</v>
      </c>
      <c r="J43" s="746"/>
      <c r="K43" s="747">
        <f t="shared" si="27"/>
        <v>0</v>
      </c>
      <c r="L43" s="734">
        <f>IFERROR(VLOOKUP(A43,'TB PY'!A:G,7,),0)+IFERROR(VLOOKUP(A43,'TB PY'!A:G,6,),0)</f>
        <v>0</v>
      </c>
      <c r="M43" s="746"/>
      <c r="N43" s="746"/>
      <c r="O43" s="746"/>
      <c r="P43" s="746"/>
      <c r="Q43" s="746"/>
      <c r="R43" s="746"/>
      <c r="S43" s="746"/>
      <c r="T43" s="747">
        <f t="shared" si="28"/>
        <v>0</v>
      </c>
    </row>
    <row r="44" spans="1:21" ht="16">
      <c r="A44" s="628" t="s">
        <v>167</v>
      </c>
      <c r="B44" s="745" t="s">
        <v>460</v>
      </c>
      <c r="C44" s="734">
        <f>IFERROR(VLOOKUP(A44,'TB CY'!A:G,7,)+VLOOKUP(A44,'TB CY'!A:G,6,),0)</f>
        <v>999.46</v>
      </c>
      <c r="D44" s="746"/>
      <c r="E44" s="746">
        <f>IFERROR(VLOOKUP(A44,'TB Other'!A:I,8,0),0)+IFERROR(VLOOKUP(A44,'TB Other'!A:I,9,0),0)</f>
        <v>0</v>
      </c>
      <c r="F44" s="746"/>
      <c r="G44" s="746">
        <f>IFERROR(VLOOKUP(A44,'TB Other'!A:E,4,),0)+IFERROR(VLOOKUP(A44,'TB Other'!A:E,5,),0)</f>
        <v>0</v>
      </c>
      <c r="H44" s="746"/>
      <c r="I44" s="746">
        <f>IFERROR(VLOOKUP(A44,'TB Other'!A:M,12,0),0)+IFERROR(VLOOKUP(A44,'TB Other'!A:M,13,0),0)</f>
        <v>0</v>
      </c>
      <c r="J44" s="746"/>
      <c r="K44" s="747">
        <f t="shared" si="27"/>
        <v>999.46</v>
      </c>
      <c r="L44" s="734">
        <f>VLOOKUP(A44,'TB PY'!A:G,7,)+VLOOKUP(A44,'TB PY'!A:G,6,)</f>
        <v>750</v>
      </c>
      <c r="M44" s="746"/>
      <c r="N44" s="746"/>
      <c r="O44" s="746"/>
      <c r="P44" s="746"/>
      <c r="Q44" s="746"/>
      <c r="R44" s="746"/>
      <c r="S44" s="746"/>
      <c r="T44" s="747">
        <f t="shared" si="28"/>
        <v>750</v>
      </c>
    </row>
    <row r="45" spans="1:21" ht="16">
      <c r="A45" s="628" t="s">
        <v>1032</v>
      </c>
      <c r="B45" s="745" t="s">
        <v>460</v>
      </c>
      <c r="C45" s="734">
        <f>IFERROR(VLOOKUP(A45,'TB CY'!A:G,7,)+VLOOKUP(A45,'TB CY'!A:G,6,),0)</f>
        <v>0</v>
      </c>
      <c r="D45" s="746"/>
      <c r="E45" s="746">
        <f>IFERROR(VLOOKUP(A45,'TB Other'!A:I,8,0),0)+IFERROR(VLOOKUP(A45,'TB Other'!A:I,9,0),0)</f>
        <v>0</v>
      </c>
      <c r="F45" s="746"/>
      <c r="G45" s="746">
        <f>IFERROR(VLOOKUP(A45,'TB Other'!A:E,4,),0)+IFERROR(VLOOKUP(A45,'TB Other'!A:E,5,),0)</f>
        <v>0</v>
      </c>
      <c r="H45" s="746"/>
      <c r="I45" s="746">
        <f>IFERROR(VLOOKUP(A45,'TB Other'!A:M,12,0),0)+IFERROR(VLOOKUP(A45,'TB Other'!A:M,13,0),0)</f>
        <v>0</v>
      </c>
      <c r="J45" s="746"/>
      <c r="K45" s="747">
        <f t="shared" si="27"/>
        <v>0</v>
      </c>
      <c r="L45" s="734">
        <f>IFERROR(VLOOKUP(A45,'TB PY'!A:G,7,),0)+IFERROR(VLOOKUP(A45,'TB PY'!A:G,6,),0)</f>
        <v>0</v>
      </c>
      <c r="M45" s="746"/>
      <c r="N45" s="746">
        <v>0</v>
      </c>
      <c r="O45" s="746"/>
      <c r="P45" s="746">
        <v>126741</v>
      </c>
      <c r="Q45" s="746"/>
      <c r="R45" s="746"/>
      <c r="S45" s="746"/>
      <c r="T45" s="747">
        <f t="shared" si="28"/>
        <v>126741</v>
      </c>
    </row>
    <row r="46" spans="1:21" ht="16">
      <c r="A46" s="628" t="s">
        <v>1143</v>
      </c>
      <c r="B46" s="745" t="s">
        <v>460</v>
      </c>
      <c r="C46" s="734">
        <f>IFERROR(VLOOKUP(A46,'TB CY'!A:G,7,)+VLOOKUP(A46,'TB CY'!A:G,6,),0)</f>
        <v>0</v>
      </c>
      <c r="D46" s="746"/>
      <c r="E46" s="746">
        <f>IFERROR(VLOOKUP(A46,'TB Other'!A:I,8,0),0)+IFERROR(VLOOKUP(A46,'TB Other'!A:I,9,0),0)</f>
        <v>0</v>
      </c>
      <c r="F46" s="746"/>
      <c r="G46" s="746">
        <f>IFERROR(VLOOKUP(A46,'TB Other'!A:E,4,),0)+IFERROR(VLOOKUP(A46,'TB Other'!A:E,5,),0)</f>
        <v>0</v>
      </c>
      <c r="H46" s="746"/>
      <c r="I46" s="746">
        <f>IFERROR(VLOOKUP(A46,'TB Other'!A:M,12,0),0)+IFERROR(VLOOKUP(A46,'TB Other'!A:M,13,0),0)</f>
        <v>0</v>
      </c>
      <c r="J46" s="746"/>
      <c r="K46" s="747">
        <f t="shared" si="27"/>
        <v>0</v>
      </c>
      <c r="L46" s="734">
        <f>IFERROR(VLOOKUP(A46,'TB PY'!A:G,7,),0)+IFERROR(VLOOKUP(A46,'TB PY'!A:G,6,),0)</f>
        <v>0</v>
      </c>
      <c r="M46" s="746"/>
      <c r="N46" s="746"/>
      <c r="O46" s="746"/>
      <c r="P46" s="746"/>
      <c r="Q46" s="746"/>
      <c r="R46" s="746"/>
      <c r="S46" s="746"/>
      <c r="T46" s="747">
        <f t="shared" si="28"/>
        <v>0</v>
      </c>
    </row>
    <row r="47" spans="1:21" ht="16">
      <c r="A47" s="628" t="s">
        <v>525</v>
      </c>
      <c r="B47" s="745" t="s">
        <v>460</v>
      </c>
      <c r="C47" s="734">
        <f>IFERROR(VLOOKUP(A47,'TB CY'!A:G,7,)+VLOOKUP(A47,'TB CY'!A:G,6,),0)</f>
        <v>14892.02</v>
      </c>
      <c r="D47" s="746"/>
      <c r="E47" s="746">
        <f>IFERROR(VLOOKUP(A47,'TB Other'!A:I,8,0),0)+IFERROR(VLOOKUP(A47,'TB Other'!A:I,9,0),0)</f>
        <v>0</v>
      </c>
      <c r="F47" s="746"/>
      <c r="G47" s="746">
        <f>IFERROR(VLOOKUP(A47,'TB Other'!A:E,4,),0)+IFERROR(VLOOKUP(A47,'TB Other'!A:E,5,),0)</f>
        <v>0</v>
      </c>
      <c r="H47" s="746"/>
      <c r="I47" s="746">
        <f>IFERROR(VLOOKUP(A47,'TB Other'!A:M,12,0),0)+IFERROR(VLOOKUP(A47,'TB Other'!A:M,13,0),0)</f>
        <v>0</v>
      </c>
      <c r="J47" s="746">
        <f>37294.48-14892.02</f>
        <v>22402.460000000003</v>
      </c>
      <c r="K47" s="747">
        <f t="shared" si="27"/>
        <v>37294.480000000003</v>
      </c>
      <c r="L47" s="734">
        <f>VLOOKUP(A47,'TB PY'!A:G,7,)+VLOOKUP(A47,'TB PY'!A:G,6,)</f>
        <v>66627.520000000004</v>
      </c>
      <c r="M47" s="746"/>
      <c r="N47" s="746"/>
      <c r="O47" s="746"/>
      <c r="P47" s="746"/>
      <c r="Q47" s="746"/>
      <c r="R47" s="746"/>
      <c r="S47" s="746"/>
      <c r="T47" s="747">
        <f t="shared" si="28"/>
        <v>66627.520000000004</v>
      </c>
    </row>
    <row r="48" spans="1:21" ht="16">
      <c r="A48" s="628" t="s">
        <v>1144</v>
      </c>
      <c r="B48" s="745" t="s">
        <v>460</v>
      </c>
      <c r="C48" s="734">
        <f>IFERROR(VLOOKUP(A48,'TB CY'!A:G,7,)+VLOOKUP(A48,'TB CY'!A:G,6,),0)</f>
        <v>0</v>
      </c>
      <c r="D48" s="746"/>
      <c r="E48" s="746">
        <f>IFERROR(VLOOKUP(A48,'TB Other'!A:I,8,0),0)+IFERROR(VLOOKUP(A48,'TB Other'!A:I,9,0),0)</f>
        <v>0</v>
      </c>
      <c r="F48" s="746"/>
      <c r="G48" s="746">
        <f>IFERROR(VLOOKUP(A48,'TB Other'!A:E,4,),0)+IFERROR(VLOOKUP(A48,'TB Other'!A:E,5,),0)</f>
        <v>0</v>
      </c>
      <c r="H48" s="746"/>
      <c r="I48" s="746">
        <f>IFERROR(VLOOKUP(A48,'TB Other'!A:M,12,0),0)+IFERROR(VLOOKUP(A48,'TB Other'!A:M,13,0),0)</f>
        <v>0</v>
      </c>
      <c r="J48" s="746"/>
      <c r="K48" s="747">
        <f t="shared" si="27"/>
        <v>0</v>
      </c>
      <c r="L48" s="734">
        <f>IFERROR(VLOOKUP(A48,'TB PY'!A:G,7,),0)+IFERROR(VLOOKUP(A48,'TB PY'!A:G,6,),0)</f>
        <v>0</v>
      </c>
      <c r="M48" s="746"/>
      <c r="N48" s="746"/>
      <c r="O48" s="746"/>
      <c r="P48" s="746"/>
      <c r="Q48" s="746"/>
      <c r="R48" s="746"/>
      <c r="S48" s="746"/>
      <c r="T48" s="747">
        <f t="shared" si="28"/>
        <v>0</v>
      </c>
    </row>
    <row r="49" spans="1:21" ht="16">
      <c r="A49" s="628" t="s">
        <v>457</v>
      </c>
      <c r="B49" s="745" t="s">
        <v>460</v>
      </c>
      <c r="C49" s="734">
        <f>IFERROR(VLOOKUP(A49,'TB CY'!A:G,7,)+VLOOKUP(A49,'TB CY'!A:G,6,),0)</f>
        <v>644327.68999999994</v>
      </c>
      <c r="D49" s="746"/>
      <c r="E49" s="746">
        <f>IFERROR(VLOOKUP(A49,'TB Other'!A:I,8,0),0)+IFERROR(VLOOKUP(A49,'TB Other'!A:I,9,0),0)</f>
        <v>1928.01</v>
      </c>
      <c r="F49" s="746"/>
      <c r="G49" s="746">
        <f>IFERROR(VLOOKUP(A49,'TB Other'!A:E,4,),0)+IFERROR(VLOOKUP(A49,'TB Other'!A:E,5,),0)</f>
        <v>33.9</v>
      </c>
      <c r="H49" s="746"/>
      <c r="I49" s="746">
        <f>IFERROR(VLOOKUP(A49,'TB Other'!A:M,12,0),0)+IFERROR(VLOOKUP(A49,'TB Other'!A:M,13,0),0)</f>
        <v>0</v>
      </c>
      <c r="J49" s="746"/>
      <c r="K49" s="747">
        <f t="shared" si="27"/>
        <v>646289.6</v>
      </c>
      <c r="L49" s="734">
        <f>VLOOKUP(A49,'TB PY'!A:G,7,)+VLOOKUP(A49,'TB PY'!A:G,6,)</f>
        <v>625921.77</v>
      </c>
      <c r="M49" s="746"/>
      <c r="N49" s="746">
        <v>970</v>
      </c>
      <c r="O49" s="746"/>
      <c r="P49" s="746"/>
      <c r="Q49" s="746"/>
      <c r="R49" s="746"/>
      <c r="S49" s="746"/>
      <c r="T49" s="747">
        <f t="shared" si="28"/>
        <v>626891.77</v>
      </c>
    </row>
    <row r="50" spans="1:21" ht="16">
      <c r="A50" s="628" t="s">
        <v>1545</v>
      </c>
      <c r="B50" s="745" t="s">
        <v>460</v>
      </c>
      <c r="C50" s="734">
        <f>IFERROR(VLOOKUP(A50,'TB CY'!A:G,7,)+VLOOKUP(A50,'TB CY'!A:G,6,),0)</f>
        <v>19500</v>
      </c>
      <c r="D50" s="746"/>
      <c r="E50" s="746">
        <f>IFERROR(VLOOKUP(A50,'TB Other'!A:I,8,0),0)+IFERROR(VLOOKUP(A50,'TB Other'!A:I,9,0),0)</f>
        <v>0</v>
      </c>
      <c r="F50" s="746"/>
      <c r="G50" s="746">
        <f>IFERROR(VLOOKUP(A50,'TB Other'!A:E,4,),0)+IFERROR(VLOOKUP(A50,'TB Other'!A:E,5,),0)</f>
        <v>0</v>
      </c>
      <c r="H50" s="746"/>
      <c r="I50" s="746">
        <f>IFERROR(VLOOKUP(A50,'TB Other'!A:M,12,0),0)+IFERROR(VLOOKUP(A50,'TB Other'!A:M,13,0),0)</f>
        <v>0</v>
      </c>
      <c r="J50" s="746"/>
      <c r="K50" s="747">
        <f t="shared" si="27"/>
        <v>19500</v>
      </c>
      <c r="L50" s="734">
        <f>IFERROR(VLOOKUP(A50,'TB PY'!A:G,7,),0)+IFERROR(VLOOKUP(A50,'TB PY'!A:G,6,),0)</f>
        <v>0</v>
      </c>
      <c r="M50" s="746"/>
      <c r="N50" s="746"/>
      <c r="O50" s="746"/>
      <c r="P50" s="746"/>
      <c r="Q50" s="746"/>
      <c r="R50" s="746"/>
      <c r="S50" s="746"/>
      <c r="T50" s="747">
        <f t="shared" si="28"/>
        <v>0</v>
      </c>
    </row>
    <row r="51" spans="1:21" ht="16">
      <c r="A51" s="628" t="s">
        <v>1263</v>
      </c>
      <c r="B51" s="745" t="s">
        <v>460</v>
      </c>
      <c r="C51" s="734">
        <f>IFERROR(VLOOKUP(A51,'TB CY'!A:G,7,)+VLOOKUP(A51,'TB CY'!A:G,6,),0)</f>
        <v>1548651.95</v>
      </c>
      <c r="D51" s="746"/>
      <c r="E51" s="746">
        <f>IFERROR(VLOOKUP(A51,'TB Other'!A:I,8,0),0)+IFERROR(VLOOKUP(A51,'TB Other'!A:I,9,0),0)</f>
        <v>0</v>
      </c>
      <c r="F51" s="746"/>
      <c r="G51" s="746">
        <f>IFERROR(VLOOKUP(A51,'TB Other'!A:E,4,),0)+IFERROR(VLOOKUP(A51,'TB Other'!A:E,5,),0)</f>
        <v>0</v>
      </c>
      <c r="H51" s="746"/>
      <c r="I51" s="746">
        <f>IFERROR(VLOOKUP(A51,'TB Other'!A:M,12,0),0)+IFERROR(VLOOKUP(A51,'TB Other'!A:M,13,0),0)</f>
        <v>0</v>
      </c>
      <c r="J51" s="746"/>
      <c r="K51" s="747">
        <f t="shared" si="27"/>
        <v>1548651.95</v>
      </c>
      <c r="L51" s="734">
        <f>VLOOKUP(A51,'TB PY'!A:G,7,)+VLOOKUP(A51,'TB PY'!A:G,6,)</f>
        <v>380600</v>
      </c>
      <c r="M51" s="746"/>
      <c r="N51" s="746"/>
      <c r="O51" s="746"/>
      <c r="P51" s="746"/>
      <c r="Q51" s="746"/>
      <c r="R51" s="746"/>
      <c r="S51" s="746"/>
      <c r="T51" s="747">
        <f t="shared" si="28"/>
        <v>380600</v>
      </c>
    </row>
    <row r="52" spans="1:21">
      <c r="B52" s="745"/>
      <c r="C52" s="734"/>
      <c r="D52" s="746"/>
      <c r="E52" s="746"/>
      <c r="F52" s="746"/>
      <c r="G52" s="746"/>
      <c r="H52" s="746"/>
      <c r="I52" s="746"/>
      <c r="J52" s="746"/>
      <c r="K52" s="747">
        <f t="shared" si="27"/>
        <v>0</v>
      </c>
      <c r="L52" s="734"/>
      <c r="M52" s="746"/>
      <c r="N52" s="746"/>
      <c r="O52" s="746"/>
      <c r="P52" s="746"/>
      <c r="Q52" s="746"/>
      <c r="R52" s="746"/>
      <c r="S52" s="746"/>
      <c r="T52" s="747"/>
    </row>
    <row r="53" spans="1:21" ht="16">
      <c r="A53" s="628" t="s">
        <v>169</v>
      </c>
      <c r="B53" s="745" t="s">
        <v>460</v>
      </c>
      <c r="C53" s="734">
        <f>IFERROR(VLOOKUP(A53,'TB CY'!A:G,7,)+VLOOKUP(A53,'TB CY'!A:G,6,),0)</f>
        <v>0</v>
      </c>
      <c r="D53" s="746"/>
      <c r="E53" s="746">
        <f>IFERROR(VLOOKUP(A53,'TB Other'!A:I,8,0),0)+IFERROR(VLOOKUP(A53,'TB Other'!A:I,9,0),0)</f>
        <v>0</v>
      </c>
      <c r="F53" s="746"/>
      <c r="G53" s="746">
        <f>IFERROR(VLOOKUP(A53,'TB Other'!A:E,4,),0)+IFERROR(VLOOKUP(A53,'TB Other'!A:E,5,),0)</f>
        <v>0</v>
      </c>
      <c r="H53" s="746"/>
      <c r="I53" s="746">
        <f>IFERROR(VLOOKUP(A53,'TB Other'!A:M,12,0),0)+IFERROR(VLOOKUP(A53,'TB Other'!A:M,13,0),0)</f>
        <v>0</v>
      </c>
      <c r="J53" s="746"/>
      <c r="K53" s="747">
        <f>SUM(C53:J53)</f>
        <v>0</v>
      </c>
      <c r="L53" s="734">
        <f>IFERROR(VLOOKUP(A53,'TB PY'!A:G,7,),0)+IFERROR(VLOOKUP(A53,'TB PY'!A:G,6,),0)</f>
        <v>0</v>
      </c>
      <c r="M53" s="746"/>
      <c r="N53" s="746"/>
      <c r="O53" s="746"/>
      <c r="P53" s="746"/>
      <c r="Q53" s="746"/>
      <c r="R53" s="746"/>
      <c r="S53" s="746"/>
      <c r="T53" s="747">
        <f>SUM(L53:S53)</f>
        <v>0</v>
      </c>
    </row>
    <row r="54" spans="1:21" ht="16" thickBot="1">
      <c r="B54" s="745"/>
      <c r="C54" s="734"/>
      <c r="D54" s="746"/>
      <c r="E54" s="746"/>
      <c r="F54" s="746"/>
      <c r="G54" s="746"/>
      <c r="H54" s="746"/>
      <c r="I54" s="746"/>
      <c r="J54" s="746"/>
      <c r="K54" s="747"/>
      <c r="L54" s="734"/>
      <c r="M54" s="746"/>
      <c r="N54" s="746"/>
      <c r="O54" s="746"/>
      <c r="P54" s="746"/>
      <c r="Q54" s="746"/>
      <c r="R54" s="746"/>
      <c r="S54" s="746"/>
      <c r="T54" s="747"/>
    </row>
    <row r="55" spans="1:21" ht="17" thickTop="1" thickBot="1">
      <c r="A55" s="749"/>
      <c r="B55" s="750" t="s">
        <v>51</v>
      </c>
      <c r="C55" s="751">
        <f>SUM(C42:C54)</f>
        <v>2228371.12</v>
      </c>
      <c r="D55" s="752">
        <f t="shared" ref="D55:T55" si="29">SUM(D42:D54)</f>
        <v>0</v>
      </c>
      <c r="E55" s="752">
        <f t="shared" si="29"/>
        <v>1928.01</v>
      </c>
      <c r="F55" s="752">
        <f t="shared" si="29"/>
        <v>0</v>
      </c>
      <c r="G55" s="752">
        <f t="shared" si="29"/>
        <v>33.9</v>
      </c>
      <c r="H55" s="752">
        <f t="shared" si="29"/>
        <v>0</v>
      </c>
      <c r="I55" s="752">
        <f t="shared" ref="I55:J55" si="30">SUM(I42:I54)</f>
        <v>0</v>
      </c>
      <c r="J55" s="752">
        <f t="shared" si="30"/>
        <v>22402.460000000003</v>
      </c>
      <c r="K55" s="753">
        <f t="shared" si="29"/>
        <v>2252735.4900000002</v>
      </c>
      <c r="L55" s="751">
        <f t="shared" si="29"/>
        <v>1073899.29</v>
      </c>
      <c r="M55" s="752">
        <f t="shared" ref="M55:Q55" si="31">SUM(M42:M54)</f>
        <v>0</v>
      </c>
      <c r="N55" s="752">
        <f t="shared" si="31"/>
        <v>970</v>
      </c>
      <c r="O55" s="752">
        <f t="shared" si="31"/>
        <v>0</v>
      </c>
      <c r="P55" s="752">
        <f t="shared" si="31"/>
        <v>126741</v>
      </c>
      <c r="Q55" s="752">
        <f t="shared" si="31"/>
        <v>0</v>
      </c>
      <c r="R55" s="752">
        <f t="shared" ref="R55:S55" si="32">SUM(R42:R54)</f>
        <v>0</v>
      </c>
      <c r="S55" s="752">
        <f t="shared" si="32"/>
        <v>0</v>
      </c>
      <c r="T55" s="754">
        <f t="shared" si="29"/>
        <v>1201610.29</v>
      </c>
      <c r="U55" s="748">
        <f>K55-T55</f>
        <v>1051125.2000000002</v>
      </c>
    </row>
    <row r="56" spans="1:21" ht="33" thickTop="1">
      <c r="A56" s="628" t="s">
        <v>346</v>
      </c>
      <c r="B56" s="745" t="s">
        <v>1613</v>
      </c>
      <c r="C56" s="734"/>
      <c r="D56" s="746">
        <f>'SDS JBA'!C86</f>
        <v>13234</v>
      </c>
      <c r="E56" s="746"/>
      <c r="F56" s="746"/>
      <c r="G56" s="746"/>
      <c r="H56" s="746"/>
      <c r="I56" s="746"/>
      <c r="J56" s="746"/>
      <c r="K56" s="747">
        <f>SUM(C56:J56)</f>
        <v>13234</v>
      </c>
      <c r="L56" s="734"/>
      <c r="M56" s="746"/>
      <c r="N56" s="746"/>
      <c r="O56" s="746"/>
      <c r="P56" s="746"/>
      <c r="Q56" s="746"/>
      <c r="R56" s="746"/>
      <c r="S56" s="746"/>
      <c r="T56" s="747"/>
    </row>
    <row r="57" spans="1:21" ht="16">
      <c r="A57" s="628" t="s">
        <v>1322</v>
      </c>
      <c r="B57" s="745" t="s">
        <v>460</v>
      </c>
      <c r="C57" s="734">
        <f>IFERROR(VLOOKUP(A57,'TB CY'!A:G,7,)+VLOOKUP(A57,'TB CY'!A:G,6,),0)</f>
        <v>0</v>
      </c>
      <c r="D57" s="746"/>
      <c r="E57" s="746">
        <f>IFERROR(VLOOKUP(A57,'TB Other'!A:I,8,0),0)+IFERROR(VLOOKUP(A57,'TB Other'!A:I,9,0),0)</f>
        <v>0</v>
      </c>
      <c r="F57" s="746"/>
      <c r="G57" s="746">
        <f>IFERROR(VLOOKUP(A57,'TB Other'!A:E,4,),0)+IFERROR(VLOOKUP(A57,'TB Other'!A:E,5,),0)</f>
        <v>0</v>
      </c>
      <c r="H57" s="746"/>
      <c r="I57" s="746">
        <f>IFERROR(VLOOKUP(A57,'TB Other'!A:M,12,0),0)+IFERROR(VLOOKUP(A57,'TB Other'!A:M,13,0),0)</f>
        <v>0</v>
      </c>
      <c r="J57" s="746"/>
      <c r="K57" s="747">
        <f>SUM(C57:J57)</f>
        <v>0</v>
      </c>
      <c r="L57" s="734">
        <f>VLOOKUP(A57,'TB PY'!A:G,7,)+VLOOKUP(A57,'TB PY'!A:G,6,)</f>
        <v>24198</v>
      </c>
      <c r="M57" s="746"/>
      <c r="N57" s="746"/>
      <c r="O57" s="746"/>
      <c r="P57" s="746"/>
      <c r="Q57" s="746"/>
      <c r="R57" s="746"/>
      <c r="S57" s="746"/>
      <c r="T57" s="747">
        <f>SUM(L57:S57)</f>
        <v>24198</v>
      </c>
    </row>
    <row r="58" spans="1:21" ht="16" thickBot="1">
      <c r="B58" s="745"/>
      <c r="C58" s="734"/>
      <c r="D58" s="746"/>
      <c r="E58" s="746"/>
      <c r="F58" s="746"/>
      <c r="G58" s="746"/>
      <c r="H58" s="746"/>
      <c r="I58" s="746"/>
      <c r="J58" s="746"/>
      <c r="K58" s="747"/>
      <c r="L58" s="734"/>
      <c r="M58" s="746"/>
      <c r="N58" s="746"/>
      <c r="O58" s="746"/>
      <c r="P58" s="746"/>
      <c r="Q58" s="746"/>
      <c r="R58" s="746"/>
      <c r="S58" s="746"/>
      <c r="T58" s="747"/>
    </row>
    <row r="59" spans="1:21" ht="17" thickTop="1" thickBot="1">
      <c r="A59" s="749"/>
      <c r="B59" s="750" t="s">
        <v>51</v>
      </c>
      <c r="C59" s="751">
        <f t="shared" ref="C59:J59" si="33">SUM(C56:C58)</f>
        <v>0</v>
      </c>
      <c r="D59" s="752">
        <f t="shared" si="33"/>
        <v>13234</v>
      </c>
      <c r="E59" s="752">
        <f t="shared" si="33"/>
        <v>0</v>
      </c>
      <c r="F59" s="752">
        <f t="shared" si="33"/>
        <v>0</v>
      </c>
      <c r="G59" s="752">
        <f t="shared" si="33"/>
        <v>0</v>
      </c>
      <c r="H59" s="752">
        <f t="shared" si="33"/>
        <v>0</v>
      </c>
      <c r="I59" s="752">
        <f t="shared" si="33"/>
        <v>0</v>
      </c>
      <c r="J59" s="752">
        <f t="shared" si="33"/>
        <v>0</v>
      </c>
      <c r="K59" s="753">
        <f>SUM(K56:K58)</f>
        <v>13234</v>
      </c>
      <c r="L59" s="751">
        <f t="shared" ref="L59:T59" si="34">SUM(L56:L58)</f>
        <v>24198</v>
      </c>
      <c r="M59" s="752">
        <f t="shared" si="34"/>
        <v>0</v>
      </c>
      <c r="N59" s="752">
        <f t="shared" si="34"/>
        <v>0</v>
      </c>
      <c r="O59" s="752">
        <f t="shared" si="34"/>
        <v>0</v>
      </c>
      <c r="P59" s="752">
        <f t="shared" si="34"/>
        <v>0</v>
      </c>
      <c r="Q59" s="752">
        <f t="shared" si="34"/>
        <v>0</v>
      </c>
      <c r="R59" s="752">
        <f t="shared" si="34"/>
        <v>0</v>
      </c>
      <c r="S59" s="752">
        <f t="shared" si="34"/>
        <v>0</v>
      </c>
      <c r="T59" s="754">
        <f t="shared" si="34"/>
        <v>24198</v>
      </c>
      <c r="U59" s="748">
        <f>K59-T59</f>
        <v>-10964</v>
      </c>
    </row>
    <row r="60" spans="1:21" ht="16" thickTop="1">
      <c r="B60" s="745"/>
      <c r="C60" s="734"/>
      <c r="D60" s="746"/>
      <c r="E60" s="746"/>
      <c r="F60" s="746"/>
      <c r="G60" s="746"/>
      <c r="H60" s="746"/>
      <c r="I60" s="746"/>
      <c r="J60" s="746"/>
      <c r="K60" s="747"/>
      <c r="L60" s="734"/>
      <c r="M60" s="746"/>
      <c r="N60" s="746"/>
      <c r="O60" s="746"/>
      <c r="P60" s="746"/>
      <c r="Q60" s="746"/>
      <c r="R60" s="746"/>
      <c r="S60" s="746"/>
      <c r="T60" s="747"/>
    </row>
    <row r="61" spans="1:21" ht="16">
      <c r="A61" s="755" t="s">
        <v>246</v>
      </c>
      <c r="B61" s="745"/>
      <c r="C61" s="734"/>
      <c r="D61" s="746"/>
      <c r="E61" s="746"/>
      <c r="F61" s="746"/>
      <c r="G61" s="746"/>
      <c r="H61" s="746"/>
      <c r="I61" s="746"/>
      <c r="J61" s="746"/>
      <c r="K61" s="747"/>
      <c r="L61" s="734"/>
      <c r="M61" s="746"/>
      <c r="N61" s="746"/>
      <c r="O61" s="746"/>
      <c r="P61" s="746"/>
      <c r="Q61" s="746"/>
      <c r="R61" s="746"/>
      <c r="S61" s="746"/>
      <c r="T61" s="747"/>
    </row>
    <row r="62" spans="1:21" ht="16">
      <c r="A62" s="628" t="s">
        <v>1031</v>
      </c>
      <c r="B62" s="745" t="s">
        <v>460</v>
      </c>
      <c r="C62" s="734">
        <f>IFERROR(VLOOKUP(A62,'TB CY'!A:G,7,)+VLOOKUP(A62,'TB CY'!A:G,6,),0)</f>
        <v>480535</v>
      </c>
      <c r="D62" s="746"/>
      <c r="E62" s="746">
        <f>IFERROR(VLOOKUP(A62,'TB Other'!A:I,8,0),0)+IFERROR(VLOOKUP(A62,'TB Other'!A:I,9,0),0)</f>
        <v>0</v>
      </c>
      <c r="F62" s="746"/>
      <c r="G62" s="746">
        <f>IFERROR(VLOOKUP(A62,'TB Other'!A:E,4,),0)+IFERROR(VLOOKUP(A62,'TB Other'!A:E,5,),0)</f>
        <v>0</v>
      </c>
      <c r="H62" s="746"/>
      <c r="I62" s="746">
        <f>IFERROR(VLOOKUP(A62,'TB Other'!A:M,12,0),0)+IFERROR(VLOOKUP(A62,'TB Other'!A:M,13,0),0)</f>
        <v>0</v>
      </c>
      <c r="J62" s="746"/>
      <c r="K62" s="747">
        <f>SUM(C62:J62)</f>
        <v>480535</v>
      </c>
      <c r="L62" s="734">
        <f>VLOOKUP(A62,'TB PY'!A:G,7,)+VLOOKUP(A62,'TB PY'!A:G,6,)</f>
        <v>266584</v>
      </c>
      <c r="M62" s="746"/>
      <c r="N62" s="746"/>
      <c r="O62" s="746"/>
      <c r="P62" s="746"/>
      <c r="Q62" s="746"/>
      <c r="R62" s="746"/>
      <c r="S62" s="746"/>
      <c r="T62" s="747">
        <f>SUM(L62:S62)</f>
        <v>266584</v>
      </c>
    </row>
    <row r="63" spans="1:21" ht="16" thickBot="1">
      <c r="B63" s="745"/>
      <c r="C63" s="734"/>
      <c r="D63" s="746"/>
      <c r="E63" s="746"/>
      <c r="F63" s="746"/>
      <c r="G63" s="746"/>
      <c r="H63" s="746"/>
      <c r="I63" s="746"/>
      <c r="J63" s="746"/>
      <c r="K63" s="747"/>
      <c r="L63" s="734"/>
      <c r="M63" s="746"/>
      <c r="N63" s="746"/>
      <c r="O63" s="746"/>
      <c r="P63" s="746"/>
      <c r="Q63" s="746"/>
      <c r="R63" s="746"/>
      <c r="S63" s="746"/>
      <c r="T63" s="747"/>
    </row>
    <row r="64" spans="1:21" ht="17" thickTop="1" thickBot="1">
      <c r="A64" s="749"/>
      <c r="B64" s="750" t="s">
        <v>51</v>
      </c>
      <c r="C64" s="751">
        <f>SUM(C62:C63)</f>
        <v>480535</v>
      </c>
      <c r="D64" s="752">
        <f t="shared" ref="D64:T64" si="35">SUM(D62:D63)</f>
        <v>0</v>
      </c>
      <c r="E64" s="752">
        <f t="shared" si="35"/>
        <v>0</v>
      </c>
      <c r="F64" s="752">
        <f t="shared" si="35"/>
        <v>0</v>
      </c>
      <c r="G64" s="752">
        <f t="shared" si="35"/>
        <v>0</v>
      </c>
      <c r="H64" s="752">
        <f t="shared" si="35"/>
        <v>0</v>
      </c>
      <c r="I64" s="752">
        <f t="shared" ref="I64:J64" si="36">SUM(I62:I63)</f>
        <v>0</v>
      </c>
      <c r="J64" s="752">
        <f t="shared" si="36"/>
        <v>0</v>
      </c>
      <c r="K64" s="753">
        <f t="shared" si="35"/>
        <v>480535</v>
      </c>
      <c r="L64" s="751">
        <f t="shared" si="35"/>
        <v>266584</v>
      </c>
      <c r="M64" s="752">
        <f t="shared" ref="M64:Q64" si="37">SUM(M62:M63)</f>
        <v>0</v>
      </c>
      <c r="N64" s="752">
        <f t="shared" si="37"/>
        <v>0</v>
      </c>
      <c r="O64" s="752">
        <f t="shared" si="37"/>
        <v>0</v>
      </c>
      <c r="P64" s="752">
        <f t="shared" si="37"/>
        <v>0</v>
      </c>
      <c r="Q64" s="752">
        <f t="shared" si="37"/>
        <v>0</v>
      </c>
      <c r="R64" s="752">
        <f t="shared" ref="R64:S64" si="38">SUM(R62:R63)</f>
        <v>0</v>
      </c>
      <c r="S64" s="752">
        <f t="shared" si="38"/>
        <v>0</v>
      </c>
      <c r="T64" s="754">
        <f t="shared" si="35"/>
        <v>266584</v>
      </c>
      <c r="U64" s="748">
        <f>K64-T64</f>
        <v>213951</v>
      </c>
    </row>
    <row r="65" spans="1:21" ht="17" thickTop="1">
      <c r="A65" s="755" t="s">
        <v>252</v>
      </c>
      <c r="B65" s="756"/>
      <c r="C65" s="734"/>
      <c r="D65" s="746"/>
      <c r="E65" s="746"/>
      <c r="F65" s="746"/>
      <c r="G65" s="746"/>
      <c r="H65" s="746"/>
      <c r="I65" s="746"/>
      <c r="J65" s="746"/>
      <c r="K65" s="747"/>
      <c r="L65" s="734"/>
      <c r="M65" s="746"/>
      <c r="N65" s="746"/>
      <c r="O65" s="746"/>
      <c r="P65" s="746"/>
      <c r="Q65" s="746"/>
      <c r="R65" s="746"/>
      <c r="S65" s="746"/>
      <c r="T65" s="747"/>
      <c r="U65" s="748"/>
    </row>
    <row r="66" spans="1:21">
      <c r="B66" s="745"/>
      <c r="C66" s="734"/>
      <c r="D66" s="746"/>
      <c r="E66" s="746"/>
      <c r="F66" s="746"/>
      <c r="G66" s="746"/>
      <c r="H66" s="746"/>
      <c r="I66" s="746"/>
      <c r="J66" s="746"/>
      <c r="K66" s="747"/>
      <c r="L66" s="734"/>
      <c r="M66" s="746"/>
      <c r="N66" s="746"/>
      <c r="O66" s="746"/>
      <c r="P66" s="746"/>
      <c r="Q66" s="746"/>
      <c r="R66" s="746"/>
      <c r="S66" s="746"/>
      <c r="T66" s="747"/>
    </row>
    <row r="67" spans="1:21" ht="16">
      <c r="A67" s="628" t="s">
        <v>160</v>
      </c>
      <c r="B67" s="745" t="s">
        <v>460</v>
      </c>
      <c r="C67" s="734">
        <f>IFERROR(VLOOKUP(A67,'TB CY'!A:G,7,)+VLOOKUP(A67,'TB CY'!A:G,6,),0)</f>
        <v>2453557.9900000002</v>
      </c>
      <c r="D67" s="746"/>
      <c r="E67" s="746">
        <f>IFERROR(VLOOKUP(A67,'TB Other'!A:I,8,0),0)+IFERROR(VLOOKUP(A67,'TB Other'!A:I,9,0),0)</f>
        <v>0</v>
      </c>
      <c r="F67" s="746"/>
      <c r="G67" s="746">
        <f>IFERROR(VLOOKUP(A67,'TB Other'!A:E,4,),0)+IFERROR(VLOOKUP(A67,'TB Other'!A:E,5,),0)</f>
        <v>0</v>
      </c>
      <c r="H67" s="746"/>
      <c r="I67" s="746">
        <f>IFERROR(VLOOKUP(A67,'TB Other'!A:M,12,0),0)+IFERROR(VLOOKUP(A67,'TB Other'!A:M,13,0),0)</f>
        <v>0</v>
      </c>
      <c r="J67" s="746"/>
      <c r="K67" s="747">
        <f t="shared" ref="K67:K85" si="39">SUM(C67:J67)</f>
        <v>2453557.9900000002</v>
      </c>
      <c r="L67" s="734">
        <f>VLOOKUP(A67,'TB PY'!A:G,7,)+VLOOKUP(A67,'TB PY'!A:G,6,)</f>
        <v>832926</v>
      </c>
      <c r="M67" s="746"/>
      <c r="N67" s="746"/>
      <c r="O67" s="746"/>
      <c r="P67" s="746"/>
      <c r="Q67" s="746"/>
      <c r="R67" s="746"/>
      <c r="S67" s="746"/>
      <c r="T67" s="747">
        <f t="shared" ref="T67:T85" si="40">SUM(L67:S67)</f>
        <v>832926</v>
      </c>
      <c r="U67" s="748">
        <f t="shared" ref="U67:U85" si="41">K67-T67</f>
        <v>1620631.9900000002</v>
      </c>
    </row>
    <row r="68" spans="1:21" ht="16">
      <c r="A68" s="628" t="s">
        <v>1155</v>
      </c>
      <c r="B68" s="745" t="s">
        <v>460</v>
      </c>
      <c r="C68" s="734">
        <f>IFERROR(VLOOKUP(A68,'TB CY'!A:G,7,)+VLOOKUP(A68,'TB CY'!A:G,6,),0)</f>
        <v>0</v>
      </c>
      <c r="D68" s="746"/>
      <c r="E68" s="746">
        <f>IFERROR(VLOOKUP(A68,'TB Other'!A:I,8,0),0)+IFERROR(VLOOKUP(A68,'TB Other'!A:I,9,0),0)</f>
        <v>125415.76</v>
      </c>
      <c r="F68" s="746">
        <f>-E68</f>
        <v>-125415.76</v>
      </c>
      <c r="G68" s="746">
        <f>IFERROR(VLOOKUP(A68,'TB Other'!A:E,4,),0)+IFERROR(VLOOKUP(A68,'TB Other'!A:E,5,),0)</f>
        <v>95909.75</v>
      </c>
      <c r="H68" s="746">
        <f>-G68</f>
        <v>-95909.75</v>
      </c>
      <c r="I68" s="746">
        <f>IFERROR(VLOOKUP(A68,'TB Other'!A:M,12,0),0)+IFERROR(VLOOKUP(A68,'TB Other'!A:M,13,0),0)</f>
        <v>0</v>
      </c>
      <c r="J68" s="746"/>
      <c r="K68" s="747">
        <f t="shared" si="39"/>
        <v>0</v>
      </c>
      <c r="L68" s="734">
        <f>IFERROR(VLOOKUP(A68,'TB PY'!A:G,7,),0)+IFERROR(VLOOKUP(A68,'TB PY'!A:G,6,),0)</f>
        <v>0</v>
      </c>
      <c r="M68" s="746"/>
      <c r="N68" s="746">
        <v>201412</v>
      </c>
      <c r="O68" s="746">
        <f>-N68</f>
        <v>-201412</v>
      </c>
      <c r="P68" s="746">
        <v>9378</v>
      </c>
      <c r="Q68" s="746">
        <f>-P68</f>
        <v>-9378</v>
      </c>
      <c r="R68" s="746"/>
      <c r="S68" s="746"/>
      <c r="T68" s="747">
        <f t="shared" si="40"/>
        <v>0</v>
      </c>
      <c r="U68" s="748">
        <f t="shared" si="41"/>
        <v>0</v>
      </c>
    </row>
    <row r="69" spans="1:21" ht="16">
      <c r="A69" s="628" t="s">
        <v>1327</v>
      </c>
      <c r="B69" s="745" t="s">
        <v>460</v>
      </c>
      <c r="C69" s="734">
        <f>IFERROR(VLOOKUP(A69,'TB CY'!A:G,7,)+VLOOKUP(A69,'TB CY'!A:G,6,),0)</f>
        <v>10953.46</v>
      </c>
      <c r="D69" s="746"/>
      <c r="E69" s="746">
        <f>IFERROR(VLOOKUP(A69,'TB Other'!A:I,8,0),0)+IFERROR(VLOOKUP(A69,'TB Other'!A:I,9,0),0)</f>
        <v>0</v>
      </c>
      <c r="F69" s="746"/>
      <c r="G69" s="746">
        <f>IFERROR(VLOOKUP(A69,'TB Other'!A:E,4,),0)+IFERROR(VLOOKUP(A69,'TB Other'!A:E,5,),0)</f>
        <v>0</v>
      </c>
      <c r="H69" s="746"/>
      <c r="I69" s="746">
        <f>IFERROR(VLOOKUP(A69,'TB Other'!A:M,12,0),0)+IFERROR(VLOOKUP(A69,'TB Other'!A:M,13,0),0)</f>
        <v>0</v>
      </c>
      <c r="J69" s="746"/>
      <c r="K69" s="747">
        <f t="shared" si="39"/>
        <v>10953.46</v>
      </c>
      <c r="L69" s="734">
        <f>VLOOKUP(A69,'TB PY'!A:G,7,)+VLOOKUP(A69,'TB PY'!A:G,6,)</f>
        <v>51883.26</v>
      </c>
      <c r="M69" s="746"/>
      <c r="N69" s="746"/>
      <c r="O69" s="746"/>
      <c r="P69" s="746"/>
      <c r="Q69" s="746"/>
      <c r="R69" s="746"/>
      <c r="S69" s="746"/>
      <c r="T69" s="747">
        <f t="shared" si="40"/>
        <v>51883.26</v>
      </c>
      <c r="U69" s="748">
        <f t="shared" si="41"/>
        <v>-40929.800000000003</v>
      </c>
    </row>
    <row r="70" spans="1:21" ht="16">
      <c r="A70" s="628" t="s">
        <v>161</v>
      </c>
      <c r="B70" s="745" t="s">
        <v>460</v>
      </c>
      <c r="C70" s="734">
        <f>IFERROR(VLOOKUP(A70,'TB CY'!A:G,7,)+VLOOKUP(A70,'TB CY'!A:G,6,),0)</f>
        <v>10522979.710000001</v>
      </c>
      <c r="D70" s="746"/>
      <c r="E70" s="746">
        <f>IFERROR(VLOOKUP(A70,'TB Other'!A:I,8,0),0)+IFERROR(VLOOKUP(A70,'TB Other'!A:I,9,0),0)</f>
        <v>0</v>
      </c>
      <c r="F70" s="746"/>
      <c r="G70" s="746">
        <f>IFERROR(VLOOKUP(A70,'TB Other'!A:E,4,),0)+IFERROR(VLOOKUP(A70,'TB Other'!A:E,5,),0)</f>
        <v>0</v>
      </c>
      <c r="H70" s="746"/>
      <c r="I70" s="746">
        <f>IFERROR(VLOOKUP(A70,'TB Other'!A:M,12,0),0)+IFERROR(VLOOKUP(A70,'TB Other'!A:M,13,0),0)</f>
        <v>0</v>
      </c>
      <c r="J70" s="746"/>
      <c r="K70" s="747">
        <f t="shared" si="39"/>
        <v>10522979.710000001</v>
      </c>
      <c r="L70" s="734">
        <f>VLOOKUP(A70,'TB PY'!A:G,7,)+VLOOKUP(A70,'TB PY'!A:G,6,)</f>
        <v>2065760.19</v>
      </c>
      <c r="M70" s="746"/>
      <c r="N70" s="746"/>
      <c r="O70" s="746"/>
      <c r="P70" s="746"/>
      <c r="Q70" s="746"/>
      <c r="R70" s="746"/>
      <c r="S70" s="746"/>
      <c r="T70" s="747">
        <f t="shared" si="40"/>
        <v>2065760.19</v>
      </c>
      <c r="U70" s="748">
        <f t="shared" si="41"/>
        <v>8457219.5200000014</v>
      </c>
    </row>
    <row r="71" spans="1:21" ht="16">
      <c r="A71" s="628" t="s">
        <v>162</v>
      </c>
      <c r="B71" s="745" t="s">
        <v>460</v>
      </c>
      <c r="C71" s="734">
        <f>IFERROR(VLOOKUP(A71,'TB CY'!A:G,7,)+VLOOKUP(A71,'TB CY'!A:G,6,),0)</f>
        <v>13931208.890000001</v>
      </c>
      <c r="D71" s="746"/>
      <c r="E71" s="746">
        <f>IFERROR(VLOOKUP(A71,'TB Other'!A:I,8,0),0)+IFERROR(VLOOKUP(A71,'TB Other'!A:I,9,0),0)</f>
        <v>0</v>
      </c>
      <c r="F71" s="746"/>
      <c r="G71" s="746">
        <f>IFERROR(VLOOKUP(A71,'TB Other'!A:E,4,),0)+IFERROR(VLOOKUP(A71,'TB Other'!A:E,5,),0)</f>
        <v>0</v>
      </c>
      <c r="H71" s="746"/>
      <c r="I71" s="746">
        <f>IFERROR(VLOOKUP(A71,'TB Other'!A:M,12,0),0)+IFERROR(VLOOKUP(A71,'TB Other'!A:M,13,0),0)</f>
        <v>998095.52</v>
      </c>
      <c r="J71" s="746"/>
      <c r="K71" s="747">
        <f t="shared" si="39"/>
        <v>14929304.41</v>
      </c>
      <c r="L71" s="734">
        <f>VLOOKUP(A71,'TB PY'!A:G,7,)+VLOOKUP(A71,'TB PY'!A:G,6,)</f>
        <v>20092177.41</v>
      </c>
      <c r="M71" s="746">
        <v>374192</v>
      </c>
      <c r="N71" s="746"/>
      <c r="O71" s="746"/>
      <c r="P71" s="746">
        <v>450185</v>
      </c>
      <c r="Q71" s="746"/>
      <c r="R71" s="746"/>
      <c r="S71" s="746"/>
      <c r="T71" s="747">
        <f t="shared" si="40"/>
        <v>20916554.41</v>
      </c>
      <c r="U71" s="748">
        <f t="shared" si="41"/>
        <v>-5987250</v>
      </c>
    </row>
    <row r="72" spans="1:21" ht="16">
      <c r="A72" s="628" t="s">
        <v>1136</v>
      </c>
      <c r="B72" s="745" t="s">
        <v>460</v>
      </c>
      <c r="C72" s="734">
        <f>IFERROR(VLOOKUP(A72,'TB CY'!A:G,7,)+VLOOKUP(A72,'TB CY'!A:G,6,),0)</f>
        <v>0</v>
      </c>
      <c r="D72" s="746"/>
      <c r="E72" s="746">
        <f>IFERROR(VLOOKUP(A72,'TB Other'!A:I,8,0),0)+IFERROR(VLOOKUP(A72,'TB Other'!A:I,9,0),0)</f>
        <v>0</v>
      </c>
      <c r="F72" s="746"/>
      <c r="G72" s="746">
        <f>IFERROR(VLOOKUP(A72,'TB Other'!A:E,4,),0)+IFERROR(VLOOKUP(A72,'TB Other'!A:E,5,),0)</f>
        <v>0</v>
      </c>
      <c r="H72" s="746"/>
      <c r="I72" s="746">
        <f>IFERROR(VLOOKUP(A72,'TB Other'!A:M,12,0),0)+IFERROR(VLOOKUP(A72,'TB Other'!A:M,13,0),0)</f>
        <v>0</v>
      </c>
      <c r="J72" s="746"/>
      <c r="K72" s="747">
        <f t="shared" si="39"/>
        <v>0</v>
      </c>
      <c r="L72" s="734">
        <f>IFERROR(VLOOKUP(A72,'TB PY'!A:G,7,),0)+IFERROR(VLOOKUP(A72,'TB PY'!A:G,6,),0)</f>
        <v>0</v>
      </c>
      <c r="M72" s="746"/>
      <c r="N72" s="746"/>
      <c r="O72" s="746"/>
      <c r="P72" s="746"/>
      <c r="Q72" s="746"/>
      <c r="R72" s="746"/>
      <c r="S72" s="746"/>
      <c r="T72" s="747">
        <f t="shared" si="40"/>
        <v>0</v>
      </c>
      <c r="U72" s="748">
        <f t="shared" si="41"/>
        <v>0</v>
      </c>
    </row>
    <row r="73" spans="1:21" ht="16">
      <c r="A73" s="628" t="s">
        <v>1137</v>
      </c>
      <c r="B73" s="745" t="s">
        <v>460</v>
      </c>
      <c r="C73" s="734">
        <f>IFERROR(VLOOKUP(A73,'TB CY'!A:G,7,)+VLOOKUP(A73,'TB CY'!A:G,6,),0)</f>
        <v>47490.02</v>
      </c>
      <c r="D73" s="746"/>
      <c r="E73" s="746">
        <f>IFERROR(VLOOKUP(A73,'TB Other'!A:I,8,0),0)+IFERROR(VLOOKUP(A73,'TB Other'!A:I,9,0),0)</f>
        <v>0</v>
      </c>
      <c r="F73" s="746"/>
      <c r="G73" s="746">
        <f>IFERROR(VLOOKUP(A73,'TB Other'!A:E,4,),0)+IFERROR(VLOOKUP(A73,'TB Other'!A:E,5,),0)</f>
        <v>0</v>
      </c>
      <c r="H73" s="746"/>
      <c r="I73" s="746">
        <f>IFERROR(VLOOKUP(A73,'TB Other'!A:M,12,0),0)+IFERROR(VLOOKUP(A73,'TB Other'!A:M,13,0),0)</f>
        <v>0</v>
      </c>
      <c r="J73" s="746">
        <v>96893</v>
      </c>
      <c r="K73" s="747">
        <f t="shared" si="39"/>
        <v>144383.01999999999</v>
      </c>
      <c r="L73" s="734">
        <f>VLOOKUP(A73,'TB PY'!A:G,7,)+VLOOKUP(A73,'TB PY'!A:G,6,)</f>
        <v>585480.65</v>
      </c>
      <c r="M73" s="746"/>
      <c r="N73" s="746"/>
      <c r="O73" s="746"/>
      <c r="P73" s="746"/>
      <c r="Q73" s="746"/>
      <c r="R73" s="746"/>
      <c r="S73" s="746"/>
      <c r="T73" s="747">
        <f t="shared" si="40"/>
        <v>585480.65</v>
      </c>
      <c r="U73" s="748">
        <f t="shared" si="41"/>
        <v>-441097.63</v>
      </c>
    </row>
    <row r="74" spans="1:21" ht="16">
      <c r="A74" s="628" t="s">
        <v>1541</v>
      </c>
      <c r="B74" s="745" t="s">
        <v>460</v>
      </c>
      <c r="C74" s="734">
        <f>IFERROR(VLOOKUP(A74,'TB CY'!A:G,7,)+VLOOKUP(A74,'TB CY'!A:G,6,),0)</f>
        <v>11271.13</v>
      </c>
      <c r="D74" s="746"/>
      <c r="E74" s="746">
        <f>IFERROR(VLOOKUP(A74,'TB Other'!A:I,8,0),0)+IFERROR(VLOOKUP(A74,'TB Other'!A:I,9,0),0)</f>
        <v>0</v>
      </c>
      <c r="F74" s="746"/>
      <c r="G74" s="746">
        <f>IFERROR(VLOOKUP(A74,'TB Other'!A:E,4,),0)+IFERROR(VLOOKUP(A74,'TB Other'!A:E,5,),0)</f>
        <v>0</v>
      </c>
      <c r="H74" s="746"/>
      <c r="I74" s="746">
        <f>IFERROR(VLOOKUP(A74,'TB Other'!A:M,12,0),0)+IFERROR(VLOOKUP(A74,'TB Other'!A:M,13,0),0)</f>
        <v>0</v>
      </c>
      <c r="J74" s="746"/>
      <c r="K74" s="747">
        <f t="shared" si="39"/>
        <v>11271.13</v>
      </c>
      <c r="L74" s="734">
        <f>IFERROR(VLOOKUP(A74,'TB PY'!A:G,7,),0)+IFERROR(VLOOKUP(A74,'TB PY'!A:G,6,),0)</f>
        <v>0</v>
      </c>
      <c r="M74" s="746"/>
      <c r="N74" s="746"/>
      <c r="O74" s="746"/>
      <c r="P74" s="746"/>
      <c r="Q74" s="746"/>
      <c r="R74" s="746"/>
      <c r="S74" s="746"/>
      <c r="T74" s="747">
        <f t="shared" si="40"/>
        <v>0</v>
      </c>
      <c r="U74" s="748">
        <f t="shared" ref="U74" si="42">K74-T74</f>
        <v>11271.13</v>
      </c>
    </row>
    <row r="75" spans="1:21" ht="16">
      <c r="A75" s="628" t="s">
        <v>1138</v>
      </c>
      <c r="B75" s="745" t="s">
        <v>460</v>
      </c>
      <c r="C75" s="734">
        <f>IFERROR(VLOOKUP(A75,'TB CY'!A:G,7,)+VLOOKUP(A75,'TB CY'!A:G,6,),0)</f>
        <v>43662.67</v>
      </c>
      <c r="D75" s="746"/>
      <c r="E75" s="746">
        <f>IFERROR(VLOOKUP(A75,'TB Other'!A:I,8,0),0)+IFERROR(VLOOKUP(A75,'TB Other'!A:I,9,0),0)</f>
        <v>0</v>
      </c>
      <c r="F75" s="746"/>
      <c r="G75" s="746">
        <f>IFERROR(VLOOKUP(A75,'TB Other'!A:E,4,),0)+IFERROR(VLOOKUP(A75,'TB Other'!A:E,5,),0)</f>
        <v>0</v>
      </c>
      <c r="H75" s="746"/>
      <c r="I75" s="746">
        <f>IFERROR(VLOOKUP(A75,'TB Other'!A:M,12,0),0)+IFERROR(VLOOKUP(A75,'TB Other'!A:M,13,0),0)</f>
        <v>0</v>
      </c>
      <c r="J75" s="746"/>
      <c r="K75" s="747">
        <f t="shared" si="39"/>
        <v>43662.67</v>
      </c>
      <c r="L75" s="734">
        <f>VLOOKUP(A75,'TB PY'!A:G,7,)+VLOOKUP(A75,'TB PY'!A:G,6,)</f>
        <v>88766.78</v>
      </c>
      <c r="M75" s="746"/>
      <c r="N75" s="746"/>
      <c r="O75" s="746"/>
      <c r="P75" s="746"/>
      <c r="Q75" s="746"/>
      <c r="R75" s="746"/>
      <c r="S75" s="746"/>
      <c r="T75" s="747">
        <f t="shared" si="40"/>
        <v>88766.78</v>
      </c>
      <c r="U75" s="748">
        <f t="shared" si="41"/>
        <v>-45104.11</v>
      </c>
    </row>
    <row r="76" spans="1:21" ht="16">
      <c r="A76" s="628" t="s">
        <v>163</v>
      </c>
      <c r="B76" s="745" t="s">
        <v>460</v>
      </c>
      <c r="C76" s="734">
        <f>IFERROR(VLOOKUP(A76,'TB CY'!A:G,7,)+VLOOKUP(A76,'TB CY'!A:G,6,),0)</f>
        <v>18509809.600000001</v>
      </c>
      <c r="D76" s="746"/>
      <c r="E76" s="746">
        <f>IFERROR(VLOOKUP(A76,'TB Other'!A:I,8,0),0)+IFERROR(VLOOKUP(A76,'TB Other'!A:I,9,0),0)</f>
        <v>0</v>
      </c>
      <c r="F76" s="746"/>
      <c r="G76" s="746">
        <f>IFERROR(VLOOKUP(A76,'TB Other'!A:E,4,),0)+IFERROR(VLOOKUP(A76,'TB Other'!A:E,5,),0)</f>
        <v>0</v>
      </c>
      <c r="H76" s="746"/>
      <c r="I76" s="746">
        <f>IFERROR(VLOOKUP(A76,'TB Other'!A:M,12,0),0)+IFERROR(VLOOKUP(A76,'TB Other'!A:M,13,0),0)</f>
        <v>223021</v>
      </c>
      <c r="J76" s="746"/>
      <c r="K76" s="747">
        <f t="shared" si="39"/>
        <v>18732830.600000001</v>
      </c>
      <c r="L76" s="734">
        <f>VLOOKUP(A76,'TB PY'!A:G,7,)+VLOOKUP(A76,'TB PY'!A:G,6,)</f>
        <v>31036133.289999999</v>
      </c>
      <c r="M76" s="746"/>
      <c r="N76" s="746"/>
      <c r="O76" s="746"/>
      <c r="P76" s="746">
        <v>-17358</v>
      </c>
      <c r="Q76" s="746"/>
      <c r="R76" s="746"/>
      <c r="S76" s="746"/>
      <c r="T76" s="747">
        <f t="shared" si="40"/>
        <v>31018775.289999999</v>
      </c>
      <c r="U76" s="748">
        <f t="shared" si="41"/>
        <v>-12285944.689999998</v>
      </c>
    </row>
    <row r="77" spans="1:21" ht="16">
      <c r="A77" s="628" t="s">
        <v>1139</v>
      </c>
      <c r="B77" s="745" t="s">
        <v>460</v>
      </c>
      <c r="C77" s="734">
        <f>IFERROR(VLOOKUP(A77,'TB CY'!A:G,7,)+VLOOKUP(A77,'TB CY'!A:G,6,),0)</f>
        <v>91236.24</v>
      </c>
      <c r="D77" s="746"/>
      <c r="E77" s="746">
        <f>IFERROR(VLOOKUP(A77,'TB Other'!A:I,8,0),0)+IFERROR(VLOOKUP(A77,'TB Other'!A:I,9,0),0)</f>
        <v>0</v>
      </c>
      <c r="F77" s="746"/>
      <c r="G77" s="746">
        <f>IFERROR(VLOOKUP(A77,'TB Other'!A:E,4,),0)+IFERROR(VLOOKUP(A77,'TB Other'!A:E,5,),0)</f>
        <v>0</v>
      </c>
      <c r="H77" s="746"/>
      <c r="I77" s="746">
        <f>IFERROR(VLOOKUP(A77,'TB Other'!A:M,12,0),0)+IFERROR(VLOOKUP(A77,'TB Other'!A:M,13,0),0)</f>
        <v>0</v>
      </c>
      <c r="J77" s="746"/>
      <c r="K77" s="747">
        <f t="shared" si="39"/>
        <v>91236.24</v>
      </c>
      <c r="L77" s="734">
        <f>VLOOKUP(A77,'TB PY'!A:G,7,)+VLOOKUP(A77,'TB PY'!A:G,6,)</f>
        <v>164959.57</v>
      </c>
      <c r="M77" s="746"/>
      <c r="N77" s="746"/>
      <c r="O77" s="746"/>
      <c r="P77" s="746"/>
      <c r="Q77" s="746"/>
      <c r="R77" s="746"/>
      <c r="S77" s="746"/>
      <c r="T77" s="747">
        <f t="shared" si="40"/>
        <v>164959.57</v>
      </c>
      <c r="U77" s="748">
        <f t="shared" si="41"/>
        <v>-73723.33</v>
      </c>
    </row>
    <row r="78" spans="1:21" ht="16">
      <c r="A78" s="628" t="s">
        <v>1140</v>
      </c>
      <c r="B78" s="745" t="s">
        <v>460</v>
      </c>
      <c r="C78" s="734">
        <f>IFERROR(VLOOKUP(A78,'TB CY'!A:G,7,)+VLOOKUP(A78,'TB CY'!A:G,6,),0)</f>
        <v>0</v>
      </c>
      <c r="D78" s="746"/>
      <c r="E78" s="746">
        <f>IFERROR(VLOOKUP(A78,'TB Other'!A:I,8,0),0)+IFERROR(VLOOKUP(A78,'TB Other'!A:I,9,0),0)</f>
        <v>0</v>
      </c>
      <c r="F78" s="746"/>
      <c r="G78" s="746">
        <f>IFERROR(VLOOKUP(A78,'TB Other'!A:E,4,),0)+IFERROR(VLOOKUP(A78,'TB Other'!A:E,5,),0)</f>
        <v>0</v>
      </c>
      <c r="H78" s="746"/>
      <c r="I78" s="746">
        <f>IFERROR(VLOOKUP(A78,'TB Other'!A:M,12,0),0)+IFERROR(VLOOKUP(A78,'TB Other'!A:M,13,0),0)</f>
        <v>0</v>
      </c>
      <c r="J78" s="746">
        <f>38330*0</f>
        <v>0</v>
      </c>
      <c r="K78" s="747">
        <f t="shared" si="39"/>
        <v>0</v>
      </c>
      <c r="L78" s="734">
        <f>IFERROR(VLOOKUP(A78,'TB PY'!A:G,7,),0)+IFERROR(VLOOKUP(A78,'TB PY'!A:G,6,),0)</f>
        <v>0</v>
      </c>
      <c r="M78" s="746">
        <v>76823</v>
      </c>
      <c r="N78" s="746"/>
      <c r="O78" s="746"/>
      <c r="P78" s="746"/>
      <c r="Q78" s="746"/>
      <c r="R78" s="746"/>
      <c r="S78" s="746"/>
      <c r="T78" s="747">
        <f t="shared" si="40"/>
        <v>76823</v>
      </c>
      <c r="U78" s="748">
        <f t="shared" si="41"/>
        <v>-76823</v>
      </c>
    </row>
    <row r="79" spans="1:21" ht="16">
      <c r="A79" s="757" t="s">
        <v>1259</v>
      </c>
      <c r="B79" s="745" t="s">
        <v>460</v>
      </c>
      <c r="C79" s="734">
        <f>IFERROR(VLOOKUP(A79,'TB CY'!A:G,7,)+VLOOKUP(A79,'TB CY'!A:G,6,),0)</f>
        <v>0</v>
      </c>
      <c r="D79" s="746"/>
      <c r="E79" s="746">
        <f>IFERROR(VLOOKUP(A79,'TB Other'!A:I,8,0),0)+IFERROR(VLOOKUP(A79,'TB Other'!A:I,9,0),0)</f>
        <v>0</v>
      </c>
      <c r="F79" s="746"/>
      <c r="G79" s="746">
        <f>IFERROR(VLOOKUP(A79,'TB Other'!A:E,4,),0)+IFERROR(VLOOKUP(A79,'TB Other'!A:E,5,),0)</f>
        <v>0</v>
      </c>
      <c r="H79" s="746"/>
      <c r="I79" s="746">
        <f>IFERROR(VLOOKUP(A79,'TB Other'!A:M,12,0),0)+IFERROR(VLOOKUP(A79,'TB Other'!A:M,13,0),0)</f>
        <v>0</v>
      </c>
      <c r="J79" s="746"/>
      <c r="K79" s="747">
        <f t="shared" si="39"/>
        <v>0</v>
      </c>
      <c r="L79" s="734">
        <f>VLOOKUP(A79,'TB PY'!A:G,7,)+VLOOKUP(A79,'TB PY'!A:G,6,)</f>
        <v>-24526.44</v>
      </c>
      <c r="M79" s="746"/>
      <c r="N79" s="746"/>
      <c r="O79" s="746"/>
      <c r="P79" s="746"/>
      <c r="Q79" s="746"/>
      <c r="R79" s="746"/>
      <c r="S79" s="746"/>
      <c r="T79" s="747">
        <f t="shared" si="40"/>
        <v>-24526.44</v>
      </c>
      <c r="U79" s="748">
        <f t="shared" si="41"/>
        <v>24526.44</v>
      </c>
    </row>
    <row r="80" spans="1:21" ht="16">
      <c r="A80" s="628" t="s">
        <v>1260</v>
      </c>
      <c r="B80" s="745" t="s">
        <v>460</v>
      </c>
      <c r="C80" s="734">
        <f>IFERROR(VLOOKUP(A80,'TB CY'!A:G,7,)+VLOOKUP(A80,'TB CY'!A:G,6,),0)</f>
        <v>0</v>
      </c>
      <c r="D80" s="746"/>
      <c r="E80" s="746">
        <f>IFERROR(VLOOKUP(A80,'TB Other'!A:I,8,0),0)+IFERROR(VLOOKUP(A80,'TB Other'!A:I,9,0),0)</f>
        <v>0</v>
      </c>
      <c r="F80" s="746"/>
      <c r="G80" s="746">
        <f>IFERROR(VLOOKUP(A80,'TB Other'!A:E,4,),0)+IFERROR(VLOOKUP(A80,'TB Other'!A:E,5,),0)</f>
        <v>0</v>
      </c>
      <c r="H80" s="746"/>
      <c r="I80" s="746">
        <f>IFERROR(VLOOKUP(A80,'TB Other'!A:M,12,0),0)+IFERROR(VLOOKUP(A80,'TB Other'!A:M,13,0),0)</f>
        <v>0</v>
      </c>
      <c r="J80" s="746"/>
      <c r="K80" s="747">
        <f t="shared" si="39"/>
        <v>0</v>
      </c>
      <c r="L80" s="734">
        <f>VLOOKUP(A80,'TB PY'!A:G,7,)+VLOOKUP(A80,'TB PY'!A:G,6,)</f>
        <v>74541.19</v>
      </c>
      <c r="M80" s="746"/>
      <c r="N80" s="746"/>
      <c r="O80" s="746"/>
      <c r="P80" s="746"/>
      <c r="Q80" s="746"/>
      <c r="R80" s="746"/>
      <c r="S80" s="746"/>
      <c r="T80" s="747">
        <f t="shared" si="40"/>
        <v>74541.19</v>
      </c>
      <c r="U80" s="748">
        <f t="shared" si="41"/>
        <v>-74541.19</v>
      </c>
    </row>
    <row r="81" spans="1:24" ht="16">
      <c r="A81" s="757" t="s">
        <v>1261</v>
      </c>
      <c r="B81" s="745" t="s">
        <v>460</v>
      </c>
      <c r="C81" s="734">
        <f>IFERROR(VLOOKUP(A81,'TB CY'!A:G,7,)+VLOOKUP(A81,'TB CY'!A:G,6,),0)</f>
        <v>0</v>
      </c>
      <c r="D81" s="746"/>
      <c r="E81" s="746">
        <f>IFERROR(VLOOKUP(A81,'TB Other'!A:I,8,0),0)+IFERROR(VLOOKUP(A81,'TB Other'!A:I,9,0),0)</f>
        <v>0</v>
      </c>
      <c r="F81" s="746"/>
      <c r="G81" s="746">
        <f>IFERROR(VLOOKUP(A81,'TB Other'!A:E,4,),0)+IFERROR(VLOOKUP(A81,'TB Other'!A:E,5,),0)</f>
        <v>0</v>
      </c>
      <c r="H81" s="746"/>
      <c r="I81" s="746">
        <f>IFERROR(VLOOKUP(A81,'TB Other'!A:M,12,0),0)+IFERROR(VLOOKUP(A81,'TB Other'!A:M,13,0),0)</f>
        <v>0</v>
      </c>
      <c r="J81" s="746"/>
      <c r="K81" s="747">
        <f t="shared" si="39"/>
        <v>0</v>
      </c>
      <c r="L81" s="734">
        <f>VLOOKUP(A81,'TB PY'!A:G,7,)+VLOOKUP(A81,'TB PY'!A:G,6,)</f>
        <v>299286.13</v>
      </c>
      <c r="M81" s="746"/>
      <c r="N81" s="746"/>
      <c r="O81" s="746"/>
      <c r="P81" s="746"/>
      <c r="Q81" s="746"/>
      <c r="R81" s="746"/>
      <c r="S81" s="746"/>
      <c r="T81" s="747">
        <f t="shared" si="40"/>
        <v>299286.13</v>
      </c>
      <c r="U81" s="748">
        <f t="shared" si="41"/>
        <v>-299286.13</v>
      </c>
    </row>
    <row r="82" spans="1:24" ht="32">
      <c r="A82" s="757" t="s">
        <v>1539</v>
      </c>
      <c r="B82" s="745" t="s">
        <v>460</v>
      </c>
      <c r="C82" s="734">
        <f>IFERROR(VLOOKUP(A82,'TB CY'!A:G,7,)+VLOOKUP(A82,'TB CY'!A:G,6,),0)</f>
        <v>1370119.63</v>
      </c>
      <c r="D82" s="746"/>
      <c r="E82" s="746">
        <f>IFERROR(VLOOKUP(A82,'TB Other'!A:I,8,0),0)+IFERROR(VLOOKUP(A82,'TB Other'!A:I,9,0),0)</f>
        <v>0</v>
      </c>
      <c r="F82" s="746"/>
      <c r="G82" s="746">
        <f>IFERROR(VLOOKUP(A82,'TB Other'!A:E,4,),0)+IFERROR(VLOOKUP(A82,'TB Other'!A:E,5,),0)</f>
        <v>0</v>
      </c>
      <c r="H82" s="746"/>
      <c r="I82" s="746">
        <f>IFERROR(VLOOKUP(A82,'TB Other'!A:M,12,0),0)+IFERROR(VLOOKUP(A82,'TB Other'!A:M,13,0),0)</f>
        <v>0</v>
      </c>
      <c r="J82" s="746"/>
      <c r="K82" s="747">
        <f t="shared" si="39"/>
        <v>1370119.63</v>
      </c>
      <c r="L82" s="734">
        <f>IFERROR(VLOOKUP(A82,'TB PY'!A:G,7,),0)+IFERROR(VLOOKUP(A82,'TB PY'!A:G,6,),0)</f>
        <v>0</v>
      </c>
      <c r="M82" s="746"/>
      <c r="N82" s="746"/>
      <c r="O82" s="746"/>
      <c r="P82" s="746"/>
      <c r="Q82" s="746"/>
      <c r="R82" s="746"/>
      <c r="S82" s="746"/>
      <c r="T82" s="747">
        <f t="shared" si="40"/>
        <v>0</v>
      </c>
      <c r="U82" s="748">
        <f t="shared" ref="U82:U84" si="43">K82-T82</f>
        <v>1370119.63</v>
      </c>
    </row>
    <row r="83" spans="1:24" ht="16">
      <c r="A83" s="757" t="s">
        <v>1542</v>
      </c>
      <c r="B83" s="745" t="s">
        <v>460</v>
      </c>
      <c r="C83" s="734">
        <f>IFERROR(VLOOKUP(A83,'TB CY'!A:G,7,)+VLOOKUP(A83,'TB CY'!A:G,6,),0)</f>
        <v>7750</v>
      </c>
      <c r="D83" s="746"/>
      <c r="E83" s="746">
        <f>IFERROR(VLOOKUP(A83,'TB Other'!A:I,8,0),0)+IFERROR(VLOOKUP(A83,'TB Other'!A:I,9,0),0)</f>
        <v>0</v>
      </c>
      <c r="F83" s="746"/>
      <c r="G83" s="746">
        <f>IFERROR(VLOOKUP(A83,'TB Other'!A:E,4,),0)+IFERROR(VLOOKUP(A83,'TB Other'!A:E,5,),0)</f>
        <v>0</v>
      </c>
      <c r="H83" s="746"/>
      <c r="I83" s="746">
        <f>IFERROR(VLOOKUP(A83,'TB Other'!A:M,12,0),0)+IFERROR(VLOOKUP(A83,'TB Other'!A:M,13,0),0)</f>
        <v>0</v>
      </c>
      <c r="J83" s="746"/>
      <c r="K83" s="747">
        <f t="shared" si="39"/>
        <v>7750</v>
      </c>
      <c r="L83" s="734">
        <f>IFERROR(VLOOKUP(A83,'TB PY'!A:G,7,),0)+IFERROR(VLOOKUP(A83,'TB PY'!A:G,6,),0)</f>
        <v>0</v>
      </c>
      <c r="M83" s="746"/>
      <c r="N83" s="746"/>
      <c r="O83" s="746"/>
      <c r="P83" s="746"/>
      <c r="Q83" s="746"/>
      <c r="R83" s="746"/>
      <c r="S83" s="746"/>
      <c r="T83" s="747">
        <f t="shared" si="40"/>
        <v>0</v>
      </c>
      <c r="U83" s="748">
        <f t="shared" ref="U83" si="44">K83-T83</f>
        <v>7750</v>
      </c>
    </row>
    <row r="84" spans="1:24" ht="16">
      <c r="A84" s="757" t="s">
        <v>1540</v>
      </c>
      <c r="B84" s="745" t="s">
        <v>460</v>
      </c>
      <c r="C84" s="734">
        <f>IFERROR(VLOOKUP(A84,'TB CY'!A:G,7,)+VLOOKUP(A84,'TB CY'!A:G,6,),0)</f>
        <v>1545796.27</v>
      </c>
      <c r="D84" s="746"/>
      <c r="E84" s="746">
        <f>IFERROR(VLOOKUP(A84,'TB Other'!A:I,8,0),0)+IFERROR(VLOOKUP(A84,'TB Other'!A:I,9,0),0)</f>
        <v>0</v>
      </c>
      <c r="F84" s="746"/>
      <c r="G84" s="746">
        <f>IFERROR(VLOOKUP(A84,'TB Other'!A:E,4,),0)+IFERROR(VLOOKUP(A84,'TB Other'!A:E,5,),0)</f>
        <v>0</v>
      </c>
      <c r="H84" s="746"/>
      <c r="I84" s="746">
        <f>IFERROR(VLOOKUP(A84,'TB Other'!A:M,12,0),0)+IFERROR(VLOOKUP(A84,'TB Other'!A:M,13,0),0)</f>
        <v>0</v>
      </c>
      <c r="J84" s="746"/>
      <c r="K84" s="747">
        <f t="shared" si="39"/>
        <v>1545796.27</v>
      </c>
      <c r="L84" s="734">
        <f>IFERROR(VLOOKUP(A84,'TB PY'!A:G,7,),0)+IFERROR(VLOOKUP(A84,'TB PY'!A:G,6,),0)</f>
        <v>0</v>
      </c>
      <c r="M84" s="746"/>
      <c r="N84" s="746"/>
      <c r="O84" s="746"/>
      <c r="P84" s="746"/>
      <c r="Q84" s="746"/>
      <c r="R84" s="746"/>
      <c r="S84" s="746"/>
      <c r="T84" s="747">
        <f t="shared" si="40"/>
        <v>0</v>
      </c>
      <c r="U84" s="748">
        <f t="shared" si="43"/>
        <v>1545796.27</v>
      </c>
    </row>
    <row r="85" spans="1:24" ht="16">
      <c r="A85" s="757" t="s">
        <v>1262</v>
      </c>
      <c r="B85" s="745" t="s">
        <v>460</v>
      </c>
      <c r="C85" s="734">
        <f>IFERROR(VLOOKUP(A85,'TB CY'!A:G,7,)+VLOOKUP(A85,'TB CY'!A:G,6,),0)</f>
        <v>0</v>
      </c>
      <c r="D85" s="746"/>
      <c r="E85" s="746">
        <f>IFERROR(VLOOKUP(A85,'TB Other'!A:I,8,0),0)+IFERROR(VLOOKUP(A85,'TB Other'!A:I,9,0),0)</f>
        <v>0</v>
      </c>
      <c r="F85" s="746"/>
      <c r="G85" s="746">
        <f>IFERROR(VLOOKUP(A85,'TB Other'!A:E,4,),0)+IFERROR(VLOOKUP(A85,'TB Other'!A:E,5,),0)</f>
        <v>0</v>
      </c>
      <c r="H85" s="746"/>
      <c r="I85" s="746">
        <f>IFERROR(VLOOKUP(A85,'TB Other'!A:M,12,0),0)+IFERROR(VLOOKUP(A85,'TB Other'!A:M,13,0),0)</f>
        <v>0</v>
      </c>
      <c r="J85" s="746"/>
      <c r="K85" s="747">
        <f t="shared" si="39"/>
        <v>0</v>
      </c>
      <c r="L85" s="734">
        <f>VLOOKUP(A85,'TB PY'!A:G,7,)+VLOOKUP(A85,'TB PY'!A:G,6,)</f>
        <v>77950</v>
      </c>
      <c r="M85" s="746"/>
      <c r="N85" s="746"/>
      <c r="O85" s="746"/>
      <c r="P85" s="746"/>
      <c r="Q85" s="746"/>
      <c r="R85" s="746"/>
      <c r="S85" s="746"/>
      <c r="T85" s="747">
        <f t="shared" si="40"/>
        <v>77950</v>
      </c>
      <c r="U85" s="748">
        <f t="shared" si="41"/>
        <v>-77950</v>
      </c>
    </row>
    <row r="86" spans="1:24" ht="16" thickBot="1">
      <c r="B86" s="745"/>
      <c r="C86" s="734"/>
      <c r="D86" s="746"/>
      <c r="E86" s="746"/>
      <c r="F86" s="746"/>
      <c r="G86" s="746"/>
      <c r="H86" s="746"/>
      <c r="I86" s="746"/>
      <c r="J86" s="746"/>
      <c r="K86" s="747"/>
      <c r="L86" s="734"/>
      <c r="M86" s="746"/>
      <c r="N86" s="746"/>
      <c r="O86" s="746"/>
      <c r="P86" s="746"/>
      <c r="Q86" s="746"/>
      <c r="R86" s="746"/>
      <c r="S86" s="746"/>
      <c r="T86" s="747"/>
    </row>
    <row r="87" spans="1:24" ht="17" thickTop="1" thickBot="1">
      <c r="A87" s="749"/>
      <c r="B87" s="750" t="s">
        <v>51</v>
      </c>
      <c r="C87" s="751">
        <f>SUM(C66:C85)</f>
        <v>48545835.610000007</v>
      </c>
      <c r="D87" s="752">
        <f t="shared" ref="D87:T87" si="45">SUM(D66:D85)</f>
        <v>0</v>
      </c>
      <c r="E87" s="752">
        <f t="shared" si="45"/>
        <v>125415.76</v>
      </c>
      <c r="F87" s="752">
        <f t="shared" si="45"/>
        <v>-125415.76</v>
      </c>
      <c r="G87" s="752">
        <f t="shared" si="45"/>
        <v>95909.75</v>
      </c>
      <c r="H87" s="752">
        <f t="shared" si="45"/>
        <v>-95909.75</v>
      </c>
      <c r="I87" s="752">
        <f t="shared" ref="I87:J87" si="46">SUM(I66:I85)</f>
        <v>1221116.52</v>
      </c>
      <c r="J87" s="752">
        <f t="shared" si="46"/>
        <v>96893</v>
      </c>
      <c r="K87" s="753">
        <f>SUM(K66:K85)</f>
        <v>49863845.13000001</v>
      </c>
      <c r="L87" s="751">
        <f t="shared" si="45"/>
        <v>55345338.030000001</v>
      </c>
      <c r="M87" s="752">
        <f t="shared" ref="M87:Q87" si="47">SUM(M66:M85)</f>
        <v>451015</v>
      </c>
      <c r="N87" s="752">
        <f t="shared" si="47"/>
        <v>201412</v>
      </c>
      <c r="O87" s="752">
        <f t="shared" si="47"/>
        <v>-201412</v>
      </c>
      <c r="P87" s="752">
        <f t="shared" si="47"/>
        <v>442205</v>
      </c>
      <c r="Q87" s="752">
        <f t="shared" si="47"/>
        <v>-9378</v>
      </c>
      <c r="R87" s="752">
        <f t="shared" ref="R87:S87" si="48">SUM(R66:R85)</f>
        <v>0</v>
      </c>
      <c r="S87" s="752">
        <f t="shared" si="48"/>
        <v>0</v>
      </c>
      <c r="T87" s="754">
        <f t="shared" si="45"/>
        <v>56229180.030000001</v>
      </c>
      <c r="U87" s="748">
        <f>K87-T87</f>
        <v>-6365334.8999999911</v>
      </c>
    </row>
    <row r="88" spans="1:24" ht="17" thickTop="1">
      <c r="A88" s="755" t="s">
        <v>369</v>
      </c>
      <c r="B88" s="745"/>
      <c r="C88" s="734"/>
      <c r="D88" s="746"/>
      <c r="E88" s="746"/>
      <c r="F88" s="746"/>
      <c r="G88" s="746"/>
      <c r="H88" s="746"/>
      <c r="I88" s="746"/>
      <c r="J88" s="746"/>
      <c r="K88" s="747"/>
      <c r="L88" s="734"/>
      <c r="M88" s="746"/>
      <c r="N88" s="746"/>
      <c r="O88" s="746"/>
      <c r="P88" s="746"/>
      <c r="Q88" s="746"/>
      <c r="R88" s="746"/>
      <c r="S88" s="746"/>
      <c r="T88" s="747"/>
      <c r="U88" s="215">
        <f t="shared" ref="U88:U94" si="49">K88-T88</f>
        <v>0</v>
      </c>
    </row>
    <row r="89" spans="1:24" ht="16">
      <c r="A89" s="628" t="s">
        <v>1231</v>
      </c>
      <c r="B89" s="745" t="s">
        <v>461</v>
      </c>
      <c r="C89" s="734">
        <v>27004217.280000001</v>
      </c>
      <c r="D89" s="746"/>
      <c r="E89" s="746">
        <v>115474</v>
      </c>
      <c r="F89" s="746"/>
      <c r="G89" s="746">
        <v>53395</v>
      </c>
      <c r="H89" s="746"/>
      <c r="I89" s="746">
        <v>903470</v>
      </c>
      <c r="J89" s="746">
        <f>-15605-J8</f>
        <v>-15605</v>
      </c>
      <c r="K89" s="747">
        <f>SUM(C89:J89)</f>
        <v>28060951.280000001</v>
      </c>
      <c r="L89" s="734">
        <v>26585645</v>
      </c>
      <c r="M89" s="746">
        <f>-374192</f>
        <v>-374192</v>
      </c>
      <c r="N89" s="746">
        <v>51847</v>
      </c>
      <c r="O89" s="746"/>
      <c r="P89" s="746">
        <v>10401</v>
      </c>
      <c r="Q89" s="746"/>
      <c r="R89" s="746"/>
      <c r="S89" s="746"/>
      <c r="T89" s="747">
        <f>SUM(L89:S89)</f>
        <v>26273701</v>
      </c>
      <c r="U89" s="215">
        <f t="shared" si="49"/>
        <v>1787250.2800000012</v>
      </c>
      <c r="V89" s="216">
        <f>J89+C89</f>
        <v>26988612.280000001</v>
      </c>
      <c r="X89" s="216"/>
    </row>
    <row r="90" spans="1:24">
      <c r="B90" s="756"/>
      <c r="C90" s="734">
        <f>SUM(C88:C89)</f>
        <v>27004217.280000001</v>
      </c>
      <c r="D90" s="746">
        <f t="shared" ref="D90:T90" si="50">SUM(D88:D89)</f>
        <v>0</v>
      </c>
      <c r="E90" s="746">
        <f t="shared" si="50"/>
        <v>115474</v>
      </c>
      <c r="F90" s="746">
        <f t="shared" si="50"/>
        <v>0</v>
      </c>
      <c r="G90" s="746">
        <f t="shared" si="50"/>
        <v>53395</v>
      </c>
      <c r="H90" s="746">
        <f t="shared" si="50"/>
        <v>0</v>
      </c>
      <c r="I90" s="746">
        <f t="shared" ref="I90:J90" si="51">SUM(I88:I89)</f>
        <v>903470</v>
      </c>
      <c r="J90" s="746">
        <f t="shared" si="51"/>
        <v>-15605</v>
      </c>
      <c r="K90" s="758">
        <f t="shared" si="50"/>
        <v>28060951.280000001</v>
      </c>
      <c r="L90" s="734">
        <f t="shared" si="50"/>
        <v>26585645</v>
      </c>
      <c r="M90" s="746">
        <f t="shared" ref="M90:Q90" si="52">SUM(M88:M89)</f>
        <v>-374192</v>
      </c>
      <c r="N90" s="746">
        <f t="shared" si="52"/>
        <v>51847</v>
      </c>
      <c r="O90" s="746">
        <f t="shared" si="52"/>
        <v>0</v>
      </c>
      <c r="P90" s="746">
        <f t="shared" si="52"/>
        <v>10401</v>
      </c>
      <c r="Q90" s="746">
        <f t="shared" si="52"/>
        <v>0</v>
      </c>
      <c r="R90" s="746">
        <f t="shared" ref="R90:S90" si="53">SUM(R88:R89)</f>
        <v>0</v>
      </c>
      <c r="S90" s="746">
        <f t="shared" si="53"/>
        <v>0</v>
      </c>
      <c r="T90" s="747">
        <f t="shared" si="50"/>
        <v>26273701</v>
      </c>
      <c r="U90" s="748">
        <f t="shared" si="49"/>
        <v>1787250.2800000012</v>
      </c>
      <c r="V90" s="215">
        <v>26988612</v>
      </c>
      <c r="W90" s="216">
        <f>V89-V90</f>
        <v>0.2800000011920929</v>
      </c>
    </row>
    <row r="91" spans="1:24">
      <c r="B91" s="756"/>
      <c r="C91" s="734"/>
      <c r="D91" s="746"/>
      <c r="E91" s="746"/>
      <c r="F91" s="746"/>
      <c r="G91" s="746"/>
      <c r="H91" s="746"/>
      <c r="I91" s="746"/>
      <c r="J91" s="746"/>
      <c r="K91" s="747"/>
      <c r="L91" s="734"/>
      <c r="M91" s="746"/>
      <c r="N91" s="746"/>
      <c r="O91" s="746"/>
      <c r="P91" s="746"/>
      <c r="Q91" s="746"/>
      <c r="R91" s="746"/>
      <c r="S91" s="746"/>
      <c r="T91" s="747"/>
      <c r="U91" s="748">
        <f t="shared" si="49"/>
        <v>0</v>
      </c>
    </row>
    <row r="92" spans="1:24">
      <c r="B92" s="756"/>
      <c r="C92" s="734"/>
      <c r="D92" s="746"/>
      <c r="E92" s="746"/>
      <c r="F92" s="746"/>
      <c r="G92" s="746"/>
      <c r="H92" s="746"/>
      <c r="I92" s="746"/>
      <c r="J92" s="746"/>
      <c r="K92" s="747"/>
      <c r="L92" s="734"/>
      <c r="M92" s="746"/>
      <c r="N92" s="746"/>
      <c r="O92" s="746"/>
      <c r="P92" s="746"/>
      <c r="Q92" s="746"/>
      <c r="R92" s="746"/>
      <c r="S92" s="746"/>
      <c r="T92" s="747"/>
      <c r="U92" s="748">
        <f t="shared" si="49"/>
        <v>0</v>
      </c>
    </row>
    <row r="93" spans="1:24" ht="16">
      <c r="A93" s="628" t="s">
        <v>1232</v>
      </c>
      <c r="B93" s="745" t="s">
        <v>460</v>
      </c>
      <c r="C93" s="734">
        <f>IFERROR(VLOOKUP(A93,'TB CY'!A:G,7,)+VLOOKUP(A93,'TB CY'!A:G,6,),0)</f>
        <v>26585645.309999999</v>
      </c>
      <c r="D93" s="746"/>
      <c r="E93" s="746">
        <v>51847</v>
      </c>
      <c r="F93" s="746">
        <f>M89</f>
        <v>-374192</v>
      </c>
      <c r="G93" s="746">
        <f>IFERROR(VLOOKUP(A93,'TB Other'!A:E,4,),0)+IFERROR(VLOOKUP(A93,'TB Other'!A:E,5,),0)</f>
        <v>10401.65</v>
      </c>
      <c r="H93" s="746"/>
      <c r="I93" s="746">
        <f>IFERROR(VLOOKUP(A93,'TB Other'!A:M,12,0),0)+IFERROR(VLOOKUP(A93,'TB Other'!A:M,13,0),0)</f>
        <v>0</v>
      </c>
      <c r="J93" s="746"/>
      <c r="K93" s="747">
        <f>SUM(C93:J93)</f>
        <v>26273701.959999997</v>
      </c>
      <c r="L93" s="734">
        <v>14745293.17</v>
      </c>
      <c r="M93" s="746">
        <v>-76823</v>
      </c>
      <c r="N93" s="746">
        <v>99243</v>
      </c>
      <c r="O93" s="746"/>
      <c r="P93" s="746">
        <v>2041375</v>
      </c>
      <c r="Q93" s="746"/>
      <c r="R93" s="746"/>
      <c r="S93" s="746"/>
      <c r="T93" s="747">
        <f>SUM(L93:S93)</f>
        <v>16809088.170000002</v>
      </c>
      <c r="U93" s="215">
        <f t="shared" si="49"/>
        <v>9464613.7899999954</v>
      </c>
    </row>
    <row r="94" spans="1:24">
      <c r="B94" s="756"/>
      <c r="C94" s="734">
        <f t="shared" ref="C94:T94" si="54">SUM(C92:C93)</f>
        <v>26585645.309999999</v>
      </c>
      <c r="D94" s="746">
        <f t="shared" si="54"/>
        <v>0</v>
      </c>
      <c r="E94" s="746">
        <f t="shared" si="54"/>
        <v>51847</v>
      </c>
      <c r="F94" s="746">
        <f t="shared" si="54"/>
        <v>-374192</v>
      </c>
      <c r="G94" s="746">
        <f t="shared" si="54"/>
        <v>10401.65</v>
      </c>
      <c r="H94" s="746">
        <f t="shared" si="54"/>
        <v>0</v>
      </c>
      <c r="I94" s="746">
        <f t="shared" ref="I94:J94" si="55">SUM(I92:I93)</f>
        <v>0</v>
      </c>
      <c r="J94" s="746">
        <f t="shared" si="55"/>
        <v>0</v>
      </c>
      <c r="K94" s="758">
        <f t="shared" si="54"/>
        <v>26273701.959999997</v>
      </c>
      <c r="L94" s="734">
        <f t="shared" si="54"/>
        <v>14745293.17</v>
      </c>
      <c r="M94" s="746">
        <f t="shared" ref="M94:Q94" si="56">SUM(M92:M93)</f>
        <v>-76823</v>
      </c>
      <c r="N94" s="746">
        <f t="shared" si="56"/>
        <v>99243</v>
      </c>
      <c r="O94" s="746">
        <f t="shared" si="56"/>
        <v>0</v>
      </c>
      <c r="P94" s="746">
        <f t="shared" si="56"/>
        <v>2041375</v>
      </c>
      <c r="Q94" s="746">
        <f t="shared" si="56"/>
        <v>0</v>
      </c>
      <c r="R94" s="746">
        <f t="shared" ref="R94:S94" si="57">SUM(R92:R93)</f>
        <v>0</v>
      </c>
      <c r="S94" s="746">
        <f t="shared" si="57"/>
        <v>0</v>
      </c>
      <c r="T94" s="747">
        <f t="shared" si="54"/>
        <v>16809088.170000002</v>
      </c>
      <c r="U94" s="748">
        <f t="shared" si="49"/>
        <v>9464613.7899999954</v>
      </c>
    </row>
    <row r="95" spans="1:24" ht="16" thickBot="1">
      <c r="B95" s="756"/>
      <c r="C95" s="734"/>
      <c r="D95" s="746"/>
      <c r="E95" s="746"/>
      <c r="F95" s="746"/>
      <c r="G95" s="746"/>
      <c r="H95" s="746"/>
      <c r="I95" s="746"/>
      <c r="J95" s="746"/>
      <c r="K95" s="747"/>
      <c r="L95" s="734"/>
      <c r="M95" s="746"/>
      <c r="N95" s="746"/>
      <c r="O95" s="746"/>
      <c r="P95" s="746"/>
      <c r="Q95" s="746"/>
      <c r="R95" s="746"/>
      <c r="S95" s="746"/>
      <c r="T95" s="747"/>
      <c r="U95" s="748"/>
    </row>
    <row r="96" spans="1:24" ht="17" thickTop="1" thickBot="1">
      <c r="A96" s="749"/>
      <c r="B96" s="750" t="s">
        <v>51</v>
      </c>
      <c r="C96" s="751">
        <f>+C94-C90</f>
        <v>-418571.97000000253</v>
      </c>
      <c r="D96" s="752">
        <f t="shared" ref="D96:T96" si="58">+D94-D90</f>
        <v>0</v>
      </c>
      <c r="E96" s="752">
        <f t="shared" si="58"/>
        <v>-63627</v>
      </c>
      <c r="F96" s="752">
        <f t="shared" si="58"/>
        <v>-374192</v>
      </c>
      <c r="G96" s="752">
        <f t="shared" si="58"/>
        <v>-42993.35</v>
      </c>
      <c r="H96" s="752">
        <f t="shared" si="58"/>
        <v>0</v>
      </c>
      <c r="I96" s="752">
        <f t="shared" ref="I96:J96" si="59">+I94-I90</f>
        <v>-903470</v>
      </c>
      <c r="J96" s="752">
        <f t="shared" si="59"/>
        <v>15605</v>
      </c>
      <c r="K96" s="753">
        <f t="shared" si="58"/>
        <v>-1787249.320000004</v>
      </c>
      <c r="L96" s="751">
        <f t="shared" si="58"/>
        <v>-11840351.83</v>
      </c>
      <c r="M96" s="752">
        <f t="shared" ref="M96:Q96" si="60">+M94-M90</f>
        <v>297369</v>
      </c>
      <c r="N96" s="752">
        <f t="shared" si="60"/>
        <v>47396</v>
      </c>
      <c r="O96" s="752">
        <f t="shared" si="60"/>
        <v>0</v>
      </c>
      <c r="P96" s="752">
        <f t="shared" si="60"/>
        <v>2030974</v>
      </c>
      <c r="Q96" s="752">
        <f t="shared" si="60"/>
        <v>0</v>
      </c>
      <c r="R96" s="752">
        <f t="shared" ref="R96:S96" si="61">+R94-R90</f>
        <v>0</v>
      </c>
      <c r="S96" s="752">
        <f t="shared" si="61"/>
        <v>0</v>
      </c>
      <c r="T96" s="754">
        <f t="shared" si="58"/>
        <v>-9464612.8299999982</v>
      </c>
      <c r="U96" s="748">
        <f>K96-T96</f>
        <v>7677363.5099999942</v>
      </c>
    </row>
    <row r="97" spans="1:20" ht="17" thickTop="1">
      <c r="A97" s="755" t="s">
        <v>370</v>
      </c>
      <c r="B97" s="745"/>
      <c r="C97" s="734"/>
      <c r="D97" s="746"/>
      <c r="E97" s="746"/>
      <c r="F97" s="746"/>
      <c r="G97" s="746"/>
      <c r="H97" s="746"/>
      <c r="I97" s="746"/>
      <c r="J97" s="746"/>
      <c r="K97" s="747"/>
      <c r="L97" s="734"/>
      <c r="M97" s="746"/>
      <c r="N97" s="746"/>
      <c r="O97" s="746"/>
      <c r="P97" s="746"/>
      <c r="Q97" s="746"/>
      <c r="R97" s="746"/>
      <c r="S97" s="746"/>
      <c r="T97" s="747"/>
    </row>
    <row r="98" spans="1:20" ht="16">
      <c r="A98" s="755" t="s">
        <v>250</v>
      </c>
      <c r="B98" s="745"/>
      <c r="C98" s="734"/>
      <c r="D98" s="746"/>
      <c r="E98" s="746"/>
      <c r="F98" s="746"/>
      <c r="G98" s="746"/>
      <c r="H98" s="746"/>
      <c r="I98" s="746"/>
      <c r="J98" s="746"/>
      <c r="K98" s="747"/>
      <c r="L98" s="734"/>
      <c r="M98" s="746"/>
      <c r="N98" s="746"/>
      <c r="O98" s="746"/>
      <c r="P98" s="746"/>
      <c r="Q98" s="746"/>
      <c r="R98" s="746"/>
      <c r="S98" s="746"/>
      <c r="T98" s="747"/>
    </row>
    <row r="99" spans="1:20" ht="16">
      <c r="A99" s="628" t="s">
        <v>172</v>
      </c>
      <c r="B99" s="745" t="s">
        <v>460</v>
      </c>
      <c r="C99" s="734">
        <f>IFERROR(VLOOKUP(A99,'TB CY'!A:G,7,)+VLOOKUP(A99,'TB CY'!A:G,6,),0)</f>
        <v>6862368</v>
      </c>
      <c r="D99" s="746"/>
      <c r="E99" s="746">
        <f>IFERROR(VLOOKUP(A99,'TB Other'!A:I,8,0),0)+IFERROR(VLOOKUP(A99,'TB Other'!A:I,9,0),0)</f>
        <v>0</v>
      </c>
      <c r="F99" s="746"/>
      <c r="G99" s="746">
        <f>IFERROR(VLOOKUP(A99,'TB Other'!A:E,4,),0)+IFERROR(VLOOKUP(A99,'TB Other'!A:E,5,),0)</f>
        <v>0</v>
      </c>
      <c r="H99" s="746"/>
      <c r="I99" s="746">
        <f>IFERROR(VLOOKUP(A99,'TB Other'!A:M,12,0),0)+IFERROR(VLOOKUP(A99,'TB Other'!A:M,13,0),0)</f>
        <v>0</v>
      </c>
      <c r="J99" s="746"/>
      <c r="K99" s="747">
        <f t="shared" ref="K99:K111" si="62">SUM(C99:J99)</f>
        <v>6862368</v>
      </c>
      <c r="L99" s="734">
        <f>VLOOKUP(A99,'TB PY'!A:G,7,)+VLOOKUP(A99,'TB PY'!A:G,6,)</f>
        <v>4895721</v>
      </c>
      <c r="M99" s="746"/>
      <c r="N99" s="746"/>
      <c r="O99" s="746"/>
      <c r="P99" s="746"/>
      <c r="Q99" s="746"/>
      <c r="R99" s="746"/>
      <c r="S99" s="746"/>
      <c r="T99" s="747">
        <f t="shared" ref="T99:T111" si="63">SUM(L99:S99)</f>
        <v>4895721</v>
      </c>
    </row>
    <row r="100" spans="1:20" ht="16">
      <c r="A100" s="628" t="s">
        <v>173</v>
      </c>
      <c r="B100" s="745" t="s">
        <v>460</v>
      </c>
      <c r="C100" s="734">
        <f>IFERROR(VLOOKUP(A100,'TB CY'!A:G,7,)+VLOOKUP(A100,'TB CY'!A:G,6,),0)</f>
        <v>1315769</v>
      </c>
      <c r="D100" s="746"/>
      <c r="E100" s="746">
        <f>IFERROR(VLOOKUP(A100,'TB Other'!A:I,8,0),0)+IFERROR(VLOOKUP(A100,'TB Other'!A:I,9,0),0)</f>
        <v>0</v>
      </c>
      <c r="F100" s="746"/>
      <c r="G100" s="746">
        <f>IFERROR(VLOOKUP(A100,'TB Other'!A:E,4,),0)+IFERROR(VLOOKUP(A100,'TB Other'!A:E,5,),0)</f>
        <v>0</v>
      </c>
      <c r="H100" s="746"/>
      <c r="I100" s="746">
        <f>IFERROR(VLOOKUP(A100,'TB Other'!A:M,12,0),0)+IFERROR(VLOOKUP(A100,'TB Other'!A:M,13,0),0)</f>
        <v>0</v>
      </c>
      <c r="J100" s="746"/>
      <c r="K100" s="747">
        <f t="shared" si="62"/>
        <v>1315769</v>
      </c>
      <c r="L100" s="734">
        <f>VLOOKUP(A100,'TB PY'!A:G,7,)+VLOOKUP(A100,'TB PY'!A:G,6,)</f>
        <v>865981</v>
      </c>
      <c r="M100" s="746"/>
      <c r="N100" s="746"/>
      <c r="O100" s="746"/>
      <c r="P100" s="746"/>
      <c r="Q100" s="746"/>
      <c r="R100" s="746"/>
      <c r="S100" s="746"/>
      <c r="T100" s="747">
        <f t="shared" si="63"/>
        <v>865981</v>
      </c>
    </row>
    <row r="101" spans="1:20" ht="16">
      <c r="A101" s="628" t="s">
        <v>174</v>
      </c>
      <c r="B101" s="745" t="s">
        <v>460</v>
      </c>
      <c r="C101" s="734">
        <f>IFERROR(VLOOKUP(A101,'TB CY'!A:G,7,)+VLOOKUP(A101,'TB CY'!A:G,6,),0)</f>
        <v>2700980</v>
      </c>
      <c r="D101" s="746"/>
      <c r="E101" s="746">
        <f>IFERROR(VLOOKUP(A101,'TB Other'!A:I,8,0),0)+IFERROR(VLOOKUP(A101,'TB Other'!A:I,9,0),0)</f>
        <v>0</v>
      </c>
      <c r="F101" s="746"/>
      <c r="G101" s="746">
        <f>IFERROR(VLOOKUP(A101,'TB Other'!A:E,4,),0)+IFERROR(VLOOKUP(A101,'TB Other'!A:E,5,),0)</f>
        <v>0</v>
      </c>
      <c r="H101" s="746"/>
      <c r="I101" s="746">
        <f>IFERROR(VLOOKUP(A101,'TB Other'!A:M,12,0),0)+IFERROR(VLOOKUP(A101,'TB Other'!A:M,13,0),0)</f>
        <v>0</v>
      </c>
      <c r="J101" s="746"/>
      <c r="K101" s="747">
        <f t="shared" si="62"/>
        <v>2700980</v>
      </c>
      <c r="L101" s="734">
        <f>VLOOKUP(A101,'TB PY'!A:G,7,)+VLOOKUP(A101,'TB PY'!A:G,6,)</f>
        <v>1937453</v>
      </c>
      <c r="M101" s="746"/>
      <c r="N101" s="746"/>
      <c r="O101" s="746"/>
      <c r="P101" s="746"/>
      <c r="Q101" s="746"/>
      <c r="R101" s="746"/>
      <c r="S101" s="746"/>
      <c r="T101" s="747">
        <f t="shared" si="63"/>
        <v>1937453</v>
      </c>
    </row>
    <row r="102" spans="1:20" ht="16">
      <c r="A102" s="628" t="s">
        <v>176</v>
      </c>
      <c r="B102" s="745" t="s">
        <v>460</v>
      </c>
      <c r="C102" s="734">
        <f>IFERROR(VLOOKUP(A102,'TB CY'!A:G,7,)+VLOOKUP(A102,'TB CY'!A:G,6,),0)</f>
        <v>316701</v>
      </c>
      <c r="D102" s="746"/>
      <c r="E102" s="746">
        <f>IFERROR(VLOOKUP(A102,'TB Other'!A:I,8,0),0)+IFERROR(VLOOKUP(A102,'TB Other'!A:I,9,0),0)</f>
        <v>0</v>
      </c>
      <c r="F102" s="746"/>
      <c r="G102" s="746">
        <f>IFERROR(VLOOKUP(A102,'TB Other'!A:E,4,),0)+IFERROR(VLOOKUP(A102,'TB Other'!A:E,5,),0)</f>
        <v>0</v>
      </c>
      <c r="H102" s="746"/>
      <c r="I102" s="746">
        <f>IFERROR(VLOOKUP(A102,'TB Other'!A:M,12,0),0)+IFERROR(VLOOKUP(A102,'TB Other'!A:M,13,0),0)</f>
        <v>0</v>
      </c>
      <c r="J102" s="746"/>
      <c r="K102" s="747">
        <f t="shared" si="62"/>
        <v>316701</v>
      </c>
      <c r="L102" s="734">
        <f>VLOOKUP(A102,'TB PY'!A:G,7,)+VLOOKUP(A102,'TB PY'!A:G,6,)</f>
        <v>281330</v>
      </c>
      <c r="M102" s="746"/>
      <c r="N102" s="746"/>
      <c r="O102" s="746"/>
      <c r="P102" s="746"/>
      <c r="Q102" s="746"/>
      <c r="R102" s="746"/>
      <c r="S102" s="746"/>
      <c r="T102" s="747">
        <f t="shared" si="63"/>
        <v>281330</v>
      </c>
    </row>
    <row r="103" spans="1:20" ht="16">
      <c r="A103" s="628" t="s">
        <v>177</v>
      </c>
      <c r="B103" s="745" t="s">
        <v>460</v>
      </c>
      <c r="C103" s="734">
        <f>IFERROR(VLOOKUP(A103,'TB CY'!A:G,7,)+VLOOKUP(A103,'TB CY'!A:G,6,),0)</f>
        <v>437324</v>
      </c>
      <c r="D103" s="746"/>
      <c r="E103" s="746">
        <f>IFERROR(VLOOKUP(A103,'TB Other'!A:I,8,0),0)+IFERROR(VLOOKUP(A103,'TB Other'!A:I,9,0),0)</f>
        <v>0</v>
      </c>
      <c r="F103" s="746"/>
      <c r="G103" s="746">
        <f>IFERROR(VLOOKUP(A103,'TB Other'!A:E,4,),0)+IFERROR(VLOOKUP(A103,'TB Other'!A:E,5,),0)</f>
        <v>0</v>
      </c>
      <c r="H103" s="746"/>
      <c r="I103" s="746">
        <f>IFERROR(VLOOKUP(A103,'TB Other'!A:M,12,0),0)+IFERROR(VLOOKUP(A103,'TB Other'!A:M,13,0),0)</f>
        <v>0</v>
      </c>
      <c r="J103" s="746"/>
      <c r="K103" s="747">
        <f t="shared" si="62"/>
        <v>437324</v>
      </c>
      <c r="L103" s="734">
        <f>VLOOKUP(A103,'TB PY'!A:G,7,)+VLOOKUP(A103,'TB PY'!A:G,6,)</f>
        <v>287391</v>
      </c>
      <c r="M103" s="746"/>
      <c r="N103" s="746"/>
      <c r="O103" s="746"/>
      <c r="P103" s="746"/>
      <c r="Q103" s="746"/>
      <c r="R103" s="746"/>
      <c r="S103" s="746"/>
      <c r="T103" s="747">
        <f t="shared" si="63"/>
        <v>287391</v>
      </c>
    </row>
    <row r="104" spans="1:20" ht="16">
      <c r="A104" s="628" t="s">
        <v>178</v>
      </c>
      <c r="B104" s="745" t="s">
        <v>460</v>
      </c>
      <c r="C104" s="734">
        <f>IFERROR(VLOOKUP(A104,'TB CY'!A:G,7,)+VLOOKUP(A104,'TB CY'!A:G,6,),0)</f>
        <v>1632173</v>
      </c>
      <c r="D104" s="746"/>
      <c r="E104" s="746">
        <f>IFERROR(VLOOKUP(A104,'TB Other'!A:I,8,0),0)+IFERROR(VLOOKUP(A104,'TB Other'!A:I,9,0),0)</f>
        <v>0</v>
      </c>
      <c r="F104" s="746"/>
      <c r="G104" s="746">
        <f>IFERROR(VLOOKUP(A104,'TB Other'!A:E,4,),0)+IFERROR(VLOOKUP(A104,'TB Other'!A:E,5,),0)</f>
        <v>0</v>
      </c>
      <c r="H104" s="746"/>
      <c r="I104" s="746">
        <f>IFERROR(VLOOKUP(A104,'TB Other'!A:M,12,0),0)+IFERROR(VLOOKUP(A104,'TB Other'!A:M,13,0),0)</f>
        <v>0</v>
      </c>
      <c r="J104" s="746"/>
      <c r="K104" s="747">
        <f t="shared" si="62"/>
        <v>1632173</v>
      </c>
      <c r="L104" s="734">
        <f>VLOOKUP(A104,'TB PY'!A:G,7,)+VLOOKUP(A104,'TB PY'!A:G,6,)</f>
        <v>1126753</v>
      </c>
      <c r="M104" s="746"/>
      <c r="N104" s="746"/>
      <c r="O104" s="746"/>
      <c r="P104" s="746"/>
      <c r="Q104" s="746"/>
      <c r="R104" s="746"/>
      <c r="S104" s="746"/>
      <c r="T104" s="747">
        <f t="shared" si="63"/>
        <v>1126753</v>
      </c>
    </row>
    <row r="105" spans="1:20" ht="16">
      <c r="A105" s="628" t="s">
        <v>179</v>
      </c>
      <c r="B105" s="745" t="s">
        <v>460</v>
      </c>
      <c r="C105" s="734">
        <f>IFERROR(VLOOKUP(A105,'TB CY'!A:G,7,)+VLOOKUP(A105,'TB CY'!A:G,6,),0)</f>
        <v>2483267</v>
      </c>
      <c r="D105" s="746"/>
      <c r="E105" s="746">
        <f>IFERROR(VLOOKUP(A105,'TB Other'!A:I,8,0),0)+IFERROR(VLOOKUP(A105,'TB Other'!A:I,9,0),0)</f>
        <v>0</v>
      </c>
      <c r="F105" s="746"/>
      <c r="G105" s="746">
        <f>IFERROR(VLOOKUP(A105,'TB Other'!A:E,4,),0)+IFERROR(VLOOKUP(A105,'TB Other'!A:E,5,),0)</f>
        <v>0</v>
      </c>
      <c r="H105" s="746"/>
      <c r="I105" s="746">
        <f>IFERROR(VLOOKUP(A105,'TB Other'!A:M,12,0),0)+IFERROR(VLOOKUP(A105,'TB Other'!A:M,13,0),0)</f>
        <v>0</v>
      </c>
      <c r="J105" s="746"/>
      <c r="K105" s="747">
        <f t="shared" si="62"/>
        <v>2483267</v>
      </c>
      <c r="L105" s="734">
        <f>VLOOKUP(A105,'TB PY'!A:G,7,)+VLOOKUP(A105,'TB PY'!A:G,6,)</f>
        <v>1816054</v>
      </c>
      <c r="M105" s="746"/>
      <c r="N105" s="746"/>
      <c r="O105" s="746"/>
      <c r="P105" s="746"/>
      <c r="Q105" s="746"/>
      <c r="R105" s="746"/>
      <c r="S105" s="746"/>
      <c r="T105" s="747">
        <f t="shared" si="63"/>
        <v>1816054</v>
      </c>
    </row>
    <row r="106" spans="1:20" ht="16">
      <c r="A106" s="628" t="s">
        <v>180</v>
      </c>
      <c r="B106" s="745" t="s">
        <v>460</v>
      </c>
      <c r="C106" s="734">
        <f>IFERROR(VLOOKUP(A106,'TB CY'!A:G,7,)+VLOOKUP(A106,'TB CY'!A:G,6,),0)</f>
        <v>1972030</v>
      </c>
      <c r="D106" s="746"/>
      <c r="E106" s="746">
        <f>IFERROR(VLOOKUP(A106,'TB Other'!A:I,8,0),0)+IFERROR(VLOOKUP(A106,'TB Other'!A:I,9,0),0)</f>
        <v>0</v>
      </c>
      <c r="F106" s="746"/>
      <c r="G106" s="746">
        <f>IFERROR(VLOOKUP(A106,'TB Other'!A:E,4,),0)+IFERROR(VLOOKUP(A106,'TB Other'!A:E,5,),0)</f>
        <v>0</v>
      </c>
      <c r="H106" s="746"/>
      <c r="I106" s="746">
        <f>IFERROR(VLOOKUP(A106,'TB Other'!A:M,12,0),0)+IFERROR(VLOOKUP(A106,'TB Other'!A:M,13,0),0)</f>
        <v>0</v>
      </c>
      <c r="J106" s="746"/>
      <c r="K106" s="747">
        <f t="shared" si="62"/>
        <v>1972030</v>
      </c>
      <c r="L106" s="734">
        <f>VLOOKUP(A106,'TB PY'!A:G,7,)+VLOOKUP(A106,'TB PY'!A:G,6,)</f>
        <v>1491418</v>
      </c>
      <c r="M106" s="746"/>
      <c r="N106" s="746"/>
      <c r="O106" s="746"/>
      <c r="P106" s="746"/>
      <c r="Q106" s="746"/>
      <c r="R106" s="746"/>
      <c r="S106" s="746"/>
      <c r="T106" s="747">
        <f t="shared" si="63"/>
        <v>1491418</v>
      </c>
    </row>
    <row r="107" spans="1:20" ht="16">
      <c r="A107" s="628" t="s">
        <v>181</v>
      </c>
      <c r="B107" s="745" t="s">
        <v>460</v>
      </c>
      <c r="C107" s="734">
        <f>IFERROR(VLOOKUP(A107,'TB CY'!A:G,7,)+VLOOKUP(A107,'TB CY'!A:G,6,),0)</f>
        <v>492977</v>
      </c>
      <c r="D107" s="746"/>
      <c r="E107" s="746">
        <f>IFERROR(VLOOKUP(A107,'TB Other'!A:I,8,0),0)+IFERROR(VLOOKUP(A107,'TB Other'!A:I,9,0),0)</f>
        <v>0</v>
      </c>
      <c r="F107" s="746"/>
      <c r="G107" s="746">
        <f>IFERROR(VLOOKUP(A107,'TB Other'!A:E,4,),0)+IFERROR(VLOOKUP(A107,'TB Other'!A:E,5,),0)</f>
        <v>0</v>
      </c>
      <c r="H107" s="746"/>
      <c r="I107" s="746">
        <f>IFERROR(VLOOKUP(A107,'TB Other'!A:M,12,0),0)+IFERROR(VLOOKUP(A107,'TB Other'!A:M,13,0),0)</f>
        <v>0</v>
      </c>
      <c r="J107" s="746"/>
      <c r="K107" s="747">
        <f t="shared" si="62"/>
        <v>492977</v>
      </c>
      <c r="L107" s="734">
        <f>VLOOKUP(A107,'TB PY'!A:G,7,)+VLOOKUP(A107,'TB PY'!A:G,6,)</f>
        <v>354324</v>
      </c>
      <c r="M107" s="746"/>
      <c r="N107" s="746"/>
      <c r="O107" s="746"/>
      <c r="P107" s="746"/>
      <c r="Q107" s="746"/>
      <c r="R107" s="746"/>
      <c r="S107" s="746"/>
      <c r="T107" s="747">
        <f t="shared" si="63"/>
        <v>354324</v>
      </c>
    </row>
    <row r="108" spans="1:20" ht="16">
      <c r="A108" s="628" t="s">
        <v>182</v>
      </c>
      <c r="B108" s="745" t="s">
        <v>460</v>
      </c>
      <c r="C108" s="734">
        <f>IFERROR(VLOOKUP(A108,'TB CY'!A:G,7,)+VLOOKUP(A108,'TB CY'!A:G,6,),0)</f>
        <v>389239</v>
      </c>
      <c r="D108" s="746"/>
      <c r="E108" s="746">
        <f>IFERROR(VLOOKUP(A108,'TB Other'!A:I,8,0),0)+IFERROR(VLOOKUP(A108,'TB Other'!A:I,9,0),0)</f>
        <v>0</v>
      </c>
      <c r="F108" s="746"/>
      <c r="G108" s="746">
        <f>IFERROR(VLOOKUP(A108,'TB Other'!A:E,4,),0)+IFERROR(VLOOKUP(A108,'TB Other'!A:E,5,),0)</f>
        <v>0</v>
      </c>
      <c r="H108" s="746"/>
      <c r="I108" s="746">
        <f>IFERROR(VLOOKUP(A108,'TB Other'!A:M,12,0),0)+IFERROR(VLOOKUP(A108,'TB Other'!A:M,13,0),0)</f>
        <v>0</v>
      </c>
      <c r="J108" s="746"/>
      <c r="K108" s="747">
        <f t="shared" si="62"/>
        <v>389239</v>
      </c>
      <c r="L108" s="734">
        <f>VLOOKUP(A108,'TB PY'!A:G,7,)+VLOOKUP(A108,'TB PY'!A:G,6,)</f>
        <v>589828</v>
      </c>
      <c r="M108" s="746"/>
      <c r="N108" s="746"/>
      <c r="O108" s="746"/>
      <c r="P108" s="746"/>
      <c r="Q108" s="746"/>
      <c r="R108" s="746"/>
      <c r="S108" s="746"/>
      <c r="T108" s="747">
        <f t="shared" si="63"/>
        <v>589828</v>
      </c>
    </row>
    <row r="109" spans="1:20" ht="16">
      <c r="A109" s="628" t="s">
        <v>188</v>
      </c>
      <c r="B109" s="745" t="s">
        <v>460</v>
      </c>
      <c r="C109" s="734">
        <f>IFERROR(VLOOKUP(A109,'TB CY'!A:G,7,)+VLOOKUP(A109,'TB CY'!A:G,6,),0)</f>
        <v>437075</v>
      </c>
      <c r="D109" s="746"/>
      <c r="E109" s="746">
        <f>IFERROR(VLOOKUP(A109,'TB Other'!A:I,8,0),0)+IFERROR(VLOOKUP(A109,'TB Other'!A:I,9,0),0)</f>
        <v>0</v>
      </c>
      <c r="F109" s="746"/>
      <c r="G109" s="746">
        <f>IFERROR(VLOOKUP(A109,'TB Other'!A:E,4,),0)+IFERROR(VLOOKUP(A109,'TB Other'!A:E,5,),0)</f>
        <v>0</v>
      </c>
      <c r="H109" s="746"/>
      <c r="I109" s="746">
        <f>IFERROR(VLOOKUP(A109,'TB Other'!A:M,12,0),0)+IFERROR(VLOOKUP(A109,'TB Other'!A:M,13,0),0)</f>
        <v>0</v>
      </c>
      <c r="J109" s="746"/>
      <c r="K109" s="747">
        <f t="shared" si="62"/>
        <v>437075</v>
      </c>
      <c r="L109" s="734">
        <f>VLOOKUP(A109,'TB PY'!A:G,7,)+VLOOKUP(A109,'TB PY'!A:G,6,)</f>
        <v>351236</v>
      </c>
      <c r="M109" s="746"/>
      <c r="N109" s="746"/>
      <c r="O109" s="746"/>
      <c r="P109" s="746"/>
      <c r="Q109" s="746"/>
      <c r="R109" s="746"/>
      <c r="S109" s="746"/>
      <c r="T109" s="747">
        <f t="shared" si="63"/>
        <v>351236</v>
      </c>
    </row>
    <row r="110" spans="1:20" ht="16">
      <c r="A110" s="628" t="s">
        <v>221</v>
      </c>
      <c r="B110" s="745" t="s">
        <v>460</v>
      </c>
      <c r="C110" s="734">
        <f>IFERROR(VLOOKUP(A110,'TB CY'!A:G,7,)+VLOOKUP(A110,'TB CY'!A:G,6,),0)</f>
        <v>378547</v>
      </c>
      <c r="D110" s="746"/>
      <c r="E110" s="746">
        <f>IFERROR(VLOOKUP(A110,'TB Other'!A:I,8,0),0)+IFERROR(VLOOKUP(A110,'TB Other'!A:I,9,0),0)</f>
        <v>0</v>
      </c>
      <c r="F110" s="746"/>
      <c r="G110" s="746">
        <f>IFERROR(VLOOKUP(A110,'TB Other'!A:E,4,),0)+IFERROR(VLOOKUP(A110,'TB Other'!A:E,5,),0)</f>
        <v>0</v>
      </c>
      <c r="H110" s="746"/>
      <c r="I110" s="746">
        <f>IFERROR(VLOOKUP(A110,'TB Other'!A:M,12,0),0)+IFERROR(VLOOKUP(A110,'TB Other'!A:M,13,0),0)</f>
        <v>0</v>
      </c>
      <c r="J110" s="746"/>
      <c r="K110" s="747">
        <f t="shared" si="62"/>
        <v>378547</v>
      </c>
      <c r="L110" s="734">
        <f>VLOOKUP(A110,'TB PY'!A:G,7,)+VLOOKUP(A110,'TB PY'!A:G,6,)</f>
        <v>306791</v>
      </c>
      <c r="M110" s="746"/>
      <c r="N110" s="746"/>
      <c r="O110" s="746"/>
      <c r="P110" s="746"/>
      <c r="Q110" s="746"/>
      <c r="R110" s="746"/>
      <c r="S110" s="746"/>
      <c r="T110" s="747">
        <f t="shared" si="63"/>
        <v>306791</v>
      </c>
    </row>
    <row r="111" spans="1:20" ht="16">
      <c r="A111" s="628" t="s">
        <v>527</v>
      </c>
      <c r="B111" s="745" t="s">
        <v>460</v>
      </c>
      <c r="C111" s="734">
        <f>IFERROR(VLOOKUP(A111,'TB CY'!A:G,7,)+VLOOKUP(A111,'TB CY'!A:G,6,),0)</f>
        <v>0</v>
      </c>
      <c r="D111" s="746"/>
      <c r="E111" s="746">
        <f>IFERROR(VLOOKUP(A111,'TB Other'!A:I,8,0),0)+IFERROR(VLOOKUP(A111,'TB Other'!A:I,9,0),0)</f>
        <v>0</v>
      </c>
      <c r="F111" s="746"/>
      <c r="G111" s="746">
        <f>IFERROR(VLOOKUP(A111,'TB Other'!A:E,4,),0)+IFERROR(VLOOKUP(A111,'TB Other'!A:E,5,),0)</f>
        <v>0</v>
      </c>
      <c r="H111" s="746"/>
      <c r="I111" s="746">
        <f>IFERROR(VLOOKUP(A111,'TB Other'!A:M,12,0),0)+IFERROR(VLOOKUP(A111,'TB Other'!A:M,13,0),0)</f>
        <v>0</v>
      </c>
      <c r="J111" s="746"/>
      <c r="K111" s="747">
        <f t="shared" si="62"/>
        <v>0</v>
      </c>
      <c r="L111" s="734">
        <f>VLOOKUP(A111,'TB PY'!A:G,7,)+VLOOKUP(A111,'TB PY'!A:G,6,)</f>
        <v>9900</v>
      </c>
      <c r="M111" s="746"/>
      <c r="N111" s="746"/>
      <c r="O111" s="746"/>
      <c r="P111" s="746"/>
      <c r="Q111" s="746"/>
      <c r="R111" s="746"/>
      <c r="S111" s="746"/>
      <c r="T111" s="747">
        <f t="shared" si="63"/>
        <v>9900</v>
      </c>
    </row>
    <row r="112" spans="1:20" ht="16" thickBot="1">
      <c r="B112" s="745"/>
      <c r="C112" s="734"/>
      <c r="D112" s="746"/>
      <c r="E112" s="746"/>
      <c r="F112" s="746"/>
      <c r="G112" s="746"/>
      <c r="H112" s="746"/>
      <c r="I112" s="746"/>
      <c r="J112" s="746"/>
      <c r="K112" s="747"/>
      <c r="L112" s="734"/>
      <c r="M112" s="746"/>
      <c r="N112" s="746"/>
      <c r="O112" s="746"/>
      <c r="P112" s="746"/>
      <c r="Q112" s="746"/>
      <c r="R112" s="746"/>
      <c r="S112" s="746"/>
      <c r="T112" s="747"/>
    </row>
    <row r="113" spans="1:21" ht="17" thickTop="1" thickBot="1">
      <c r="A113" s="749"/>
      <c r="B113" s="750" t="s">
        <v>51</v>
      </c>
      <c r="C113" s="751">
        <f t="shared" ref="C113:T113" si="64">SUM(C99:C111)</f>
        <v>19418450</v>
      </c>
      <c r="D113" s="752">
        <f t="shared" si="64"/>
        <v>0</v>
      </c>
      <c r="E113" s="752">
        <f t="shared" si="64"/>
        <v>0</v>
      </c>
      <c r="F113" s="752">
        <f t="shared" si="64"/>
        <v>0</v>
      </c>
      <c r="G113" s="752">
        <f t="shared" si="64"/>
        <v>0</v>
      </c>
      <c r="H113" s="752">
        <f t="shared" si="64"/>
        <v>0</v>
      </c>
      <c r="I113" s="752">
        <f t="shared" ref="I113:J113" si="65">SUM(I99:I111)</f>
        <v>0</v>
      </c>
      <c r="J113" s="752">
        <f t="shared" si="65"/>
        <v>0</v>
      </c>
      <c r="K113" s="753">
        <f t="shared" si="64"/>
        <v>19418450</v>
      </c>
      <c r="L113" s="751">
        <f t="shared" si="64"/>
        <v>14314180</v>
      </c>
      <c r="M113" s="752">
        <f t="shared" ref="M113:Q113" si="66">SUM(M99:M111)</f>
        <v>0</v>
      </c>
      <c r="N113" s="752">
        <f t="shared" si="66"/>
        <v>0</v>
      </c>
      <c r="O113" s="752">
        <f t="shared" si="66"/>
        <v>0</v>
      </c>
      <c r="P113" s="752">
        <f t="shared" si="66"/>
        <v>0</v>
      </c>
      <c r="Q113" s="752">
        <f t="shared" si="66"/>
        <v>0</v>
      </c>
      <c r="R113" s="752">
        <f t="shared" ref="R113:S113" si="67">SUM(R99:R111)</f>
        <v>0</v>
      </c>
      <c r="S113" s="752">
        <f t="shared" si="67"/>
        <v>0</v>
      </c>
      <c r="T113" s="754">
        <f t="shared" si="64"/>
        <v>14314180</v>
      </c>
      <c r="U113" s="748">
        <f>K113-T113</f>
        <v>5104270</v>
      </c>
    </row>
    <row r="114" spans="1:21" ht="16" thickTop="1">
      <c r="B114" s="745"/>
      <c r="C114" s="734"/>
      <c r="D114" s="746"/>
      <c r="E114" s="746"/>
      <c r="F114" s="746"/>
      <c r="G114" s="746"/>
      <c r="H114" s="746"/>
      <c r="I114" s="746"/>
      <c r="J114" s="746"/>
      <c r="K114" s="747"/>
      <c r="L114" s="734"/>
      <c r="M114" s="746"/>
      <c r="N114" s="746"/>
      <c r="O114" s="746"/>
      <c r="P114" s="746"/>
      <c r="Q114" s="746"/>
      <c r="R114" s="746"/>
      <c r="S114" s="746"/>
      <c r="T114" s="747"/>
    </row>
    <row r="115" spans="1:21" ht="32">
      <c r="A115" s="628" t="s">
        <v>1233</v>
      </c>
      <c r="B115" s="745"/>
      <c r="C115" s="734"/>
      <c r="D115" s="746"/>
      <c r="E115" s="746"/>
      <c r="F115" s="746"/>
      <c r="G115" s="746"/>
      <c r="H115" s="746"/>
      <c r="I115" s="746"/>
      <c r="J115" s="746"/>
      <c r="K115" s="747"/>
      <c r="L115" s="734"/>
      <c r="M115" s="746"/>
      <c r="N115" s="746"/>
      <c r="O115" s="746"/>
      <c r="P115" s="746"/>
      <c r="Q115" s="746"/>
      <c r="R115" s="746"/>
      <c r="S115" s="746"/>
      <c r="T115" s="747"/>
    </row>
    <row r="116" spans="1:21" ht="16">
      <c r="A116" s="628" t="s">
        <v>199</v>
      </c>
      <c r="B116" s="745" t="s">
        <v>460</v>
      </c>
      <c r="C116" s="734">
        <f>IFERROR(VLOOKUP(A116,'TB CY'!A:G,7,)+VLOOKUP(A116,'TB CY'!A:G,6,),0)</f>
        <v>433270</v>
      </c>
      <c r="D116" s="746"/>
      <c r="E116" s="746">
        <f>IFERROR(VLOOKUP(A116,'TB Other'!A:I,8,0),0)+IFERROR(VLOOKUP(A116,'TB Other'!A:I,9,0),0)</f>
        <v>0</v>
      </c>
      <c r="F116" s="746"/>
      <c r="G116" s="746">
        <f>IFERROR(VLOOKUP(A116,'TB Other'!A:E,4,),0)+IFERROR(VLOOKUP(A116,'TB Other'!A:E,5,),0)</f>
        <v>0</v>
      </c>
      <c r="H116" s="746"/>
      <c r="I116" s="746">
        <f>IFERROR(VLOOKUP(A116,'TB Other'!A:M,12,0),0)+IFERROR(VLOOKUP(A116,'TB Other'!A:M,13,0),0)</f>
        <v>0</v>
      </c>
      <c r="J116" s="746"/>
      <c r="K116" s="747">
        <f t="shared" ref="K116:K119" si="68">SUM(C116:J116)</f>
        <v>433270</v>
      </c>
      <c r="L116" s="734">
        <f>VLOOKUP(A116,'TB PY'!A:G,7,)+VLOOKUP(A116,'TB PY'!A:G,6,)</f>
        <v>355405</v>
      </c>
      <c r="M116" s="746"/>
      <c r="N116" s="746"/>
      <c r="O116" s="746"/>
      <c r="P116" s="746"/>
      <c r="Q116" s="746"/>
      <c r="R116" s="746"/>
      <c r="S116" s="746"/>
      <c r="T116" s="747">
        <f t="shared" ref="T116:T119" si="69">SUM(L116:S116)</f>
        <v>355405</v>
      </c>
    </row>
    <row r="117" spans="1:21" ht="16">
      <c r="A117" s="628" t="s">
        <v>211</v>
      </c>
      <c r="B117" s="745" t="s">
        <v>460</v>
      </c>
      <c r="C117" s="734">
        <f>IFERROR(VLOOKUP(A117,'TB CY'!A:G,7,)+VLOOKUP(A117,'TB CY'!A:G,6,),0)</f>
        <v>63190</v>
      </c>
      <c r="D117" s="746"/>
      <c r="E117" s="746">
        <f>IFERROR(VLOOKUP(A117,'TB Other'!A:I,8,0),0)+IFERROR(VLOOKUP(A117,'TB Other'!A:I,9,0),0)</f>
        <v>0</v>
      </c>
      <c r="F117" s="746"/>
      <c r="G117" s="746">
        <f>IFERROR(VLOOKUP(A117,'TB Other'!A:E,4,),0)+IFERROR(VLOOKUP(A117,'TB Other'!A:E,5,),0)</f>
        <v>0</v>
      </c>
      <c r="H117" s="746"/>
      <c r="I117" s="746">
        <f>IFERROR(VLOOKUP(A117,'TB Other'!A:M,12,0),0)+IFERROR(VLOOKUP(A117,'TB Other'!A:M,13,0),0)</f>
        <v>0</v>
      </c>
      <c r="J117" s="746"/>
      <c r="K117" s="747">
        <f t="shared" si="68"/>
        <v>63190</v>
      </c>
      <c r="L117" s="734">
        <f>VLOOKUP(A117,'TB PY'!A:G,7,)+VLOOKUP(A117,'TB PY'!A:G,6,)</f>
        <v>46503</v>
      </c>
      <c r="M117" s="746"/>
      <c r="N117" s="746"/>
      <c r="O117" s="746"/>
      <c r="P117" s="746"/>
      <c r="Q117" s="746"/>
      <c r="R117" s="746"/>
      <c r="S117" s="746"/>
      <c r="T117" s="747">
        <f t="shared" si="69"/>
        <v>46503</v>
      </c>
    </row>
    <row r="118" spans="1:21" ht="16">
      <c r="A118" s="628" t="s">
        <v>212</v>
      </c>
      <c r="B118" s="745" t="s">
        <v>460</v>
      </c>
      <c r="C118" s="734">
        <f>IFERROR(VLOOKUP(A118,'TB CY'!A:G,7,)+VLOOKUP(A118,'TB CY'!A:G,6,),0)</f>
        <v>398536</v>
      </c>
      <c r="D118" s="746"/>
      <c r="E118" s="746">
        <f>IFERROR(VLOOKUP(A118,'TB Other'!A:I,8,0),0)+IFERROR(VLOOKUP(A118,'TB Other'!A:I,9,0),0)</f>
        <v>0</v>
      </c>
      <c r="F118" s="746"/>
      <c r="G118" s="746">
        <f>IFERROR(VLOOKUP(A118,'TB Other'!A:E,4,),0)+IFERROR(VLOOKUP(A118,'TB Other'!A:E,5,),0)</f>
        <v>0</v>
      </c>
      <c r="H118" s="746"/>
      <c r="I118" s="746">
        <f>IFERROR(VLOOKUP(A118,'TB Other'!A:M,12,0),0)+IFERROR(VLOOKUP(A118,'TB Other'!A:M,13,0),0)</f>
        <v>0</v>
      </c>
      <c r="J118" s="746"/>
      <c r="K118" s="747">
        <f t="shared" si="68"/>
        <v>398536</v>
      </c>
      <c r="L118" s="734">
        <f>VLOOKUP(A118,'TB PY'!A:G,7,)+VLOOKUP(A118,'TB PY'!A:G,6,)</f>
        <v>237921</v>
      </c>
      <c r="M118" s="746"/>
      <c r="N118" s="746"/>
      <c r="O118" s="746"/>
      <c r="P118" s="746"/>
      <c r="Q118" s="746"/>
      <c r="R118" s="746"/>
      <c r="S118" s="746"/>
      <c r="T118" s="747">
        <f t="shared" si="69"/>
        <v>237921</v>
      </c>
    </row>
    <row r="119" spans="1:21" ht="16">
      <c r="A119" s="628" t="s">
        <v>1266</v>
      </c>
      <c r="B119" s="745" t="s">
        <v>460</v>
      </c>
      <c r="C119" s="734">
        <f>IFERROR(VLOOKUP(A119,'TB CY'!A:G,7,)+VLOOKUP(A119,'TB CY'!A:G,6,),0)</f>
        <v>26029</v>
      </c>
      <c r="D119" s="746"/>
      <c r="E119" s="746">
        <f>IFERROR(VLOOKUP(A119,'TB Other'!A:I,8,0),0)+IFERROR(VLOOKUP(A119,'TB Other'!A:I,9,0),0)</f>
        <v>0</v>
      </c>
      <c r="F119" s="746"/>
      <c r="G119" s="746">
        <f>IFERROR(VLOOKUP(A119,'TB Other'!A:E,4,),0)+IFERROR(VLOOKUP(A119,'TB Other'!A:E,5,),0)</f>
        <v>0</v>
      </c>
      <c r="H119" s="746"/>
      <c r="I119" s="746">
        <f>IFERROR(VLOOKUP(A119,'TB Other'!A:M,12,0),0)+IFERROR(VLOOKUP(A119,'TB Other'!A:M,13,0),0)</f>
        <v>0</v>
      </c>
      <c r="J119" s="746"/>
      <c r="K119" s="747">
        <f t="shared" si="68"/>
        <v>26029</v>
      </c>
      <c r="L119" s="734">
        <f>VLOOKUP(A119,'TB PY'!A:G,7,)+VLOOKUP(A119,'TB PY'!A:G,6,)</f>
        <v>1639</v>
      </c>
      <c r="M119" s="746"/>
      <c r="N119" s="746"/>
      <c r="O119" s="746"/>
      <c r="P119" s="746"/>
      <c r="Q119" s="746"/>
      <c r="R119" s="746"/>
      <c r="S119" s="746"/>
      <c r="T119" s="747">
        <f t="shared" si="69"/>
        <v>1639</v>
      </c>
    </row>
    <row r="120" spans="1:21" ht="16" thickBot="1">
      <c r="B120" s="745"/>
      <c r="C120" s="734"/>
      <c r="D120" s="746"/>
      <c r="E120" s="746"/>
      <c r="F120" s="746"/>
      <c r="G120" s="746"/>
      <c r="H120" s="746"/>
      <c r="I120" s="746"/>
      <c r="J120" s="746"/>
      <c r="K120" s="747"/>
      <c r="L120" s="734"/>
      <c r="M120" s="746"/>
      <c r="N120" s="746"/>
      <c r="O120" s="746"/>
      <c r="P120" s="746"/>
      <c r="Q120" s="746"/>
      <c r="R120" s="746"/>
      <c r="S120" s="746"/>
      <c r="T120" s="747"/>
    </row>
    <row r="121" spans="1:21" ht="17" thickTop="1" thickBot="1">
      <c r="A121" s="749"/>
      <c r="B121" s="750" t="s">
        <v>51</v>
      </c>
      <c r="C121" s="751">
        <f>SUM(C115:C120)</f>
        <v>921025</v>
      </c>
      <c r="D121" s="752">
        <f t="shared" ref="D121:T121" si="70">SUM(D115:D120)</f>
        <v>0</v>
      </c>
      <c r="E121" s="752">
        <f t="shared" si="70"/>
        <v>0</v>
      </c>
      <c r="F121" s="752">
        <f t="shared" si="70"/>
        <v>0</v>
      </c>
      <c r="G121" s="752">
        <f t="shared" si="70"/>
        <v>0</v>
      </c>
      <c r="H121" s="752">
        <f t="shared" si="70"/>
        <v>0</v>
      </c>
      <c r="I121" s="752">
        <f t="shared" ref="I121:J121" si="71">SUM(I115:I120)</f>
        <v>0</v>
      </c>
      <c r="J121" s="752">
        <f t="shared" si="71"/>
        <v>0</v>
      </c>
      <c r="K121" s="753">
        <f t="shared" si="70"/>
        <v>921025</v>
      </c>
      <c r="L121" s="751">
        <f t="shared" si="70"/>
        <v>641468</v>
      </c>
      <c r="M121" s="752">
        <f t="shared" ref="M121:Q121" si="72">SUM(M115:M120)</f>
        <v>0</v>
      </c>
      <c r="N121" s="752">
        <f t="shared" si="72"/>
        <v>0</v>
      </c>
      <c r="O121" s="752">
        <f t="shared" si="72"/>
        <v>0</v>
      </c>
      <c r="P121" s="752">
        <f t="shared" si="72"/>
        <v>0</v>
      </c>
      <c r="Q121" s="752">
        <f t="shared" si="72"/>
        <v>0</v>
      </c>
      <c r="R121" s="752">
        <f t="shared" ref="R121:S121" si="73">SUM(R115:R120)</f>
        <v>0</v>
      </c>
      <c r="S121" s="752">
        <f t="shared" si="73"/>
        <v>0</v>
      </c>
      <c r="T121" s="754">
        <f t="shared" si="70"/>
        <v>641468</v>
      </c>
      <c r="U121" s="748">
        <f>K121-T121</f>
        <v>279557</v>
      </c>
    </row>
    <row r="122" spans="1:21" ht="16" thickTop="1">
      <c r="B122" s="745"/>
      <c r="C122" s="734"/>
      <c r="D122" s="746"/>
      <c r="E122" s="746"/>
      <c r="F122" s="746"/>
      <c r="G122" s="746"/>
      <c r="H122" s="746"/>
      <c r="I122" s="746"/>
      <c r="J122" s="746"/>
      <c r="K122" s="747"/>
      <c r="L122" s="734"/>
      <c r="M122" s="746"/>
      <c r="N122" s="746"/>
      <c r="O122" s="746"/>
      <c r="P122" s="746"/>
      <c r="Q122" s="746"/>
      <c r="R122" s="746"/>
      <c r="S122" s="746"/>
      <c r="T122" s="747"/>
    </row>
    <row r="123" spans="1:21" ht="16">
      <c r="A123" s="755" t="s">
        <v>1234</v>
      </c>
      <c r="B123" s="745"/>
      <c r="C123" s="734"/>
      <c r="D123" s="746"/>
      <c r="E123" s="746"/>
      <c r="F123" s="746"/>
      <c r="G123" s="746"/>
      <c r="H123" s="746"/>
      <c r="I123" s="746"/>
      <c r="J123" s="746"/>
      <c r="K123" s="747"/>
      <c r="L123" s="734"/>
      <c r="M123" s="746"/>
      <c r="N123" s="746"/>
      <c r="O123" s="746"/>
      <c r="P123" s="746"/>
      <c r="Q123" s="746"/>
      <c r="R123" s="746"/>
      <c r="S123" s="746"/>
      <c r="T123" s="747"/>
    </row>
    <row r="124" spans="1:21" ht="16">
      <c r="A124" s="628" t="s">
        <v>128</v>
      </c>
      <c r="B124" s="745" t="s">
        <v>461</v>
      </c>
      <c r="C124" s="734"/>
      <c r="D124" s="746">
        <f>'AE 22_23'!C3</f>
        <v>210410</v>
      </c>
      <c r="E124" s="746"/>
      <c r="F124" s="746"/>
      <c r="G124" s="746"/>
      <c r="H124" s="746"/>
      <c r="I124" s="746"/>
      <c r="J124" s="746"/>
      <c r="K124" s="747">
        <f>SUM(C124:J124)</f>
        <v>210410</v>
      </c>
      <c r="L124" s="734">
        <f>VLOOKUP(A124,'TB PY'!A:G,7,)+VLOOKUP(A124,'TB PY'!A:G,6,)</f>
        <v>188986</v>
      </c>
      <c r="M124" s="746"/>
      <c r="N124" s="746"/>
      <c r="O124" s="746"/>
      <c r="P124" s="746"/>
      <c r="Q124" s="746"/>
      <c r="R124" s="746"/>
      <c r="S124" s="746"/>
      <c r="T124" s="747">
        <f>SUM(L124:S124)</f>
        <v>188986</v>
      </c>
    </row>
    <row r="125" spans="1:21" ht="16" thickBot="1">
      <c r="B125" s="745"/>
      <c r="C125" s="734"/>
      <c r="D125" s="746"/>
      <c r="E125" s="746"/>
      <c r="F125" s="746"/>
      <c r="G125" s="746"/>
      <c r="H125" s="746"/>
      <c r="I125" s="746"/>
      <c r="J125" s="746"/>
      <c r="K125" s="747"/>
      <c r="L125" s="734"/>
      <c r="M125" s="746"/>
      <c r="N125" s="746"/>
      <c r="O125" s="746"/>
      <c r="P125" s="746"/>
      <c r="Q125" s="746"/>
      <c r="R125" s="746"/>
      <c r="S125" s="746"/>
      <c r="T125" s="747"/>
    </row>
    <row r="126" spans="1:21" ht="17" thickTop="1" thickBot="1">
      <c r="A126" s="749"/>
      <c r="B126" s="750" t="s">
        <v>51</v>
      </c>
      <c r="C126" s="751">
        <f>SUM(C124:C125)</f>
        <v>0</v>
      </c>
      <c r="D126" s="752">
        <f t="shared" ref="D126:T126" si="74">SUM(D124:D125)</f>
        <v>210410</v>
      </c>
      <c r="E126" s="752">
        <f t="shared" si="74"/>
        <v>0</v>
      </c>
      <c r="F126" s="752">
        <f t="shared" si="74"/>
        <v>0</v>
      </c>
      <c r="G126" s="752">
        <f t="shared" si="74"/>
        <v>0</v>
      </c>
      <c r="H126" s="752">
        <f t="shared" si="74"/>
        <v>0</v>
      </c>
      <c r="I126" s="752">
        <f t="shared" ref="I126:J126" si="75">SUM(I124:I125)</f>
        <v>0</v>
      </c>
      <c r="J126" s="752">
        <f t="shared" si="75"/>
        <v>0</v>
      </c>
      <c r="K126" s="754">
        <f t="shared" si="74"/>
        <v>210410</v>
      </c>
      <c r="L126" s="751">
        <f t="shared" si="74"/>
        <v>188986</v>
      </c>
      <c r="M126" s="752">
        <f t="shared" ref="M126:Q126" si="76">SUM(M124:M125)</f>
        <v>0</v>
      </c>
      <c r="N126" s="752">
        <f t="shared" si="76"/>
        <v>0</v>
      </c>
      <c r="O126" s="752">
        <f t="shared" si="76"/>
        <v>0</v>
      </c>
      <c r="P126" s="752">
        <f t="shared" si="76"/>
        <v>0</v>
      </c>
      <c r="Q126" s="752">
        <f t="shared" si="76"/>
        <v>0</v>
      </c>
      <c r="R126" s="752">
        <f t="shared" ref="R126:S126" si="77">SUM(R124:R125)</f>
        <v>0</v>
      </c>
      <c r="S126" s="752">
        <f t="shared" si="77"/>
        <v>0</v>
      </c>
      <c r="T126" s="754">
        <f t="shared" si="74"/>
        <v>188986</v>
      </c>
      <c r="U126" s="748">
        <f>K126-T126</f>
        <v>21424</v>
      </c>
    </row>
    <row r="127" spans="1:21" ht="16" thickTop="1">
      <c r="B127" s="745"/>
      <c r="C127" s="734"/>
      <c r="D127" s="746"/>
      <c r="E127" s="746"/>
      <c r="F127" s="746"/>
      <c r="G127" s="746"/>
      <c r="H127" s="746"/>
      <c r="I127" s="746"/>
      <c r="J127" s="746"/>
      <c r="K127" s="747"/>
      <c r="L127" s="734"/>
      <c r="M127" s="746"/>
      <c r="N127" s="746"/>
      <c r="O127" s="746"/>
      <c r="P127" s="746"/>
      <c r="Q127" s="746"/>
      <c r="R127" s="746"/>
      <c r="S127" s="746"/>
      <c r="T127" s="747"/>
    </row>
    <row r="128" spans="1:21" ht="16">
      <c r="A128" s="755" t="s">
        <v>1573</v>
      </c>
      <c r="B128" s="745"/>
      <c r="C128" s="734"/>
      <c r="D128" s="746"/>
      <c r="E128" s="746"/>
      <c r="F128" s="746"/>
      <c r="G128" s="746"/>
      <c r="H128" s="746"/>
      <c r="I128" s="746"/>
      <c r="J128" s="746"/>
      <c r="K128" s="747"/>
      <c r="L128" s="734"/>
      <c r="M128" s="746"/>
      <c r="N128" s="746"/>
      <c r="O128" s="746"/>
      <c r="P128" s="746"/>
      <c r="Q128" s="746"/>
      <c r="R128" s="746"/>
      <c r="S128" s="746"/>
      <c r="T128" s="747"/>
    </row>
    <row r="129" spans="1:21" ht="16">
      <c r="A129" s="628" t="s">
        <v>1330</v>
      </c>
      <c r="B129" s="745" t="s">
        <v>460</v>
      </c>
      <c r="C129" s="734">
        <f>IFERROR(VLOOKUP(A129,'TB CY'!A:G,7,)+VLOOKUP(A129,'TB CY'!A:G,6,),0)</f>
        <v>0</v>
      </c>
      <c r="D129" s="746"/>
      <c r="E129" s="746">
        <f>IFERROR(VLOOKUP(A129,'TB Other'!A:I,8,0),0)+IFERROR(VLOOKUP(A129,'TB Other'!A:I,9,0),0)</f>
        <v>0</v>
      </c>
      <c r="F129" s="746"/>
      <c r="G129" s="746">
        <f>IFERROR(VLOOKUP(A129,'TB Other'!A:E,4,),0)+IFERROR(VLOOKUP(A129,'TB Other'!A:E,5,),0)</f>
        <v>0</v>
      </c>
      <c r="H129" s="746"/>
      <c r="I129" s="746">
        <f>IFERROR(VLOOKUP(A129,'TB Other'!A:M,12,0),0)+IFERROR(VLOOKUP(A129,'TB Other'!A:M,13,0),0)</f>
        <v>0</v>
      </c>
      <c r="J129" s="746"/>
      <c r="K129" s="747">
        <f t="shared" ref="K129:K130" si="78">SUM(C129:J129)</f>
        <v>0</v>
      </c>
      <c r="L129" s="734">
        <f>VLOOKUP(A129,'TB PY'!A:G,7,)+VLOOKUP(A129,'TB PY'!A:G,6,)</f>
        <v>520646</v>
      </c>
      <c r="M129" s="746">
        <v>-131889</v>
      </c>
      <c r="N129" s="746"/>
      <c r="O129" s="746"/>
      <c r="P129" s="746"/>
      <c r="Q129" s="746"/>
      <c r="R129" s="746"/>
      <c r="S129" s="746"/>
      <c r="T129" s="747">
        <f t="shared" ref="T129:T130" si="79">SUM(L129:S129)</f>
        <v>388757</v>
      </c>
    </row>
    <row r="130" spans="1:21" ht="17" thickBot="1">
      <c r="A130" s="628" t="s">
        <v>1076</v>
      </c>
      <c r="B130" s="745" t="s">
        <v>460</v>
      </c>
      <c r="C130" s="734">
        <f>IFERROR(VLOOKUP(A130,'TB CY'!A:G,7,)+VLOOKUP(A130,'TB CY'!A:G,6,),0)</f>
        <v>130041</v>
      </c>
      <c r="D130" s="746">
        <f>'AE 22_23'!C13</f>
        <v>349231</v>
      </c>
      <c r="E130" s="746">
        <f>IFERROR(VLOOKUP(A130,'TB Other'!A:I,8,0),0)+IFERROR(VLOOKUP(A130,'TB Other'!A:I,9,0),0)</f>
        <v>0</v>
      </c>
      <c r="F130" s="746"/>
      <c r="G130" s="746">
        <f>IFERROR(VLOOKUP(A130,'TB Other'!A:E,4,),0)+IFERROR(VLOOKUP(A130,'TB Other'!A:E,5,),0)</f>
        <v>0</v>
      </c>
      <c r="H130" s="746"/>
      <c r="I130" s="746">
        <f>IFERROR(VLOOKUP(A130,'TB Other'!A:M,12,0),0)+IFERROR(VLOOKUP(A130,'TB Other'!A:M,13,0),0)</f>
        <v>0</v>
      </c>
      <c r="J130" s="746"/>
      <c r="K130" s="747">
        <f t="shared" si="78"/>
        <v>479272</v>
      </c>
      <c r="L130" s="734">
        <f>VLOOKUP(A130,'TB PY'!A:G,7,)+VLOOKUP(A130,'TB PY'!A:G,6,)</f>
        <v>104616</v>
      </c>
      <c r="M130" s="746"/>
      <c r="N130" s="746"/>
      <c r="O130" s="746"/>
      <c r="P130" s="746"/>
      <c r="Q130" s="746"/>
      <c r="R130" s="746"/>
      <c r="S130" s="746"/>
      <c r="T130" s="747">
        <f t="shared" si="79"/>
        <v>104616</v>
      </c>
    </row>
    <row r="131" spans="1:21" ht="17" thickTop="1" thickBot="1">
      <c r="A131" s="749"/>
      <c r="B131" s="750" t="s">
        <v>51</v>
      </c>
      <c r="C131" s="751">
        <f t="shared" ref="C131:H131" si="80">SUM(C129:C130)</f>
        <v>130041</v>
      </c>
      <c r="D131" s="752">
        <f t="shared" si="80"/>
        <v>349231</v>
      </c>
      <c r="E131" s="752">
        <f t="shared" si="80"/>
        <v>0</v>
      </c>
      <c r="F131" s="752">
        <f t="shared" si="80"/>
        <v>0</v>
      </c>
      <c r="G131" s="752">
        <f t="shared" si="80"/>
        <v>0</v>
      </c>
      <c r="H131" s="752">
        <f t="shared" si="80"/>
        <v>0</v>
      </c>
      <c r="I131" s="752">
        <f t="shared" ref="I131:J131" si="81">SUM(I129:I130)</f>
        <v>0</v>
      </c>
      <c r="J131" s="752">
        <f t="shared" si="81"/>
        <v>0</v>
      </c>
      <c r="K131" s="753">
        <f>SUM(K129:K130)</f>
        <v>479272</v>
      </c>
      <c r="L131" s="751">
        <f t="shared" ref="L131:T131" si="82">SUM(L129:L130)</f>
        <v>625262</v>
      </c>
      <c r="M131" s="752">
        <f t="shared" si="82"/>
        <v>-131889</v>
      </c>
      <c r="N131" s="752">
        <f t="shared" si="82"/>
        <v>0</v>
      </c>
      <c r="O131" s="752">
        <f t="shared" si="82"/>
        <v>0</v>
      </c>
      <c r="P131" s="752">
        <f t="shared" si="82"/>
        <v>0</v>
      </c>
      <c r="Q131" s="752">
        <f t="shared" si="82"/>
        <v>0</v>
      </c>
      <c r="R131" s="752">
        <f t="shared" ref="R131:S131" si="83">SUM(R129:R130)</f>
        <v>0</v>
      </c>
      <c r="S131" s="752">
        <f t="shared" si="83"/>
        <v>0</v>
      </c>
      <c r="T131" s="754">
        <f t="shared" si="82"/>
        <v>493373</v>
      </c>
      <c r="U131" s="748">
        <f>K131-T131</f>
        <v>-14101</v>
      </c>
    </row>
    <row r="132" spans="1:21" ht="16" thickTop="1">
      <c r="B132" s="756"/>
      <c r="C132" s="734"/>
      <c r="D132" s="746"/>
      <c r="E132" s="746"/>
      <c r="F132" s="746"/>
      <c r="G132" s="746"/>
      <c r="H132" s="746"/>
      <c r="I132" s="746"/>
      <c r="J132" s="746"/>
      <c r="K132" s="747"/>
      <c r="L132" s="734"/>
      <c r="M132" s="746"/>
      <c r="N132" s="746"/>
      <c r="O132" s="746"/>
      <c r="P132" s="746"/>
      <c r="Q132" s="746"/>
      <c r="R132" s="746"/>
      <c r="S132" s="746"/>
      <c r="T132" s="747"/>
      <c r="U132" s="748"/>
    </row>
    <row r="133" spans="1:21" ht="32">
      <c r="A133" s="759" t="s">
        <v>577</v>
      </c>
      <c r="B133" s="745" t="s">
        <v>461</v>
      </c>
      <c r="C133" s="734"/>
      <c r="D133" s="746"/>
      <c r="E133" s="746"/>
      <c r="F133" s="746"/>
      <c r="G133" s="746"/>
      <c r="H133" s="746"/>
      <c r="I133" s="746"/>
      <c r="J133" s="746"/>
      <c r="K133" s="747">
        <f>SUM(C133:J133)</f>
        <v>0</v>
      </c>
      <c r="L133" s="734">
        <v>2073850</v>
      </c>
      <c r="M133" s="746"/>
      <c r="N133" s="746"/>
      <c r="O133" s="746"/>
      <c r="P133" s="746"/>
      <c r="Q133" s="746"/>
      <c r="R133" s="746"/>
      <c r="S133" s="746"/>
      <c r="T133" s="747">
        <f>SUM(L133:S133)</f>
        <v>2073850</v>
      </c>
    </row>
    <row r="134" spans="1:21" ht="16" thickBot="1">
      <c r="A134" s="269"/>
      <c r="B134" s="745"/>
      <c r="C134" s="734"/>
      <c r="D134" s="746"/>
      <c r="E134" s="746"/>
      <c r="F134" s="746"/>
      <c r="G134" s="746"/>
      <c r="H134" s="746"/>
      <c r="I134" s="746"/>
      <c r="J134" s="746"/>
      <c r="K134" s="747"/>
      <c r="L134" s="734"/>
      <c r="M134" s="746"/>
      <c r="N134" s="746"/>
      <c r="O134" s="746"/>
      <c r="P134" s="746"/>
      <c r="Q134" s="746"/>
      <c r="R134" s="746"/>
      <c r="S134" s="746"/>
      <c r="T134" s="747"/>
    </row>
    <row r="135" spans="1:21" ht="17" thickTop="1" thickBot="1">
      <c r="A135" s="749"/>
      <c r="B135" s="750" t="s">
        <v>51</v>
      </c>
      <c r="C135" s="751">
        <f>SUM(C133:C134)</f>
        <v>0</v>
      </c>
      <c r="D135" s="752">
        <f t="shared" ref="D135:T135" si="84">SUM(D133:D134)</f>
        <v>0</v>
      </c>
      <c r="E135" s="752">
        <f t="shared" si="84"/>
        <v>0</v>
      </c>
      <c r="F135" s="752">
        <f t="shared" si="84"/>
        <v>0</v>
      </c>
      <c r="G135" s="752">
        <f t="shared" si="84"/>
        <v>0</v>
      </c>
      <c r="H135" s="752">
        <f t="shared" si="84"/>
        <v>0</v>
      </c>
      <c r="I135" s="752">
        <f t="shared" ref="I135:J135" si="85">SUM(I133:I134)</f>
        <v>0</v>
      </c>
      <c r="J135" s="752">
        <f t="shared" si="85"/>
        <v>0</v>
      </c>
      <c r="K135" s="754">
        <f t="shared" si="84"/>
        <v>0</v>
      </c>
      <c r="L135" s="751">
        <f t="shared" si="84"/>
        <v>2073850</v>
      </c>
      <c r="M135" s="752">
        <f t="shared" ref="M135:Q135" si="86">SUM(M133:M134)</f>
        <v>0</v>
      </c>
      <c r="N135" s="752">
        <f t="shared" si="86"/>
        <v>0</v>
      </c>
      <c r="O135" s="752">
        <f t="shared" si="86"/>
        <v>0</v>
      </c>
      <c r="P135" s="752">
        <f t="shared" si="86"/>
        <v>0</v>
      </c>
      <c r="Q135" s="752">
        <f t="shared" si="86"/>
        <v>0</v>
      </c>
      <c r="R135" s="752">
        <f t="shared" ref="R135:S135" si="87">SUM(R133:R134)</f>
        <v>0</v>
      </c>
      <c r="S135" s="752">
        <f t="shared" si="87"/>
        <v>0</v>
      </c>
      <c r="T135" s="754">
        <f t="shared" si="84"/>
        <v>2073850</v>
      </c>
      <c r="U135" s="748">
        <f>K135-T135</f>
        <v>-2073850</v>
      </c>
    </row>
    <row r="136" spans="1:21" ht="16" thickTop="1">
      <c r="A136" s="223" t="s">
        <v>251</v>
      </c>
      <c r="B136" s="745"/>
      <c r="C136" s="734"/>
      <c r="D136" s="746"/>
      <c r="E136" s="746"/>
      <c r="F136" s="746"/>
      <c r="G136" s="746"/>
      <c r="H136" s="746"/>
      <c r="I136" s="746"/>
      <c r="J136" s="746"/>
      <c r="K136" s="747"/>
      <c r="L136" s="734"/>
      <c r="M136" s="746"/>
      <c r="N136" s="746"/>
      <c r="O136" s="746"/>
      <c r="P136" s="746"/>
      <c r="Q136" s="746"/>
      <c r="R136" s="746"/>
      <c r="S136" s="746"/>
      <c r="T136" s="747"/>
    </row>
    <row r="137" spans="1:21">
      <c r="A137" s="269" t="s">
        <v>220</v>
      </c>
      <c r="B137" s="745" t="s">
        <v>460</v>
      </c>
      <c r="C137" s="734">
        <f>IFERROR(VLOOKUP(A137,'TB CY'!A:G,7,)+VLOOKUP(A137,'TB CY'!A:G,6,),0)</f>
        <v>434236</v>
      </c>
      <c r="D137" s="746"/>
      <c r="E137" s="746">
        <f>IFERROR(VLOOKUP(A137,'TB Other'!A:I,8,0),0)+IFERROR(VLOOKUP(A137,'TB Other'!A:I,9,0),0)</f>
        <v>0</v>
      </c>
      <c r="F137" s="746"/>
      <c r="G137" s="746">
        <f>IFERROR(VLOOKUP(A137,'TB Other'!A:E,4,),0)+IFERROR(VLOOKUP(A137,'TB Other'!A:E,5,),0)</f>
        <v>0</v>
      </c>
      <c r="H137" s="746"/>
      <c r="I137" s="746">
        <f>IFERROR(VLOOKUP(A137,'TB Other'!A:M,12,0),0)+IFERROR(VLOOKUP(A137,'TB Other'!A:M,13,0),0)</f>
        <v>0</v>
      </c>
      <c r="J137" s="746"/>
      <c r="K137" s="747">
        <f t="shared" ref="K137:K139" si="88">SUM(C137:J137)</f>
        <v>434236</v>
      </c>
      <c r="L137" s="734">
        <f>VLOOKUP(A137,'TB PY'!A:G,7,)+VLOOKUP(A137,'TB PY'!A:G,6,)</f>
        <v>213307.08</v>
      </c>
      <c r="M137" s="746"/>
      <c r="N137" s="746"/>
      <c r="O137" s="746"/>
      <c r="P137" s="746"/>
      <c r="Q137" s="746"/>
      <c r="R137" s="746"/>
      <c r="S137" s="746"/>
      <c r="T137" s="747">
        <f t="shared" ref="T137:T139" si="89">SUM(L137:S137)</f>
        <v>213307.08</v>
      </c>
    </row>
    <row r="138" spans="1:21">
      <c r="A138" s="269" t="s">
        <v>537</v>
      </c>
      <c r="B138" s="745" t="s">
        <v>460</v>
      </c>
      <c r="C138" s="734">
        <f>IFERROR(VLOOKUP(A138,'TB CY'!A:G,7,)+VLOOKUP(A138,'TB CY'!A:G,6,),0)</f>
        <v>45400</v>
      </c>
      <c r="D138" s="746"/>
      <c r="E138" s="746">
        <f>IFERROR(VLOOKUP(A138,'TB Other'!A:I,8,0),0)+IFERROR(VLOOKUP(A138,'TB Other'!A:I,9,0),0)</f>
        <v>0</v>
      </c>
      <c r="F138" s="746"/>
      <c r="G138" s="746">
        <f>IFERROR(VLOOKUP(A138,'TB Other'!A:E,4,),0)+IFERROR(VLOOKUP(A138,'TB Other'!A:E,5,),0)</f>
        <v>0</v>
      </c>
      <c r="H138" s="746"/>
      <c r="I138" s="746">
        <f>IFERROR(VLOOKUP(A138,'TB Other'!A:M,12,0),0)+IFERROR(VLOOKUP(A138,'TB Other'!A:M,13,0),0)</f>
        <v>0</v>
      </c>
      <c r="J138" s="746"/>
      <c r="K138" s="747">
        <f t="shared" si="88"/>
        <v>45400</v>
      </c>
      <c r="L138" s="734">
        <f>VLOOKUP(A138,'TB PY'!A:G,7,)+VLOOKUP(A138,'TB PY'!A:G,6,)</f>
        <v>13751</v>
      </c>
      <c r="M138" s="746"/>
      <c r="N138" s="746"/>
      <c r="O138" s="746"/>
      <c r="P138" s="746"/>
      <c r="Q138" s="746"/>
      <c r="R138" s="746"/>
      <c r="S138" s="746"/>
      <c r="T138" s="747">
        <f t="shared" si="89"/>
        <v>13751</v>
      </c>
    </row>
    <row r="139" spans="1:21">
      <c r="A139" s="269" t="s">
        <v>1550</v>
      </c>
      <c r="B139" s="745" t="s">
        <v>460</v>
      </c>
      <c r="C139" s="734">
        <f>IFERROR(VLOOKUP(A139,'TB CY'!A:G,7,)+VLOOKUP(A139,'TB CY'!A:G,6,),0)</f>
        <v>83741.899999999994</v>
      </c>
      <c r="D139" s="746"/>
      <c r="E139" s="746">
        <f>IFERROR(VLOOKUP(A139,'TB Other'!A:I,8,0),0)+IFERROR(VLOOKUP(A139,'TB Other'!A:I,9,0),0)</f>
        <v>0</v>
      </c>
      <c r="F139" s="746"/>
      <c r="G139" s="746">
        <f>IFERROR(VLOOKUP(A139,'TB Other'!A:E,4,),0)+IFERROR(VLOOKUP(A139,'TB Other'!A:E,5,),0)</f>
        <v>0</v>
      </c>
      <c r="H139" s="746"/>
      <c r="I139" s="746">
        <f>IFERROR(VLOOKUP(A139,'TB Other'!A:M,12,0),0)+IFERROR(VLOOKUP(A139,'TB Other'!A:M,13,0),0)</f>
        <v>0</v>
      </c>
      <c r="J139" s="746"/>
      <c r="K139" s="747">
        <f t="shared" si="88"/>
        <v>83741.899999999994</v>
      </c>
      <c r="L139" s="734">
        <f>IFERROR(VLOOKUP(A139,'TB PY'!A:G,7,),0)+IFERROR(VLOOKUP(A139,'TB PY'!A:G,6,),0)</f>
        <v>0</v>
      </c>
      <c r="M139" s="746"/>
      <c r="N139" s="746"/>
      <c r="O139" s="746"/>
      <c r="P139" s="746"/>
      <c r="Q139" s="746"/>
      <c r="R139" s="746"/>
      <c r="S139" s="746"/>
      <c r="T139" s="747">
        <f t="shared" si="89"/>
        <v>0</v>
      </c>
    </row>
    <row r="140" spans="1:21" ht="16" thickBot="1">
      <c r="A140" s="269"/>
      <c r="B140" s="745"/>
      <c r="C140" s="734"/>
      <c r="D140" s="746"/>
      <c r="E140" s="746"/>
      <c r="F140" s="746"/>
      <c r="G140" s="746"/>
      <c r="H140" s="746"/>
      <c r="I140" s="746"/>
      <c r="J140" s="746"/>
      <c r="K140" s="747"/>
      <c r="L140" s="734"/>
      <c r="M140" s="746"/>
      <c r="N140" s="746"/>
      <c r="O140" s="746"/>
      <c r="P140" s="746"/>
      <c r="Q140" s="746"/>
      <c r="R140" s="746"/>
      <c r="S140" s="746"/>
      <c r="T140" s="747"/>
    </row>
    <row r="141" spans="1:21" ht="17" thickTop="1" thickBot="1">
      <c r="A141" s="749"/>
      <c r="B141" s="750" t="s">
        <v>51</v>
      </c>
      <c r="C141" s="751">
        <f>SUM(C137:C140)</f>
        <v>563377.9</v>
      </c>
      <c r="D141" s="752">
        <f t="shared" ref="D141:T141" si="90">SUM(D137:D140)</f>
        <v>0</v>
      </c>
      <c r="E141" s="752">
        <f t="shared" si="90"/>
        <v>0</v>
      </c>
      <c r="F141" s="752">
        <f t="shared" si="90"/>
        <v>0</v>
      </c>
      <c r="G141" s="752">
        <f t="shared" si="90"/>
        <v>0</v>
      </c>
      <c r="H141" s="752">
        <f t="shared" si="90"/>
        <v>0</v>
      </c>
      <c r="I141" s="752">
        <f t="shared" ref="I141:J141" si="91">SUM(I137:I140)</f>
        <v>0</v>
      </c>
      <c r="J141" s="752">
        <f t="shared" si="91"/>
        <v>0</v>
      </c>
      <c r="K141" s="753">
        <f t="shared" si="90"/>
        <v>563377.9</v>
      </c>
      <c r="L141" s="751">
        <f t="shared" si="90"/>
        <v>227058.08</v>
      </c>
      <c r="M141" s="752">
        <f t="shared" ref="M141:Q141" si="92">SUM(M137:M140)</f>
        <v>0</v>
      </c>
      <c r="N141" s="752">
        <f t="shared" si="92"/>
        <v>0</v>
      </c>
      <c r="O141" s="752">
        <f t="shared" si="92"/>
        <v>0</v>
      </c>
      <c r="P141" s="752">
        <f t="shared" si="92"/>
        <v>0</v>
      </c>
      <c r="Q141" s="752">
        <f t="shared" si="92"/>
        <v>0</v>
      </c>
      <c r="R141" s="752">
        <f t="shared" ref="R141:S141" si="93">SUM(R137:R140)</f>
        <v>0</v>
      </c>
      <c r="S141" s="752">
        <f t="shared" si="93"/>
        <v>0</v>
      </c>
      <c r="T141" s="754">
        <f t="shared" si="90"/>
        <v>227058.08</v>
      </c>
      <c r="U141" s="748">
        <f>K141-T141</f>
        <v>336319.82000000007</v>
      </c>
    </row>
    <row r="142" spans="1:21" ht="16" thickTop="1">
      <c r="B142" s="756"/>
      <c r="C142" s="734"/>
      <c r="D142" s="746"/>
      <c r="E142" s="746"/>
      <c r="F142" s="746"/>
      <c r="G142" s="746"/>
      <c r="H142" s="746"/>
      <c r="I142" s="746"/>
      <c r="J142" s="746"/>
      <c r="K142" s="747"/>
      <c r="L142" s="734"/>
      <c r="M142" s="746"/>
      <c r="N142" s="746"/>
      <c r="O142" s="746"/>
      <c r="P142" s="746"/>
      <c r="Q142" s="746"/>
      <c r="R142" s="746"/>
      <c r="S142" s="746"/>
      <c r="T142" s="747"/>
      <c r="U142" s="748"/>
    </row>
    <row r="143" spans="1:21" ht="16">
      <c r="A143" s="755" t="s">
        <v>371</v>
      </c>
      <c r="B143" s="756"/>
      <c r="C143" s="734"/>
      <c r="D143" s="746"/>
      <c r="E143" s="746"/>
      <c r="F143" s="746"/>
      <c r="G143" s="746"/>
      <c r="H143" s="746"/>
      <c r="I143" s="746"/>
      <c r="J143" s="746"/>
      <c r="K143" s="747"/>
      <c r="L143" s="734"/>
      <c r="M143" s="746"/>
      <c r="N143" s="746"/>
      <c r="O143" s="746"/>
      <c r="P143" s="746"/>
      <c r="Q143" s="746"/>
      <c r="R143" s="746"/>
      <c r="S143" s="746"/>
      <c r="T143" s="747"/>
      <c r="U143" s="748"/>
    </row>
    <row r="144" spans="1:21" ht="16">
      <c r="A144" s="628" t="s">
        <v>1044</v>
      </c>
      <c r="B144" s="756"/>
      <c r="C144" s="734"/>
      <c r="D144" s="746"/>
      <c r="E144" s="746"/>
      <c r="F144" s="746"/>
      <c r="G144" s="746"/>
      <c r="H144" s="746"/>
      <c r="I144" s="746"/>
      <c r="J144" s="746"/>
      <c r="K144" s="747"/>
      <c r="L144" s="734"/>
      <c r="M144" s="746"/>
      <c r="N144" s="746"/>
      <c r="O144" s="746"/>
      <c r="P144" s="746"/>
      <c r="Q144" s="746"/>
      <c r="R144" s="746"/>
      <c r="S144" s="746"/>
      <c r="T144" s="747"/>
      <c r="U144" s="748"/>
    </row>
    <row r="145" spans="1:21" ht="16">
      <c r="A145" s="628" t="s">
        <v>202</v>
      </c>
      <c r="B145" s="745" t="s">
        <v>460</v>
      </c>
      <c r="C145" s="734">
        <f>IFERROR(VLOOKUP(A145,'TB CY'!A:G,7,)+VLOOKUP(A145,'TB CY'!A:G,6,),0)</f>
        <v>297208</v>
      </c>
      <c r="D145" s="746"/>
      <c r="E145" s="746">
        <f>IFERROR(VLOOKUP(A145,'TB Other'!A:I,8,0),0)+IFERROR(VLOOKUP(A145,'TB Other'!A:I,9,0),0)</f>
        <v>0</v>
      </c>
      <c r="F145" s="746"/>
      <c r="G145" s="746">
        <f>IFERROR(VLOOKUP(A145,'TB Other'!A:E,4,),0)+IFERROR(VLOOKUP(A145,'TB Other'!A:E,5,),0)</f>
        <v>0</v>
      </c>
      <c r="H145" s="746"/>
      <c r="I145" s="746">
        <f>IFERROR(VLOOKUP(A145,'TB Other'!A:M,12,0),0)+IFERROR(VLOOKUP(A145,'TB Other'!A:M,13,0),0)</f>
        <v>0</v>
      </c>
      <c r="J145" s="746"/>
      <c r="K145" s="747">
        <f t="shared" ref="K145:K146" si="94">SUM(C145:J145)</f>
        <v>297208</v>
      </c>
      <c r="L145" s="734">
        <f>VLOOKUP(A145,'TB PY'!A:G,7,)+VLOOKUP(A145,'TB PY'!A:G,6,)</f>
        <v>1891187</v>
      </c>
      <c r="M145" s="746"/>
      <c r="N145" s="746"/>
      <c r="O145" s="746"/>
      <c r="P145" s="746"/>
      <c r="Q145" s="746"/>
      <c r="R145" s="746"/>
      <c r="S145" s="746"/>
      <c r="T145" s="747">
        <f t="shared" ref="T145:T146" si="95">SUM(L145:S145)</f>
        <v>1891187</v>
      </c>
      <c r="U145" s="748"/>
    </row>
    <row r="146" spans="1:21" ht="16">
      <c r="A146" s="628" t="s">
        <v>309</v>
      </c>
      <c r="B146" s="745" t="s">
        <v>460</v>
      </c>
      <c r="C146" s="734">
        <f>IFERROR(VLOOKUP(A146,'TB CY'!A:G,7,)+VLOOKUP(A146,'TB CY'!A:G,6,),0)</f>
        <v>0</v>
      </c>
      <c r="D146" s="746"/>
      <c r="E146" s="746">
        <f>IFERROR(VLOOKUP(A146,'TB Other'!A:I,8,0),0)+IFERROR(VLOOKUP(A146,'TB Other'!A:I,9,0),0)</f>
        <v>0</v>
      </c>
      <c r="F146" s="746"/>
      <c r="G146" s="746">
        <f>IFERROR(VLOOKUP(A146,'TB Other'!A:E,4,),0)+IFERROR(VLOOKUP(A146,'TB Other'!A:E,5,),0)</f>
        <v>0</v>
      </c>
      <c r="H146" s="746"/>
      <c r="I146" s="746">
        <f>IFERROR(VLOOKUP(A146,'TB Other'!A:M,12,0),0)+IFERROR(VLOOKUP(A146,'TB Other'!A:M,13,0),0)</f>
        <v>0</v>
      </c>
      <c r="J146" s="746"/>
      <c r="K146" s="747">
        <f t="shared" si="94"/>
        <v>0</v>
      </c>
      <c r="L146" s="734">
        <f>VLOOKUP(A146,'TB PY'!A:G,7,)+VLOOKUP(A146,'TB PY'!A:G,6,)</f>
        <v>30024.63</v>
      </c>
      <c r="M146" s="746">
        <v>-24151</v>
      </c>
      <c r="N146" s="746"/>
      <c r="O146" s="746"/>
      <c r="P146" s="746"/>
      <c r="Q146" s="746"/>
      <c r="R146" s="746"/>
      <c r="S146" s="746"/>
      <c r="T146" s="747">
        <f t="shared" si="95"/>
        <v>5873.630000000001</v>
      </c>
      <c r="U146" s="748"/>
    </row>
    <row r="147" spans="1:21" ht="16" thickBot="1">
      <c r="B147" s="756"/>
      <c r="C147" s="734"/>
      <c r="D147" s="746"/>
      <c r="E147" s="746"/>
      <c r="F147" s="746"/>
      <c r="G147" s="746"/>
      <c r="H147" s="746"/>
      <c r="I147" s="746"/>
      <c r="J147" s="746"/>
      <c r="K147" s="747"/>
      <c r="L147" s="734"/>
      <c r="M147" s="746"/>
      <c r="N147" s="746"/>
      <c r="O147" s="746"/>
      <c r="P147" s="746"/>
      <c r="Q147" s="746"/>
      <c r="R147" s="746"/>
      <c r="S147" s="746"/>
      <c r="T147" s="747"/>
      <c r="U147" s="748"/>
    </row>
    <row r="148" spans="1:21" ht="17" thickTop="1" thickBot="1">
      <c r="A148" s="749"/>
      <c r="B148" s="750" t="s">
        <v>51</v>
      </c>
      <c r="C148" s="751">
        <f>SUM(C144:C147)</f>
        <v>297208</v>
      </c>
      <c r="D148" s="752">
        <f t="shared" ref="D148:T148" si="96">SUM(D144:D147)</f>
        <v>0</v>
      </c>
      <c r="E148" s="752">
        <f t="shared" si="96"/>
        <v>0</v>
      </c>
      <c r="F148" s="752">
        <f t="shared" si="96"/>
        <v>0</v>
      </c>
      <c r="G148" s="752">
        <f t="shared" si="96"/>
        <v>0</v>
      </c>
      <c r="H148" s="752">
        <f t="shared" si="96"/>
        <v>0</v>
      </c>
      <c r="I148" s="752">
        <f t="shared" ref="I148:J148" si="97">SUM(I144:I147)</f>
        <v>0</v>
      </c>
      <c r="J148" s="752">
        <f t="shared" si="97"/>
        <v>0</v>
      </c>
      <c r="K148" s="754">
        <f t="shared" si="96"/>
        <v>297208</v>
      </c>
      <c r="L148" s="751">
        <f t="shared" si="96"/>
        <v>1921211.63</v>
      </c>
      <c r="M148" s="752">
        <f t="shared" ref="M148:Q148" si="98">SUM(M144:M147)</f>
        <v>-24151</v>
      </c>
      <c r="N148" s="752">
        <f t="shared" si="98"/>
        <v>0</v>
      </c>
      <c r="O148" s="752">
        <f t="shared" si="98"/>
        <v>0</v>
      </c>
      <c r="P148" s="752">
        <f t="shared" si="98"/>
        <v>0</v>
      </c>
      <c r="Q148" s="752">
        <f t="shared" si="98"/>
        <v>0</v>
      </c>
      <c r="R148" s="752">
        <f t="shared" ref="R148:S148" si="99">SUM(R144:R147)</f>
        <v>0</v>
      </c>
      <c r="S148" s="752">
        <f t="shared" si="99"/>
        <v>0</v>
      </c>
      <c r="T148" s="754">
        <f t="shared" si="96"/>
        <v>1897060.63</v>
      </c>
      <c r="U148" s="748">
        <f>K148-T148</f>
        <v>-1599852.63</v>
      </c>
    </row>
    <row r="149" spans="1:21" ht="16" thickTop="1">
      <c r="A149" s="223" t="s">
        <v>1235</v>
      </c>
      <c r="B149" s="745"/>
      <c r="C149" s="734"/>
      <c r="D149" s="746"/>
      <c r="E149" s="746"/>
      <c r="F149" s="746"/>
      <c r="G149" s="746"/>
      <c r="H149" s="746"/>
      <c r="I149" s="746"/>
      <c r="J149" s="746"/>
      <c r="K149" s="747"/>
      <c r="L149" s="734"/>
      <c r="M149" s="746"/>
      <c r="N149" s="746"/>
      <c r="O149" s="746"/>
      <c r="P149" s="746"/>
      <c r="Q149" s="746"/>
      <c r="R149" s="746"/>
      <c r="S149" s="746"/>
      <c r="T149" s="747"/>
    </row>
    <row r="150" spans="1:21" ht="16">
      <c r="A150" s="628" t="s">
        <v>201</v>
      </c>
      <c r="B150" s="745" t="s">
        <v>460</v>
      </c>
      <c r="C150" s="734">
        <f>IFERROR(VLOOKUP(A150,'TB CY'!A:G,7,)+VLOOKUP(A150,'TB CY'!A:G,6,),0)</f>
        <v>0</v>
      </c>
      <c r="D150" s="746"/>
      <c r="E150" s="746">
        <f>IFERROR(VLOOKUP(A150,'TB Other'!A:I,8,0),0)+IFERROR(VLOOKUP(A150,'TB Other'!A:I,9,0),0)</f>
        <v>0</v>
      </c>
      <c r="F150" s="746"/>
      <c r="G150" s="746">
        <f>IFERROR(VLOOKUP(A150,'TB Other'!A:E,4,),0)+IFERROR(VLOOKUP(A150,'TB Other'!A:E,5,),0)</f>
        <v>0</v>
      </c>
      <c r="H150" s="746"/>
      <c r="I150" s="746">
        <f>IFERROR(VLOOKUP(A150,'TB Other'!A:M,12,0),0)+IFERROR(VLOOKUP(A150,'TB Other'!A:M,13,0),0)</f>
        <v>0</v>
      </c>
      <c r="J150" s="746"/>
      <c r="K150" s="747">
        <f>SUM(C150:J150)</f>
        <v>0</v>
      </c>
      <c r="L150" s="734">
        <f>VLOOKUP(A150,'TB PY'!A:G,7,)+VLOOKUP(A150,'TB PY'!A:G,6,)</f>
        <v>1013333</v>
      </c>
      <c r="M150" s="746"/>
      <c r="N150" s="746"/>
      <c r="O150" s="746"/>
      <c r="P150" s="746"/>
      <c r="Q150" s="746"/>
      <c r="R150" s="746"/>
      <c r="S150" s="746"/>
      <c r="T150" s="747">
        <f>SUM(L150:S150)</f>
        <v>1013333</v>
      </c>
      <c r="U150" s="748"/>
    </row>
    <row r="151" spans="1:21" ht="16" thickBot="1">
      <c r="B151" s="756"/>
      <c r="C151" s="734"/>
      <c r="D151" s="746"/>
      <c r="E151" s="746"/>
      <c r="F151" s="746"/>
      <c r="G151" s="746"/>
      <c r="H151" s="746"/>
      <c r="I151" s="746"/>
      <c r="J151" s="746"/>
      <c r="K151" s="747"/>
      <c r="L151" s="734"/>
      <c r="M151" s="746"/>
      <c r="N151" s="746"/>
      <c r="O151" s="746"/>
      <c r="P151" s="746"/>
      <c r="Q151" s="746"/>
      <c r="R151" s="746"/>
      <c r="S151" s="746"/>
      <c r="T151" s="747"/>
      <c r="U151" s="748"/>
    </row>
    <row r="152" spans="1:21" ht="17" thickTop="1" thickBot="1">
      <c r="A152" s="749"/>
      <c r="B152" s="750" t="s">
        <v>51</v>
      </c>
      <c r="C152" s="751">
        <f>SUM(C149:C151)</f>
        <v>0</v>
      </c>
      <c r="D152" s="752">
        <f t="shared" ref="D152:T152" si="100">SUM(D149:D151)</f>
        <v>0</v>
      </c>
      <c r="E152" s="752">
        <f t="shared" si="100"/>
        <v>0</v>
      </c>
      <c r="F152" s="752">
        <f t="shared" si="100"/>
        <v>0</v>
      </c>
      <c r="G152" s="752">
        <f t="shared" si="100"/>
        <v>0</v>
      </c>
      <c r="H152" s="752">
        <f t="shared" si="100"/>
        <v>0</v>
      </c>
      <c r="I152" s="752">
        <f t="shared" ref="I152:J152" si="101">SUM(I149:I151)</f>
        <v>0</v>
      </c>
      <c r="J152" s="752">
        <f t="shared" si="101"/>
        <v>0</v>
      </c>
      <c r="K152" s="754">
        <f t="shared" si="100"/>
        <v>0</v>
      </c>
      <c r="L152" s="751">
        <f t="shared" si="100"/>
        <v>1013333</v>
      </c>
      <c r="M152" s="752">
        <f t="shared" ref="M152:Q152" si="102">SUM(M149:M151)</f>
        <v>0</v>
      </c>
      <c r="N152" s="752">
        <f t="shared" si="102"/>
        <v>0</v>
      </c>
      <c r="O152" s="752">
        <f t="shared" si="102"/>
        <v>0</v>
      </c>
      <c r="P152" s="752">
        <f t="shared" si="102"/>
        <v>0</v>
      </c>
      <c r="Q152" s="752">
        <f t="shared" si="102"/>
        <v>0</v>
      </c>
      <c r="R152" s="752">
        <f t="shared" ref="R152:S152" si="103">SUM(R149:R151)</f>
        <v>0</v>
      </c>
      <c r="S152" s="752">
        <f t="shared" si="103"/>
        <v>0</v>
      </c>
      <c r="T152" s="754">
        <f t="shared" si="100"/>
        <v>1013333</v>
      </c>
      <c r="U152" s="748">
        <f>K152-T152</f>
        <v>-1013333</v>
      </c>
    </row>
    <row r="153" spans="1:21" ht="16" thickTop="1">
      <c r="A153" s="269"/>
      <c r="B153" s="745"/>
      <c r="C153" s="734"/>
      <c r="D153" s="746"/>
      <c r="E153" s="746"/>
      <c r="F153" s="746"/>
      <c r="G153" s="746"/>
      <c r="H153" s="746"/>
      <c r="I153" s="746"/>
      <c r="J153" s="746"/>
      <c r="K153" s="747"/>
      <c r="L153" s="734"/>
      <c r="M153" s="746"/>
      <c r="N153" s="746"/>
      <c r="O153" s="746"/>
      <c r="P153" s="746"/>
      <c r="Q153" s="746"/>
      <c r="R153" s="746"/>
      <c r="S153" s="746"/>
      <c r="T153" s="747"/>
    </row>
    <row r="154" spans="1:21">
      <c r="A154" s="223" t="s">
        <v>1043</v>
      </c>
      <c r="B154" s="745"/>
      <c r="C154" s="734"/>
      <c r="D154" s="746"/>
      <c r="E154" s="746"/>
      <c r="F154" s="746"/>
      <c r="G154" s="746"/>
      <c r="H154" s="746"/>
      <c r="I154" s="746"/>
      <c r="J154" s="746"/>
      <c r="K154" s="747"/>
      <c r="L154" s="734"/>
      <c r="M154" s="746"/>
      <c r="N154" s="746"/>
      <c r="O154" s="746"/>
      <c r="P154" s="746"/>
      <c r="Q154" s="746"/>
      <c r="R154" s="746"/>
      <c r="S154" s="746"/>
      <c r="T154" s="747"/>
    </row>
    <row r="155" spans="1:21" ht="16">
      <c r="A155" s="628" t="s">
        <v>1042</v>
      </c>
      <c r="B155" s="745" t="s">
        <v>460</v>
      </c>
      <c r="C155" s="734">
        <f>IFERROR(VLOOKUP(A155,'TB CY'!A:G,7,)+VLOOKUP(A155,'TB CY'!A:G,6,),0)</f>
        <v>0</v>
      </c>
      <c r="D155" s="746"/>
      <c r="E155" s="746">
        <f>IFERROR(VLOOKUP(A155,'TB Other'!A:I,8,0),0)+IFERROR(VLOOKUP(A155,'TB Other'!A:I,9,0),0)</f>
        <v>0</v>
      </c>
      <c r="F155" s="746"/>
      <c r="G155" s="746">
        <f>IFERROR(VLOOKUP(A155,'TB Other'!A:E,4,),0)+IFERROR(VLOOKUP(A155,'TB Other'!A:E,5,),0)</f>
        <v>0</v>
      </c>
      <c r="H155" s="746"/>
      <c r="I155" s="746">
        <f>IFERROR(VLOOKUP(A155,'TB Other'!A:M,12,0),0)+IFERROR(VLOOKUP(A155,'TB Other'!A:M,13,0),0)</f>
        <v>0</v>
      </c>
      <c r="J155" s="746"/>
      <c r="K155" s="747">
        <f>SUM(C155:J155)</f>
        <v>0</v>
      </c>
      <c r="L155" s="734">
        <f>VLOOKUP(A155,'TB PY'!A:G,7,)+VLOOKUP(A155,'TB PY'!A:G,6,)</f>
        <v>787106</v>
      </c>
      <c r="M155" s="746"/>
      <c r="N155" s="746"/>
      <c r="O155" s="746"/>
      <c r="P155" s="746"/>
      <c r="Q155" s="746"/>
      <c r="R155" s="746"/>
      <c r="S155" s="746"/>
      <c r="T155" s="747">
        <f>SUM(L155:S155)</f>
        <v>787106</v>
      </c>
      <c r="U155" s="748"/>
    </row>
    <row r="156" spans="1:21" ht="16" thickBot="1">
      <c r="B156" s="756"/>
      <c r="C156" s="734"/>
      <c r="D156" s="746"/>
      <c r="E156" s="746"/>
      <c r="F156" s="746"/>
      <c r="G156" s="746"/>
      <c r="H156" s="746"/>
      <c r="I156" s="746"/>
      <c r="J156" s="746"/>
      <c r="K156" s="747"/>
      <c r="L156" s="734"/>
      <c r="M156" s="746"/>
      <c r="N156" s="746"/>
      <c r="O156" s="746"/>
      <c r="P156" s="746"/>
      <c r="Q156" s="746"/>
      <c r="R156" s="746"/>
      <c r="S156" s="746"/>
      <c r="T156" s="747"/>
      <c r="U156" s="748"/>
    </row>
    <row r="157" spans="1:21" ht="17" thickTop="1" thickBot="1">
      <c r="A157" s="749"/>
      <c r="B157" s="750" t="s">
        <v>51</v>
      </c>
      <c r="C157" s="751">
        <f>SUM(C154:C156)</f>
        <v>0</v>
      </c>
      <c r="D157" s="752">
        <f t="shared" ref="D157:T157" si="104">SUM(D154:D156)</f>
        <v>0</v>
      </c>
      <c r="E157" s="752">
        <f t="shared" si="104"/>
        <v>0</v>
      </c>
      <c r="F157" s="752">
        <f t="shared" si="104"/>
        <v>0</v>
      </c>
      <c r="G157" s="752">
        <f t="shared" si="104"/>
        <v>0</v>
      </c>
      <c r="H157" s="752">
        <f t="shared" si="104"/>
        <v>0</v>
      </c>
      <c r="I157" s="752">
        <f t="shared" ref="I157:J157" si="105">SUM(I154:I156)</f>
        <v>0</v>
      </c>
      <c r="J157" s="752">
        <f t="shared" si="105"/>
        <v>0</v>
      </c>
      <c r="K157" s="754">
        <f t="shared" si="104"/>
        <v>0</v>
      </c>
      <c r="L157" s="751">
        <f t="shared" si="104"/>
        <v>787106</v>
      </c>
      <c r="M157" s="752">
        <f t="shared" ref="M157:Q157" si="106">SUM(M154:M156)</f>
        <v>0</v>
      </c>
      <c r="N157" s="752">
        <f t="shared" si="106"/>
        <v>0</v>
      </c>
      <c r="O157" s="752">
        <f t="shared" si="106"/>
        <v>0</v>
      </c>
      <c r="P157" s="752">
        <f t="shared" si="106"/>
        <v>0</v>
      </c>
      <c r="Q157" s="752">
        <f t="shared" si="106"/>
        <v>0</v>
      </c>
      <c r="R157" s="752">
        <f t="shared" ref="R157:S157" si="107">SUM(R154:R156)</f>
        <v>0</v>
      </c>
      <c r="S157" s="752">
        <f t="shared" si="107"/>
        <v>0</v>
      </c>
      <c r="T157" s="754">
        <f t="shared" si="104"/>
        <v>787106</v>
      </c>
      <c r="U157" s="748">
        <f>K157-T157</f>
        <v>-787106</v>
      </c>
    </row>
    <row r="158" spans="1:21" ht="16" thickTop="1">
      <c r="A158" s="269"/>
      <c r="B158" s="745"/>
      <c r="C158" s="734"/>
      <c r="D158" s="746"/>
      <c r="E158" s="746"/>
      <c r="F158" s="746"/>
      <c r="G158" s="746"/>
      <c r="H158" s="746"/>
      <c r="I158" s="746"/>
      <c r="J158" s="746"/>
      <c r="K158" s="747"/>
      <c r="L158" s="734"/>
      <c r="M158" s="746"/>
      <c r="N158" s="746"/>
      <c r="O158" s="746"/>
      <c r="P158" s="746"/>
      <c r="Q158" s="746"/>
      <c r="R158" s="746"/>
      <c r="S158" s="746"/>
      <c r="T158" s="747"/>
    </row>
    <row r="159" spans="1:21">
      <c r="A159" s="223" t="s">
        <v>319</v>
      </c>
      <c r="B159" s="745"/>
      <c r="C159" s="734"/>
      <c r="D159" s="746"/>
      <c r="E159" s="746"/>
      <c r="F159" s="746"/>
      <c r="G159" s="746"/>
      <c r="H159" s="746"/>
      <c r="I159" s="746"/>
      <c r="J159" s="746"/>
      <c r="K159" s="747"/>
      <c r="L159" s="734"/>
      <c r="M159" s="746"/>
      <c r="N159" s="746"/>
      <c r="O159" s="746"/>
      <c r="P159" s="746"/>
      <c r="Q159" s="746"/>
      <c r="R159" s="746"/>
      <c r="S159" s="746"/>
      <c r="T159" s="747"/>
    </row>
    <row r="160" spans="1:21" ht="16">
      <c r="A160" s="628" t="s">
        <v>1145</v>
      </c>
      <c r="B160" s="745" t="s">
        <v>460</v>
      </c>
      <c r="C160" s="734">
        <f>IFERROR(VLOOKUP(A160,'TB CY'!A:G,7,)+VLOOKUP(A160,'TB CY'!A:G,6,),0)</f>
        <v>56370.71</v>
      </c>
      <c r="D160" s="746"/>
      <c r="E160" s="746">
        <f>IFERROR(VLOOKUP(A160,'TB Other'!A:I,8,0),0)+IFERROR(VLOOKUP(A160,'TB Other'!A:I,9,0),0)</f>
        <v>0</v>
      </c>
      <c r="F160" s="746"/>
      <c r="G160" s="746">
        <f>IFERROR(VLOOKUP(A160,'TB Other'!A:E,4,),0)+IFERROR(VLOOKUP(A160,'TB Other'!A:E,5,),0)</f>
        <v>0</v>
      </c>
      <c r="H160" s="746"/>
      <c r="I160" s="746">
        <f>IFERROR(VLOOKUP(A160,'TB Other'!A:M,12,0),0)+IFERROR(VLOOKUP(A160,'TB Other'!A:M,13,0),0)</f>
        <v>0</v>
      </c>
      <c r="J160" s="746">
        <f>-C160</f>
        <v>-56370.71</v>
      </c>
      <c r="K160" s="747">
        <f t="shared" ref="K160:K167" si="108">SUM(C160:J160)</f>
        <v>0</v>
      </c>
      <c r="L160" s="734">
        <f>VLOOKUP(A160,'TB PY'!A:G,7,)+VLOOKUP(A160,'TB PY'!A:G,6,)</f>
        <v>244921.23</v>
      </c>
      <c r="M160" s="746"/>
      <c r="N160" s="746"/>
      <c r="O160" s="746"/>
      <c r="P160" s="746"/>
      <c r="Q160" s="746"/>
      <c r="R160" s="746"/>
      <c r="S160" s="746"/>
      <c r="T160" s="747">
        <f t="shared" ref="T160:T167" si="109">SUM(L160:S160)</f>
        <v>244921.23</v>
      </c>
      <c r="U160" s="748"/>
    </row>
    <row r="161" spans="1:21" ht="16">
      <c r="A161" s="628" t="s">
        <v>529</v>
      </c>
      <c r="B161" s="745" t="s">
        <v>460</v>
      </c>
      <c r="C161" s="734">
        <f>IFERROR(VLOOKUP(A161,'TB CY'!A:G,7,)+VLOOKUP(A161,'TB CY'!A:G,6,),0)</f>
        <v>24789.18</v>
      </c>
      <c r="D161" s="746"/>
      <c r="E161" s="746">
        <f>IFERROR(VLOOKUP(A161,'TB Other'!A:I,8,0),0)+IFERROR(VLOOKUP(A161,'TB Other'!A:I,9,0),0)</f>
        <v>0</v>
      </c>
      <c r="F161" s="746"/>
      <c r="G161" s="746">
        <f>IFERROR(VLOOKUP(A161,'TB Other'!A:E,4,),0)+IFERROR(VLOOKUP(A161,'TB Other'!A:E,5,),0)</f>
        <v>0</v>
      </c>
      <c r="H161" s="746"/>
      <c r="I161" s="746">
        <f>IFERROR(VLOOKUP(A161,'TB Other'!A:M,12,0),0)+IFERROR(VLOOKUP(A161,'TB Other'!A:M,13,0),0)</f>
        <v>0</v>
      </c>
      <c r="J161" s="746">
        <f t="shared" ref="J161:J163" si="110">-C161</f>
        <v>-24789.18</v>
      </c>
      <c r="K161" s="747">
        <f t="shared" si="108"/>
        <v>0</v>
      </c>
      <c r="L161" s="734">
        <f>VLOOKUP(A161,'TB PY'!A:G,7,)+VLOOKUP(A161,'TB PY'!A:G,6,)</f>
        <v>21955.59</v>
      </c>
      <c r="M161" s="746"/>
      <c r="N161" s="746"/>
      <c r="O161" s="746"/>
      <c r="P161" s="746"/>
      <c r="Q161" s="746"/>
      <c r="R161" s="746"/>
      <c r="S161" s="746"/>
      <c r="T161" s="747">
        <f t="shared" si="109"/>
        <v>21955.59</v>
      </c>
      <c r="U161" s="748"/>
    </row>
    <row r="162" spans="1:21" ht="16">
      <c r="A162" s="628" t="s">
        <v>530</v>
      </c>
      <c r="B162" s="745" t="s">
        <v>460</v>
      </c>
      <c r="C162" s="734">
        <f>IFERROR(VLOOKUP(A162,'TB CY'!A:G,7,)+VLOOKUP(A162,'TB CY'!A:G,6,),0)</f>
        <v>236119.33</v>
      </c>
      <c r="D162" s="746"/>
      <c r="E162" s="746">
        <f>IFERROR(VLOOKUP(A162,'TB Other'!A:I,8,0),0)+IFERROR(VLOOKUP(A162,'TB Other'!A:I,9,0),0)</f>
        <v>0</v>
      </c>
      <c r="F162" s="746"/>
      <c r="G162" s="746">
        <f>IFERROR(VLOOKUP(A162,'TB Other'!A:E,4,),0)+IFERROR(VLOOKUP(A162,'TB Other'!A:E,5,),0)</f>
        <v>0</v>
      </c>
      <c r="H162" s="746"/>
      <c r="I162" s="746">
        <f>IFERROR(VLOOKUP(A162,'TB Other'!A:M,12,0),0)+IFERROR(VLOOKUP(A162,'TB Other'!A:M,13,0),0)</f>
        <v>0</v>
      </c>
      <c r="J162" s="746">
        <f t="shared" si="110"/>
        <v>-236119.33</v>
      </c>
      <c r="K162" s="747">
        <f t="shared" si="108"/>
        <v>0</v>
      </c>
      <c r="L162" s="734">
        <f>VLOOKUP(A162,'TB PY'!A:G,7,)+VLOOKUP(A162,'TB PY'!A:G,6,)</f>
        <v>552364.93000000005</v>
      </c>
      <c r="M162" s="746"/>
      <c r="N162" s="746"/>
      <c r="O162" s="746"/>
      <c r="P162" s="746"/>
      <c r="Q162" s="746"/>
      <c r="R162" s="746"/>
      <c r="S162" s="746"/>
      <c r="T162" s="747">
        <f t="shared" si="109"/>
        <v>552364.93000000005</v>
      </c>
      <c r="U162" s="748"/>
    </row>
    <row r="163" spans="1:21" ht="16">
      <c r="A163" s="628" t="s">
        <v>1264</v>
      </c>
      <c r="B163" s="745" t="s">
        <v>460</v>
      </c>
      <c r="C163" s="734">
        <f>IFERROR(VLOOKUP(A163,'TB CY'!A:G,7,)+VLOOKUP(A163,'TB CY'!A:G,6,),0)</f>
        <v>30420.05</v>
      </c>
      <c r="D163" s="746"/>
      <c r="E163" s="746">
        <f>IFERROR(VLOOKUP(A163,'TB Other'!A:I,8,0),0)+IFERROR(VLOOKUP(A163,'TB Other'!A:I,9,0),0)</f>
        <v>0</v>
      </c>
      <c r="F163" s="746"/>
      <c r="G163" s="746">
        <f>IFERROR(VLOOKUP(A163,'TB Other'!A:E,4,),0)+IFERROR(VLOOKUP(A163,'TB Other'!A:E,5,),0)</f>
        <v>0</v>
      </c>
      <c r="H163" s="746"/>
      <c r="I163" s="746">
        <f>IFERROR(VLOOKUP(A163,'TB Other'!A:M,12,0),0)+IFERROR(VLOOKUP(A163,'TB Other'!A:M,13,0),0)</f>
        <v>0</v>
      </c>
      <c r="J163" s="746">
        <f t="shared" si="110"/>
        <v>-30420.05</v>
      </c>
      <c r="K163" s="747">
        <f t="shared" si="108"/>
        <v>0</v>
      </c>
      <c r="L163" s="734">
        <f>VLOOKUP(A163,'TB PY'!A:G,7,)+VLOOKUP(A163,'TB PY'!A:G,6,)</f>
        <v>11800</v>
      </c>
      <c r="M163" s="746"/>
      <c r="N163" s="746"/>
      <c r="O163" s="746"/>
      <c r="P163" s="746"/>
      <c r="Q163" s="746"/>
      <c r="R163" s="746"/>
      <c r="S163" s="746"/>
      <c r="T163" s="747">
        <f t="shared" si="109"/>
        <v>11800</v>
      </c>
      <c r="U163" s="748"/>
    </row>
    <row r="164" spans="1:21" ht="16">
      <c r="A164" s="628" t="s">
        <v>1339</v>
      </c>
      <c r="B164" s="745" t="s">
        <v>460</v>
      </c>
      <c r="C164" s="734">
        <f>IFERROR(VLOOKUP(A164,'TB CY'!A:G,7,)+VLOOKUP(A164,'TB CY'!A:G,6,),0)</f>
        <v>0</v>
      </c>
      <c r="D164" s="746"/>
      <c r="E164" s="746">
        <f>IFERROR(VLOOKUP(A164,'TB Other'!A:I,8,0),0)+IFERROR(VLOOKUP(A164,'TB Other'!A:I,9,0),0)</f>
        <v>0</v>
      </c>
      <c r="F164" s="746"/>
      <c r="G164" s="746">
        <f>IFERROR(VLOOKUP(A164,'TB Other'!A:E,4,),0)+IFERROR(VLOOKUP(A164,'TB Other'!A:E,5,),0)</f>
        <v>0</v>
      </c>
      <c r="H164" s="746"/>
      <c r="I164" s="746">
        <f>IFERROR(VLOOKUP(A164,'TB Other'!A:M,12,0),0)+IFERROR(VLOOKUP(A164,'TB Other'!A:M,13,0),0)</f>
        <v>0</v>
      </c>
      <c r="J164" s="746"/>
      <c r="K164" s="747">
        <f t="shared" si="108"/>
        <v>0</v>
      </c>
      <c r="L164" s="734"/>
      <c r="M164" s="746"/>
      <c r="N164" s="746"/>
      <c r="O164" s="746"/>
      <c r="P164" s="746">
        <v>2423</v>
      </c>
      <c r="Q164" s="746"/>
      <c r="R164" s="746"/>
      <c r="S164" s="746"/>
      <c r="T164" s="747">
        <f t="shared" si="109"/>
        <v>2423</v>
      </c>
      <c r="U164" s="748"/>
    </row>
    <row r="165" spans="1:21" ht="16">
      <c r="A165" s="628" t="s">
        <v>203</v>
      </c>
      <c r="B165" s="745" t="s">
        <v>460</v>
      </c>
      <c r="C165" s="734">
        <f>IFERROR(VLOOKUP(A165,'TB CY'!A:G,7,)+VLOOKUP(A165,'TB CY'!A:G,6,),0)</f>
        <v>7126</v>
      </c>
      <c r="D165" s="746"/>
      <c r="E165" s="746">
        <f>IFERROR(VLOOKUP(A165,'TB Other'!A:I,8,0),0)+IFERROR(VLOOKUP(A165,'TB Other'!A:I,9,0),0)</f>
        <v>0</v>
      </c>
      <c r="F165" s="746"/>
      <c r="G165" s="746">
        <f>IFERROR(VLOOKUP(A165,'TB Other'!A:E,4,),0)+IFERROR(VLOOKUP(A165,'TB Other'!A:E,5,),0)</f>
        <v>0</v>
      </c>
      <c r="H165" s="746"/>
      <c r="I165" s="746">
        <f>IFERROR(VLOOKUP(A165,'TB Other'!A:M,12,0),0)+IFERROR(VLOOKUP(A165,'TB Other'!A:M,13,0),0)</f>
        <v>0</v>
      </c>
      <c r="J165" s="746"/>
      <c r="K165" s="747">
        <f t="shared" si="108"/>
        <v>7126</v>
      </c>
      <c r="L165" s="734">
        <f>VLOOKUP(A165,'TB PY'!A:G,7,)+VLOOKUP(A165,'TB PY'!A:G,6,)</f>
        <v>43067</v>
      </c>
      <c r="M165" s="746"/>
      <c r="N165" s="746"/>
      <c r="O165" s="746"/>
      <c r="P165" s="746">
        <v>235</v>
      </c>
      <c r="Q165" s="746"/>
      <c r="R165" s="746"/>
      <c r="S165" s="746"/>
      <c r="T165" s="747">
        <f t="shared" si="109"/>
        <v>43302</v>
      </c>
      <c r="U165" s="748"/>
    </row>
    <row r="166" spans="1:21" ht="16">
      <c r="A166" s="628" t="s">
        <v>1616</v>
      </c>
      <c r="B166" s="745" t="s">
        <v>1613</v>
      </c>
      <c r="C166" s="734"/>
      <c r="D166" s="746">
        <f>ROU!D51</f>
        <v>90939</v>
      </c>
      <c r="E166" s="746"/>
      <c r="F166" s="746"/>
      <c r="G166" s="746"/>
      <c r="H166" s="746"/>
      <c r="I166" s="746"/>
      <c r="J166" s="746"/>
      <c r="K166" s="747">
        <f t="shared" ref="K166" si="111">SUM(C166:J166)</f>
        <v>90939</v>
      </c>
      <c r="L166" s="734">
        <v>10962.509589041099</v>
      </c>
      <c r="M166" s="746">
        <f>+ROU!K49</f>
        <v>0</v>
      </c>
      <c r="N166" s="746"/>
      <c r="O166" s="746"/>
      <c r="P166" s="746"/>
      <c r="Q166" s="746"/>
      <c r="R166" s="746"/>
      <c r="S166" s="746"/>
      <c r="T166" s="747">
        <f t="shared" ref="T166" si="112">SUM(L166:S166)</f>
        <v>10962.509589041099</v>
      </c>
      <c r="U166" s="748"/>
    </row>
    <row r="167" spans="1:21" ht="17" thickBot="1">
      <c r="A167" s="628" t="s">
        <v>1615</v>
      </c>
      <c r="B167" s="745" t="s">
        <v>1613</v>
      </c>
      <c r="C167" s="734"/>
      <c r="D167" s="746">
        <f>'SDS JBA'!C96</f>
        <v>14412.333333333334</v>
      </c>
      <c r="E167" s="746"/>
      <c r="F167" s="746"/>
      <c r="G167" s="746"/>
      <c r="H167" s="746">
        <f>-D167</f>
        <v>-14412.333333333334</v>
      </c>
      <c r="I167" s="746"/>
      <c r="J167" s="746"/>
      <c r="K167" s="747">
        <f t="shared" si="108"/>
        <v>0</v>
      </c>
      <c r="L167" s="734"/>
      <c r="M167" s="746">
        <f>+ROU!K50</f>
        <v>0</v>
      </c>
      <c r="N167" s="746"/>
      <c r="O167" s="746"/>
      <c r="P167" s="746"/>
      <c r="Q167" s="746"/>
      <c r="R167" s="746"/>
      <c r="S167" s="746"/>
      <c r="T167" s="747">
        <f t="shared" si="109"/>
        <v>0</v>
      </c>
      <c r="U167" s="748"/>
    </row>
    <row r="168" spans="1:21" ht="17" thickTop="1" thickBot="1">
      <c r="A168" s="749"/>
      <c r="B168" s="750" t="s">
        <v>51</v>
      </c>
      <c r="C168" s="751">
        <f t="shared" ref="C168:T168" si="113">SUM(C159:C167)</f>
        <v>354825.26999999996</v>
      </c>
      <c r="D168" s="752">
        <f t="shared" si="113"/>
        <v>105351.33333333333</v>
      </c>
      <c r="E168" s="752">
        <f t="shared" si="113"/>
        <v>0</v>
      </c>
      <c r="F168" s="752">
        <f t="shared" si="113"/>
        <v>0</v>
      </c>
      <c r="G168" s="752">
        <f t="shared" si="113"/>
        <v>0</v>
      </c>
      <c r="H168" s="752">
        <f t="shared" si="113"/>
        <v>-14412.333333333334</v>
      </c>
      <c r="I168" s="752">
        <f t="shared" ref="I168:J168" si="114">SUM(I159:I167)</f>
        <v>0</v>
      </c>
      <c r="J168" s="752">
        <f t="shared" si="114"/>
        <v>-347699.26999999996</v>
      </c>
      <c r="K168" s="753">
        <f t="shared" si="113"/>
        <v>98065</v>
      </c>
      <c r="L168" s="751">
        <f t="shared" si="113"/>
        <v>885071.25958904112</v>
      </c>
      <c r="M168" s="752">
        <f t="shared" ref="M168:Q168" si="115">SUM(M159:M167)</f>
        <v>0</v>
      </c>
      <c r="N168" s="752">
        <f t="shared" si="115"/>
        <v>0</v>
      </c>
      <c r="O168" s="752">
        <f t="shared" si="115"/>
        <v>0</v>
      </c>
      <c r="P168" s="752">
        <f t="shared" si="115"/>
        <v>2658</v>
      </c>
      <c r="Q168" s="752">
        <f t="shared" si="115"/>
        <v>0</v>
      </c>
      <c r="R168" s="752">
        <f t="shared" ref="R168:S168" si="116">SUM(R159:R167)</f>
        <v>0</v>
      </c>
      <c r="S168" s="752">
        <f t="shared" si="116"/>
        <v>0</v>
      </c>
      <c r="T168" s="754">
        <f t="shared" si="113"/>
        <v>887729.25958904112</v>
      </c>
      <c r="U168" s="748">
        <f>K168-T168</f>
        <v>-789664.25958904112</v>
      </c>
    </row>
    <row r="169" spans="1:21" ht="16" thickTop="1">
      <c r="A169" s="223" t="s">
        <v>799</v>
      </c>
      <c r="B169" s="745"/>
      <c r="C169" s="734"/>
      <c r="D169" s="746"/>
      <c r="E169" s="746"/>
      <c r="F169" s="746"/>
      <c r="G169" s="746"/>
      <c r="H169" s="746"/>
      <c r="I169" s="746"/>
      <c r="J169" s="746"/>
      <c r="K169" s="747"/>
      <c r="L169" s="734"/>
      <c r="M169" s="746"/>
      <c r="N169" s="746"/>
      <c r="O169" s="746"/>
      <c r="P169" s="746"/>
      <c r="Q169" s="746"/>
      <c r="R169" s="746"/>
      <c r="S169" s="746"/>
      <c r="T169" s="747"/>
    </row>
    <row r="170" spans="1:21">
      <c r="A170" s="269" t="s">
        <v>1571</v>
      </c>
      <c r="B170" s="745"/>
      <c r="C170" s="734"/>
      <c r="D170" s="746"/>
      <c r="E170" s="746"/>
      <c r="F170" s="746"/>
      <c r="G170" s="746"/>
      <c r="H170" s="746"/>
      <c r="I170" s="746"/>
      <c r="J170" s="746"/>
      <c r="K170" s="747"/>
      <c r="L170" s="734"/>
      <c r="M170" s="746"/>
      <c r="N170" s="746"/>
      <c r="O170" s="746"/>
      <c r="P170" s="746"/>
      <c r="Q170" s="746"/>
      <c r="R170" s="746"/>
      <c r="S170" s="746"/>
      <c r="T170" s="747"/>
    </row>
    <row r="171" spans="1:21" ht="16">
      <c r="A171" s="628" t="s">
        <v>183</v>
      </c>
      <c r="B171" s="745" t="s">
        <v>460</v>
      </c>
      <c r="C171" s="734">
        <f>IFERROR(VLOOKUP(A171,'TB CY'!A:G,7,)+VLOOKUP(A171,'TB CY'!A:G,6,),0)</f>
        <v>521197.7</v>
      </c>
      <c r="D171" s="746"/>
      <c r="E171" s="746">
        <f>IFERROR(VLOOKUP(A171,'TB Other'!A:I,8,0),0)+IFERROR(VLOOKUP(A171,'TB Other'!A:I,9,0),0)</f>
        <v>0</v>
      </c>
      <c r="F171" s="746"/>
      <c r="G171" s="746">
        <f>IFERROR(VLOOKUP(A171,'TB Other'!A:E,4,),0)+IFERROR(VLOOKUP(A171,'TB Other'!A:E,5,),0)</f>
        <v>0</v>
      </c>
      <c r="H171" s="746"/>
      <c r="I171" s="746">
        <f>IFERROR(VLOOKUP(A171,'TB Other'!A:M,12,0),0)+IFERROR(VLOOKUP(A171,'TB Other'!A:M,13,0),0)</f>
        <v>0</v>
      </c>
      <c r="J171" s="746"/>
      <c r="K171" s="747">
        <f t="shared" ref="K171:K172" si="117">SUM(C171:J171)</f>
        <v>521197.7</v>
      </c>
      <c r="L171" s="734">
        <f>VLOOKUP(A171,'TB PY'!A:G,7,)+VLOOKUP(A171,'TB PY'!A:G,6,)</f>
        <v>300000</v>
      </c>
      <c r="M171" s="746"/>
      <c r="N171" s="746"/>
      <c r="O171" s="746"/>
      <c r="P171" s="746"/>
      <c r="Q171" s="746"/>
      <c r="R171" s="746"/>
      <c r="S171" s="746"/>
      <c r="T171" s="747">
        <f t="shared" ref="T171:T172" si="118">SUM(L171:S171)</f>
        <v>300000</v>
      </c>
      <c r="U171" s="748"/>
    </row>
    <row r="172" spans="1:21" ht="16">
      <c r="A172" s="628" t="s">
        <v>209</v>
      </c>
      <c r="B172" s="745" t="s">
        <v>460</v>
      </c>
      <c r="C172" s="734">
        <f>IFERROR(VLOOKUP(A172,'TB CY'!A:G,7,)+VLOOKUP(A172,'TB CY'!A:G,6,),0)</f>
        <v>65400</v>
      </c>
      <c r="D172" s="746"/>
      <c r="E172" s="746">
        <f>IFERROR(VLOOKUP(A172,'TB Other'!A:I,8,0),0)+IFERROR(VLOOKUP(A172,'TB Other'!A:I,9,0),0)</f>
        <v>0</v>
      </c>
      <c r="F172" s="746"/>
      <c r="G172" s="746">
        <f>IFERROR(VLOOKUP(A172,'TB Other'!A:E,4,),0)+IFERROR(VLOOKUP(A172,'TB Other'!A:E,5,),0)</f>
        <v>0</v>
      </c>
      <c r="H172" s="746"/>
      <c r="I172" s="746">
        <f>IFERROR(VLOOKUP(A172,'TB Other'!A:M,12,0),0)+IFERROR(VLOOKUP(A172,'TB Other'!A:M,13,0),0)</f>
        <v>0</v>
      </c>
      <c r="J172" s="746"/>
      <c r="K172" s="747">
        <f t="shared" si="117"/>
        <v>65400</v>
      </c>
      <c r="L172" s="734">
        <f>VLOOKUP(A172,'TB PY'!A:G,7,)+VLOOKUP(A172,'TB PY'!A:G,6,)</f>
        <v>60000</v>
      </c>
      <c r="M172" s="746"/>
      <c r="N172" s="746"/>
      <c r="O172" s="746"/>
      <c r="P172" s="746"/>
      <c r="Q172" s="746"/>
      <c r="R172" s="746"/>
      <c r="S172" s="746"/>
      <c r="T172" s="747">
        <f t="shared" si="118"/>
        <v>60000</v>
      </c>
      <c r="U172" s="748"/>
    </row>
    <row r="173" spans="1:21" ht="16" thickBot="1">
      <c r="A173" s="269"/>
      <c r="B173" s="745"/>
      <c r="C173" s="734"/>
      <c r="D173" s="746"/>
      <c r="E173" s="746"/>
      <c r="F173" s="746"/>
      <c r="G173" s="746"/>
      <c r="H173" s="746"/>
      <c r="I173" s="746"/>
      <c r="J173" s="746"/>
      <c r="K173" s="747"/>
      <c r="L173" s="734"/>
      <c r="M173" s="746"/>
      <c r="N173" s="746"/>
      <c r="O173" s="746"/>
      <c r="P173" s="746"/>
      <c r="Q173" s="746"/>
      <c r="R173" s="746"/>
      <c r="S173" s="746"/>
      <c r="T173" s="747"/>
    </row>
    <row r="174" spans="1:21" ht="17" thickTop="1" thickBot="1">
      <c r="A174" s="749"/>
      <c r="B174" s="750" t="s">
        <v>51</v>
      </c>
      <c r="C174" s="751">
        <f>SUM(C171:C173)</f>
        <v>586597.69999999995</v>
      </c>
      <c r="D174" s="752">
        <f t="shared" ref="D174:T174" si="119">SUM(D171:D173)</f>
        <v>0</v>
      </c>
      <c r="E174" s="752">
        <f t="shared" si="119"/>
        <v>0</v>
      </c>
      <c r="F174" s="752">
        <f t="shared" si="119"/>
        <v>0</v>
      </c>
      <c r="G174" s="752">
        <f t="shared" si="119"/>
        <v>0</v>
      </c>
      <c r="H174" s="752">
        <f t="shared" si="119"/>
        <v>0</v>
      </c>
      <c r="I174" s="752">
        <f t="shared" ref="I174:J174" si="120">SUM(I171:I173)</f>
        <v>0</v>
      </c>
      <c r="J174" s="752">
        <f t="shared" si="120"/>
        <v>0</v>
      </c>
      <c r="K174" s="753">
        <f t="shared" si="119"/>
        <v>586597.69999999995</v>
      </c>
      <c r="L174" s="751">
        <f t="shared" si="119"/>
        <v>360000</v>
      </c>
      <c r="M174" s="752">
        <f t="shared" ref="M174:Q174" si="121">SUM(M171:M173)</f>
        <v>0</v>
      </c>
      <c r="N174" s="752">
        <f t="shared" si="121"/>
        <v>0</v>
      </c>
      <c r="O174" s="752">
        <f t="shared" si="121"/>
        <v>0</v>
      </c>
      <c r="P174" s="752">
        <f t="shared" si="121"/>
        <v>0</v>
      </c>
      <c r="Q174" s="752">
        <f t="shared" si="121"/>
        <v>0</v>
      </c>
      <c r="R174" s="752">
        <f t="shared" ref="R174:S174" si="122">SUM(R171:R173)</f>
        <v>0</v>
      </c>
      <c r="S174" s="752">
        <f t="shared" si="122"/>
        <v>0</v>
      </c>
      <c r="T174" s="754">
        <f t="shared" si="119"/>
        <v>360000</v>
      </c>
      <c r="U174" s="748">
        <f>K174-T174</f>
        <v>226597.69999999995</v>
      </c>
    </row>
    <row r="175" spans="1:21" ht="16" thickTop="1">
      <c r="A175" s="269" t="s">
        <v>1570</v>
      </c>
      <c r="B175" s="745"/>
      <c r="C175" s="734"/>
      <c r="D175" s="746"/>
      <c r="E175" s="746"/>
      <c r="F175" s="746"/>
      <c r="G175" s="746"/>
      <c r="H175" s="746"/>
      <c r="I175" s="746"/>
      <c r="J175" s="746"/>
      <c r="K175" s="747"/>
      <c r="L175" s="734"/>
      <c r="M175" s="746"/>
      <c r="N175" s="746"/>
      <c r="O175" s="746"/>
      <c r="P175" s="746"/>
      <c r="Q175" s="746"/>
      <c r="R175" s="746"/>
      <c r="S175" s="746"/>
      <c r="T175" s="747"/>
    </row>
    <row r="176" spans="1:21" ht="16">
      <c r="A176" s="628" t="s">
        <v>190</v>
      </c>
      <c r="B176" s="745" t="s">
        <v>460</v>
      </c>
      <c r="C176" s="734">
        <f>IFERROR(VLOOKUP(A176,'TB CY'!A:G,7,)+VLOOKUP(A176,'TB CY'!A:G,6,),0)</f>
        <v>26266.16</v>
      </c>
      <c r="D176" s="746"/>
      <c r="E176" s="746">
        <f>IFERROR(VLOOKUP(A176,'TB Other'!A:I,8,0),0)+IFERROR(VLOOKUP(A176,'TB Other'!A:I,9,0),0)</f>
        <v>0</v>
      </c>
      <c r="F176" s="746"/>
      <c r="G176" s="746">
        <f>IFERROR(VLOOKUP(A176,'TB Other'!A:E,4,),0)+IFERROR(VLOOKUP(A176,'TB Other'!A:E,5,),0)</f>
        <v>0</v>
      </c>
      <c r="H176" s="746"/>
      <c r="I176" s="746">
        <f>IFERROR(VLOOKUP(A176,'TB Other'!A:M,12,0),0)+IFERROR(VLOOKUP(A176,'TB Other'!A:M,13,0),0)</f>
        <v>24039</v>
      </c>
      <c r="J176" s="746"/>
      <c r="K176" s="747">
        <f t="shared" ref="K176:K177" si="123">SUM(C176:J176)</f>
        <v>50305.16</v>
      </c>
      <c r="L176" s="734">
        <f>IFERROR(VLOOKUP(A176,'TB PY'!A:G,7,),0)+IFERROR(VLOOKUP(A176,'TB PY'!A:G,6,),0)</f>
        <v>0</v>
      </c>
      <c r="M176" s="746"/>
      <c r="N176" s="746"/>
      <c r="O176" s="746"/>
      <c r="P176" s="746"/>
      <c r="Q176" s="746"/>
      <c r="R176" s="746"/>
      <c r="S176" s="746"/>
      <c r="T176" s="747">
        <f t="shared" ref="T176:T177" si="124">SUM(L176:S176)</f>
        <v>0</v>
      </c>
      <c r="U176" s="748"/>
    </row>
    <row r="177" spans="1:21" ht="16">
      <c r="A177" s="628" t="s">
        <v>1265</v>
      </c>
      <c r="B177" s="745" t="s">
        <v>460</v>
      </c>
      <c r="C177" s="734">
        <f>IFERROR(VLOOKUP(A177,'TB CY'!A:G,7,)+VLOOKUP(A177,'TB CY'!A:G,6,),0)</f>
        <v>0</v>
      </c>
      <c r="D177" s="746"/>
      <c r="E177" s="746">
        <f>IFERROR(VLOOKUP(A177,'TB Other'!A:I,8,0),0)+IFERROR(VLOOKUP(A177,'TB Other'!A:I,9,0),0)</f>
        <v>0</v>
      </c>
      <c r="F177" s="746"/>
      <c r="G177" s="746">
        <f>IFERROR(VLOOKUP(A177,'TB Other'!A:E,4,),0)+IFERROR(VLOOKUP(A177,'TB Other'!A:E,5,),0)</f>
        <v>0</v>
      </c>
      <c r="H177" s="746"/>
      <c r="I177" s="746">
        <f>IFERROR(VLOOKUP(A177,'TB Other'!A:M,12,0),0)+IFERROR(VLOOKUP(A177,'TB Other'!A:M,13,0),0)</f>
        <v>0</v>
      </c>
      <c r="J177" s="746"/>
      <c r="K177" s="747">
        <f t="shared" si="123"/>
        <v>0</v>
      </c>
      <c r="L177" s="734">
        <f>VLOOKUP(A177,'TB PY'!A:G,7,)+VLOOKUP(A177,'TB PY'!A:G,6,)</f>
        <v>14616.61</v>
      </c>
      <c r="M177" s="746"/>
      <c r="N177" s="746"/>
      <c r="O177" s="746"/>
      <c r="P177" s="746"/>
      <c r="Q177" s="746"/>
      <c r="R177" s="746"/>
      <c r="S177" s="746"/>
      <c r="T177" s="747">
        <f t="shared" si="124"/>
        <v>14616.61</v>
      </c>
      <c r="U177" s="748"/>
    </row>
    <row r="178" spans="1:21" ht="16" thickBot="1">
      <c r="A178" s="269"/>
      <c r="B178" s="745"/>
      <c r="C178" s="734"/>
      <c r="D178" s="746"/>
      <c r="E178" s="746"/>
      <c r="F178" s="746"/>
      <c r="G178" s="746"/>
      <c r="H178" s="746"/>
      <c r="I178" s="746"/>
      <c r="J178" s="746"/>
      <c r="K178" s="747"/>
      <c r="L178" s="734"/>
      <c r="M178" s="746"/>
      <c r="N178" s="746"/>
      <c r="O178" s="746"/>
      <c r="P178" s="746"/>
      <c r="Q178" s="746"/>
      <c r="R178" s="746"/>
      <c r="S178" s="746"/>
      <c r="T178" s="747"/>
    </row>
    <row r="179" spans="1:21" ht="17" thickTop="1" thickBot="1">
      <c r="A179" s="749"/>
      <c r="B179" s="750" t="s">
        <v>51</v>
      </c>
      <c r="C179" s="751">
        <f t="shared" ref="C179:T179" si="125">SUM(C176:C178)</f>
        <v>26266.16</v>
      </c>
      <c r="D179" s="752">
        <f t="shared" si="125"/>
        <v>0</v>
      </c>
      <c r="E179" s="752">
        <f t="shared" si="125"/>
        <v>0</v>
      </c>
      <c r="F179" s="752">
        <f t="shared" si="125"/>
        <v>0</v>
      </c>
      <c r="G179" s="752">
        <f t="shared" si="125"/>
        <v>0</v>
      </c>
      <c r="H179" s="752">
        <f t="shared" si="125"/>
        <v>0</v>
      </c>
      <c r="I179" s="752">
        <f t="shared" ref="I179:J179" si="126">SUM(I176:I178)</f>
        <v>24039</v>
      </c>
      <c r="J179" s="752">
        <f t="shared" si="126"/>
        <v>0</v>
      </c>
      <c r="K179" s="753">
        <f t="shared" si="125"/>
        <v>50305.16</v>
      </c>
      <c r="L179" s="751">
        <f t="shared" si="125"/>
        <v>14616.61</v>
      </c>
      <c r="M179" s="752">
        <f t="shared" ref="M179:Q179" si="127">SUM(M176:M178)</f>
        <v>0</v>
      </c>
      <c r="N179" s="752">
        <f t="shared" si="127"/>
        <v>0</v>
      </c>
      <c r="O179" s="752">
        <f t="shared" si="127"/>
        <v>0</v>
      </c>
      <c r="P179" s="752">
        <f t="shared" si="127"/>
        <v>0</v>
      </c>
      <c r="Q179" s="752">
        <f t="shared" si="127"/>
        <v>0</v>
      </c>
      <c r="R179" s="752">
        <f t="shared" ref="R179:S179" si="128">SUM(R176:R178)</f>
        <v>0</v>
      </c>
      <c r="S179" s="752">
        <f t="shared" si="128"/>
        <v>0</v>
      </c>
      <c r="T179" s="754">
        <f t="shared" si="125"/>
        <v>14616.61</v>
      </c>
      <c r="U179" s="748">
        <f>K179-T179</f>
        <v>35688.550000000003</v>
      </c>
    </row>
    <row r="180" spans="1:21" ht="16" thickTop="1">
      <c r="A180" s="269" t="s">
        <v>1569</v>
      </c>
      <c r="B180" s="745"/>
      <c r="C180" s="734"/>
      <c r="D180" s="746"/>
      <c r="E180" s="746"/>
      <c r="F180" s="746"/>
      <c r="G180" s="746"/>
      <c r="H180" s="746"/>
      <c r="I180" s="746"/>
      <c r="J180" s="746"/>
      <c r="K180" s="747"/>
      <c r="L180" s="734"/>
      <c r="M180" s="746"/>
      <c r="N180" s="746"/>
      <c r="O180" s="746"/>
      <c r="P180" s="746"/>
      <c r="Q180" s="746"/>
      <c r="R180" s="746"/>
      <c r="S180" s="746"/>
      <c r="T180" s="747"/>
    </row>
    <row r="181" spans="1:21" ht="16">
      <c r="A181" s="628" t="s">
        <v>191</v>
      </c>
      <c r="B181" s="745" t="s">
        <v>460</v>
      </c>
      <c r="C181" s="734">
        <f>IFERROR(VLOOKUP(A181,'TB CY'!A:G,7,)+VLOOKUP(A181,'TB CY'!A:G,6,),0)</f>
        <v>249971.22</v>
      </c>
      <c r="D181" s="746"/>
      <c r="E181" s="746">
        <f>IFERROR(VLOOKUP(A181,'TB Other'!A:I,8,0),0)+IFERROR(VLOOKUP(A181,'TB Other'!A:I,9,0),0)</f>
        <v>0</v>
      </c>
      <c r="F181" s="746"/>
      <c r="G181" s="746">
        <f>IFERROR(VLOOKUP(A181,'TB Other'!A:E,4,),0)+IFERROR(VLOOKUP(A181,'TB Other'!A:E,5,),0)</f>
        <v>0</v>
      </c>
      <c r="H181" s="746"/>
      <c r="I181" s="746">
        <f>IFERROR(VLOOKUP(A181,'TB Other'!A:M,12,0),0)+IFERROR(VLOOKUP(A181,'TB Other'!A:M,13,0),0)</f>
        <v>0</v>
      </c>
      <c r="J181" s="746">
        <f>-J78</f>
        <v>0</v>
      </c>
      <c r="K181" s="747">
        <f>SUM(C181:J181)</f>
        <v>249971.22</v>
      </c>
      <c r="L181" s="734">
        <f>VLOOKUP(A181,'TB PY'!A:G,7,)+VLOOKUP(A181,'TB PY'!A:G,6,)</f>
        <v>710353.42</v>
      </c>
      <c r="M181" s="746"/>
      <c r="N181" s="746"/>
      <c r="O181" s="746"/>
      <c r="P181" s="746"/>
      <c r="Q181" s="746"/>
      <c r="R181" s="746"/>
      <c r="S181" s="746"/>
      <c r="T181" s="747">
        <f>SUM(L181:S181)</f>
        <v>710353.42</v>
      </c>
      <c r="U181" s="748"/>
    </row>
    <row r="182" spans="1:21" ht="16" thickBot="1">
      <c r="A182" s="269"/>
      <c r="B182" s="745"/>
      <c r="C182" s="734"/>
      <c r="D182" s="746"/>
      <c r="E182" s="746"/>
      <c r="F182" s="746"/>
      <c r="G182" s="746"/>
      <c r="H182" s="746"/>
      <c r="I182" s="746"/>
      <c r="J182" s="746"/>
      <c r="K182" s="747"/>
      <c r="L182" s="734"/>
      <c r="M182" s="746"/>
      <c r="N182" s="746"/>
      <c r="O182" s="746"/>
      <c r="P182" s="746"/>
      <c r="Q182" s="746"/>
      <c r="R182" s="746"/>
      <c r="S182" s="746"/>
      <c r="T182" s="747"/>
    </row>
    <row r="183" spans="1:21" ht="17" thickTop="1" thickBot="1">
      <c r="A183" s="749"/>
      <c r="B183" s="750" t="s">
        <v>51</v>
      </c>
      <c r="C183" s="751">
        <f t="shared" ref="C183:T183" si="129">SUM(C181:C182)</f>
        <v>249971.22</v>
      </c>
      <c r="D183" s="752">
        <f t="shared" si="129"/>
        <v>0</v>
      </c>
      <c r="E183" s="752">
        <f t="shared" si="129"/>
        <v>0</v>
      </c>
      <c r="F183" s="752">
        <f t="shared" si="129"/>
        <v>0</v>
      </c>
      <c r="G183" s="752">
        <f t="shared" si="129"/>
        <v>0</v>
      </c>
      <c r="H183" s="752">
        <f t="shared" si="129"/>
        <v>0</v>
      </c>
      <c r="I183" s="752">
        <f t="shared" ref="I183:J183" si="130">SUM(I181:I182)</f>
        <v>0</v>
      </c>
      <c r="J183" s="752">
        <f t="shared" si="130"/>
        <v>0</v>
      </c>
      <c r="K183" s="753">
        <f t="shared" si="129"/>
        <v>249971.22</v>
      </c>
      <c r="L183" s="751">
        <f t="shared" si="129"/>
        <v>710353.42</v>
      </c>
      <c r="M183" s="752">
        <f t="shared" ref="M183:Q183" si="131">SUM(M181:M182)</f>
        <v>0</v>
      </c>
      <c r="N183" s="752">
        <f t="shared" si="131"/>
        <v>0</v>
      </c>
      <c r="O183" s="752">
        <f t="shared" si="131"/>
        <v>0</v>
      </c>
      <c r="P183" s="752">
        <f t="shared" si="131"/>
        <v>0</v>
      </c>
      <c r="Q183" s="752">
        <f t="shared" si="131"/>
        <v>0</v>
      </c>
      <c r="R183" s="752">
        <f t="shared" ref="R183:S183" si="132">SUM(R181:R182)</f>
        <v>0</v>
      </c>
      <c r="S183" s="752">
        <f t="shared" si="132"/>
        <v>0</v>
      </c>
      <c r="T183" s="754">
        <f t="shared" si="129"/>
        <v>710353.42</v>
      </c>
      <c r="U183" s="748">
        <f>K183-T183</f>
        <v>-460382.20000000007</v>
      </c>
    </row>
    <row r="184" spans="1:21" ht="16" thickTop="1">
      <c r="A184" s="269" t="s">
        <v>1568</v>
      </c>
      <c r="B184" s="745"/>
      <c r="C184" s="734"/>
      <c r="D184" s="746"/>
      <c r="E184" s="746"/>
      <c r="F184" s="746"/>
      <c r="G184" s="746"/>
      <c r="H184" s="746"/>
      <c r="I184" s="746"/>
      <c r="J184" s="746"/>
      <c r="K184" s="747"/>
      <c r="L184" s="734"/>
      <c r="M184" s="746"/>
      <c r="N184" s="746"/>
      <c r="O184" s="746"/>
      <c r="P184" s="746"/>
      <c r="Q184" s="746"/>
      <c r="R184" s="746"/>
      <c r="S184" s="746"/>
      <c r="T184" s="747"/>
    </row>
    <row r="185" spans="1:21" ht="16">
      <c r="A185" s="628" t="s">
        <v>207</v>
      </c>
      <c r="B185" s="745" t="s">
        <v>460</v>
      </c>
      <c r="C185" s="734">
        <f>IFERROR(VLOOKUP(A185,'TB CY'!A:G,7,)+VLOOKUP(A185,'TB CY'!A:G,6,),0)</f>
        <v>4697028.92</v>
      </c>
      <c r="D185" s="746"/>
      <c r="E185" s="746">
        <f>IFERROR(VLOOKUP(A185,'TB Other'!A:I,8,0),0)+IFERROR(VLOOKUP(A185,'TB Other'!A:I,9,0),0)</f>
        <v>0</v>
      </c>
      <c r="F185" s="746"/>
      <c r="G185" s="746">
        <f>IFERROR(VLOOKUP(A185,'TB Other'!A:E,4,),0)+IFERROR(VLOOKUP(A185,'TB Other'!A:E,5,),0)</f>
        <v>-595511</v>
      </c>
      <c r="H185" s="746"/>
      <c r="I185" s="746">
        <f>IFERROR(VLOOKUP(A185,'TB Other'!A:M,12,0),0)+IFERROR(VLOOKUP(A185,'TB Other'!A:M,13,0),0)</f>
        <v>0</v>
      </c>
      <c r="J185" s="746">
        <v>27000</v>
      </c>
      <c r="K185" s="747">
        <f>SUM(C185:J185)</f>
        <v>4128517.92</v>
      </c>
      <c r="L185" s="734">
        <f>VLOOKUP(A185,'TB PY'!A:G,7,)+VLOOKUP(A185,'TB PY'!A:G,6,)</f>
        <v>701277.26</v>
      </c>
      <c r="M185" s="746"/>
      <c r="N185" s="746"/>
      <c r="O185" s="746"/>
      <c r="P185" s="746">
        <v>668118</v>
      </c>
      <c r="Q185" s="746"/>
      <c r="R185" s="746"/>
      <c r="S185" s="746"/>
      <c r="T185" s="747">
        <f>SUM(L185:S185)</f>
        <v>1369395.26</v>
      </c>
      <c r="U185" s="748"/>
    </row>
    <row r="186" spans="1:21" ht="16" thickBot="1">
      <c r="A186" s="269"/>
      <c r="B186" s="745"/>
      <c r="C186" s="734"/>
      <c r="D186" s="746"/>
      <c r="E186" s="746"/>
      <c r="F186" s="746"/>
      <c r="G186" s="746"/>
      <c r="H186" s="746"/>
      <c r="I186" s="746"/>
      <c r="J186" s="746"/>
      <c r="K186" s="747"/>
      <c r="L186" s="734"/>
      <c r="M186" s="746"/>
      <c r="N186" s="746"/>
      <c r="O186" s="746"/>
      <c r="P186" s="746"/>
      <c r="Q186" s="746"/>
      <c r="R186" s="746"/>
      <c r="S186" s="746"/>
      <c r="T186" s="747"/>
    </row>
    <row r="187" spans="1:21" ht="17" thickTop="1" thickBot="1">
      <c r="A187" s="749"/>
      <c r="B187" s="750" t="s">
        <v>51</v>
      </c>
      <c r="C187" s="751">
        <f t="shared" ref="C187:T187" si="133">SUM(C185:C186)</f>
        <v>4697028.92</v>
      </c>
      <c r="D187" s="752">
        <f t="shared" si="133"/>
        <v>0</v>
      </c>
      <c r="E187" s="752">
        <f t="shared" si="133"/>
        <v>0</v>
      </c>
      <c r="F187" s="752">
        <f t="shared" si="133"/>
        <v>0</v>
      </c>
      <c r="G187" s="752">
        <f t="shared" si="133"/>
        <v>-595511</v>
      </c>
      <c r="H187" s="752">
        <f t="shared" si="133"/>
        <v>0</v>
      </c>
      <c r="I187" s="752">
        <f t="shared" ref="I187:J187" si="134">SUM(I185:I186)</f>
        <v>0</v>
      </c>
      <c r="J187" s="752">
        <f t="shared" si="134"/>
        <v>27000</v>
      </c>
      <c r="K187" s="753">
        <f t="shared" si="133"/>
        <v>4128517.92</v>
      </c>
      <c r="L187" s="751">
        <f t="shared" si="133"/>
        <v>701277.26</v>
      </c>
      <c r="M187" s="752">
        <f t="shared" ref="M187:Q187" si="135">SUM(M185:M186)</f>
        <v>0</v>
      </c>
      <c r="N187" s="752">
        <f t="shared" si="135"/>
        <v>0</v>
      </c>
      <c r="O187" s="752">
        <f t="shared" si="135"/>
        <v>0</v>
      </c>
      <c r="P187" s="752">
        <f t="shared" si="135"/>
        <v>668118</v>
      </c>
      <c r="Q187" s="752">
        <f t="shared" si="135"/>
        <v>0</v>
      </c>
      <c r="R187" s="752">
        <f t="shared" ref="R187:S187" si="136">SUM(R185:R186)</f>
        <v>0</v>
      </c>
      <c r="S187" s="752">
        <f t="shared" si="136"/>
        <v>0</v>
      </c>
      <c r="T187" s="754">
        <f t="shared" si="133"/>
        <v>1369395.26</v>
      </c>
      <c r="U187" s="748">
        <f>K187-T187</f>
        <v>2759122.66</v>
      </c>
    </row>
    <row r="188" spans="1:21" ht="16" thickTop="1">
      <c r="A188" s="269"/>
      <c r="B188" s="745"/>
      <c r="C188" s="734"/>
      <c r="D188" s="746"/>
      <c r="E188" s="746"/>
      <c r="F188" s="746"/>
      <c r="G188" s="746"/>
      <c r="H188" s="746"/>
      <c r="I188" s="746"/>
      <c r="J188" s="746"/>
      <c r="K188" s="747"/>
      <c r="L188" s="734"/>
      <c r="M188" s="746"/>
      <c r="N188" s="746"/>
      <c r="O188" s="746"/>
      <c r="P188" s="746"/>
      <c r="Q188" s="746"/>
      <c r="R188" s="746"/>
      <c r="S188" s="746"/>
      <c r="T188" s="747"/>
    </row>
    <row r="189" spans="1:21">
      <c r="A189" s="269" t="s">
        <v>1236</v>
      </c>
      <c r="B189" s="745"/>
      <c r="C189" s="734"/>
      <c r="D189" s="746"/>
      <c r="E189" s="746"/>
      <c r="F189" s="746"/>
      <c r="G189" s="746"/>
      <c r="H189" s="746"/>
      <c r="I189" s="746"/>
      <c r="J189" s="746"/>
      <c r="K189" s="747"/>
      <c r="L189" s="734"/>
      <c r="M189" s="746"/>
      <c r="N189" s="746"/>
      <c r="O189" s="746"/>
      <c r="P189" s="746"/>
      <c r="Q189" s="746"/>
      <c r="R189" s="746"/>
      <c r="S189" s="746"/>
      <c r="T189" s="747"/>
    </row>
    <row r="190" spans="1:21" ht="16">
      <c r="A190" s="628" t="s">
        <v>189</v>
      </c>
      <c r="B190" s="745" t="s">
        <v>460</v>
      </c>
      <c r="C190" s="734">
        <f>IFERROR(VLOOKUP(A190,'TB CY'!A:G,7,)+VLOOKUP(A190,'TB CY'!A:G,6,),0)</f>
        <v>604877</v>
      </c>
      <c r="D190" s="746"/>
      <c r="E190" s="746">
        <f>IFERROR(VLOOKUP(A190,'TB Other'!A:I,8,0),0)+IFERROR(VLOOKUP(A190,'TB Other'!A:I,9,0),0)</f>
        <v>0</v>
      </c>
      <c r="F190" s="746"/>
      <c r="G190" s="746">
        <f>IFERROR(VLOOKUP(A190,'TB Other'!A:E,4,),0)+IFERROR(VLOOKUP(A190,'TB Other'!A:E,5,),0)</f>
        <v>0</v>
      </c>
      <c r="H190" s="746"/>
      <c r="I190" s="746">
        <f>IFERROR(VLOOKUP(A190,'TB Other'!A:M,12,0),0)+IFERROR(VLOOKUP(A190,'TB Other'!A:M,13,0),0)</f>
        <v>0</v>
      </c>
      <c r="J190" s="746">
        <f>(309510+61882)*-1</f>
        <v>-371392</v>
      </c>
      <c r="K190" s="747">
        <f>SUM(C190:J190)</f>
        <v>233485</v>
      </c>
      <c r="L190" s="734">
        <f>VLOOKUP(A190,'TB PY'!A:G,7,)+VLOOKUP(A190,'TB PY'!A:G,6,)</f>
        <v>298328</v>
      </c>
      <c r="M190" s="746"/>
      <c r="N190" s="746"/>
      <c r="O190" s="746"/>
      <c r="P190" s="746"/>
      <c r="Q190" s="746"/>
      <c r="R190" s="746"/>
      <c r="S190" s="746"/>
      <c r="T190" s="747">
        <f>SUM(L190:S190)</f>
        <v>298328</v>
      </c>
      <c r="U190" s="748"/>
    </row>
    <row r="191" spans="1:21" ht="16" thickBot="1">
      <c r="A191" s="269"/>
      <c r="B191" s="745"/>
      <c r="C191" s="734"/>
      <c r="D191" s="746"/>
      <c r="E191" s="746"/>
      <c r="F191" s="746"/>
      <c r="G191" s="746"/>
      <c r="H191" s="746"/>
      <c r="I191" s="746"/>
      <c r="J191" s="746"/>
      <c r="K191" s="747"/>
      <c r="L191" s="734"/>
      <c r="M191" s="746"/>
      <c r="N191" s="746"/>
      <c r="O191" s="746"/>
      <c r="P191" s="746"/>
      <c r="Q191" s="746"/>
      <c r="R191" s="746"/>
      <c r="S191" s="746"/>
      <c r="T191" s="747"/>
    </row>
    <row r="192" spans="1:21" ht="17" thickTop="1" thickBot="1">
      <c r="A192" s="749"/>
      <c r="B192" s="750" t="s">
        <v>51</v>
      </c>
      <c r="C192" s="751">
        <f t="shared" ref="C192:T192" si="137">SUM(C190:C191)</f>
        <v>604877</v>
      </c>
      <c r="D192" s="752">
        <f t="shared" si="137"/>
        <v>0</v>
      </c>
      <c r="E192" s="752">
        <f t="shared" si="137"/>
        <v>0</v>
      </c>
      <c r="F192" s="752">
        <f t="shared" si="137"/>
        <v>0</v>
      </c>
      <c r="G192" s="752">
        <f t="shared" si="137"/>
        <v>0</v>
      </c>
      <c r="H192" s="752">
        <f t="shared" si="137"/>
        <v>0</v>
      </c>
      <c r="I192" s="752">
        <f t="shared" ref="I192:J192" si="138">SUM(I190:I191)</f>
        <v>0</v>
      </c>
      <c r="J192" s="752">
        <f t="shared" si="138"/>
        <v>-371392</v>
      </c>
      <c r="K192" s="753">
        <f t="shared" si="137"/>
        <v>233485</v>
      </c>
      <c r="L192" s="751">
        <f t="shared" si="137"/>
        <v>298328</v>
      </c>
      <c r="M192" s="752">
        <f t="shared" ref="M192:Q192" si="139">SUM(M190:M191)</f>
        <v>0</v>
      </c>
      <c r="N192" s="752">
        <f t="shared" si="139"/>
        <v>0</v>
      </c>
      <c r="O192" s="752">
        <f t="shared" si="139"/>
        <v>0</v>
      </c>
      <c r="P192" s="752">
        <f t="shared" si="139"/>
        <v>0</v>
      </c>
      <c r="Q192" s="752">
        <f t="shared" si="139"/>
        <v>0</v>
      </c>
      <c r="R192" s="752">
        <f t="shared" ref="R192:S192" si="140">SUM(R190:R191)</f>
        <v>0</v>
      </c>
      <c r="S192" s="752">
        <f t="shared" si="140"/>
        <v>0</v>
      </c>
      <c r="T192" s="754">
        <f t="shared" si="137"/>
        <v>298328</v>
      </c>
      <c r="U192" s="748">
        <f>K192-T192</f>
        <v>-64843</v>
      </c>
    </row>
    <row r="193" spans="1:21" ht="16" thickTop="1">
      <c r="A193" s="269"/>
      <c r="B193" s="745"/>
      <c r="C193" s="734"/>
      <c r="D193" s="746"/>
      <c r="E193" s="746"/>
      <c r="F193" s="746"/>
      <c r="G193" s="746"/>
      <c r="H193" s="746"/>
      <c r="I193" s="746"/>
      <c r="J193" s="746"/>
      <c r="K193" s="747"/>
      <c r="L193" s="734"/>
      <c r="M193" s="746"/>
      <c r="N193" s="746"/>
      <c r="O193" s="746"/>
      <c r="P193" s="746"/>
      <c r="Q193" s="746"/>
      <c r="R193" s="746"/>
      <c r="S193" s="746"/>
      <c r="T193" s="747"/>
    </row>
    <row r="194" spans="1:21">
      <c r="A194" s="269" t="s">
        <v>255</v>
      </c>
      <c r="B194" s="745"/>
      <c r="C194" s="734"/>
      <c r="D194" s="746"/>
      <c r="E194" s="746"/>
      <c r="F194" s="746"/>
      <c r="G194" s="746"/>
      <c r="H194" s="746"/>
      <c r="I194" s="746"/>
      <c r="J194" s="746"/>
      <c r="K194" s="747"/>
      <c r="L194" s="734"/>
      <c r="M194" s="746"/>
      <c r="N194" s="746"/>
      <c r="O194" s="746"/>
      <c r="P194" s="746"/>
      <c r="Q194" s="746"/>
      <c r="R194" s="746"/>
      <c r="S194" s="746"/>
      <c r="T194" s="747"/>
    </row>
    <row r="195" spans="1:21" ht="16">
      <c r="A195" s="628" t="s">
        <v>196</v>
      </c>
      <c r="B195" s="745" t="s">
        <v>460</v>
      </c>
      <c r="C195" s="734">
        <f>IFERROR(VLOOKUP(A195,'TB CY'!A:G,7,)+VLOOKUP(A195,'TB CY'!A:G,6,),0)</f>
        <v>32947</v>
      </c>
      <c r="D195" s="746"/>
      <c r="E195" s="746">
        <f>IFERROR(VLOOKUP(A195,'TB Other'!A:I,8,0),0)+IFERROR(VLOOKUP(A195,'TB Other'!A:I,9,0),0)</f>
        <v>0</v>
      </c>
      <c r="F195" s="746"/>
      <c r="G195" s="746">
        <f>IFERROR(VLOOKUP(A195,'TB Other'!A:E,4,),0)+IFERROR(VLOOKUP(A195,'TB Other'!A:E,5,),0)</f>
        <v>0</v>
      </c>
      <c r="H195" s="746"/>
      <c r="I195" s="746">
        <f>IFERROR(VLOOKUP(A195,'TB Other'!A:M,12,0),0)+IFERROR(VLOOKUP(A195,'TB Other'!A:M,13,0),0)</f>
        <v>0</v>
      </c>
      <c r="J195" s="746"/>
      <c r="K195" s="747">
        <f t="shared" ref="K195:K196" si="141">SUM(C195:J195)</f>
        <v>32947</v>
      </c>
      <c r="L195" s="734">
        <f>VLOOKUP(A195,'TB PY'!A:G,7,)+VLOOKUP(A195,'TB PY'!A:G,6,)</f>
        <v>29482</v>
      </c>
      <c r="M195" s="746"/>
      <c r="N195" s="746"/>
      <c r="O195" s="746"/>
      <c r="P195" s="746"/>
      <c r="Q195" s="746"/>
      <c r="R195" s="746"/>
      <c r="S195" s="746"/>
      <c r="T195" s="747">
        <f t="shared" ref="T195:T196" si="142">SUM(L195:S195)</f>
        <v>29482</v>
      </c>
      <c r="U195" s="748"/>
    </row>
    <row r="196" spans="1:21" ht="16">
      <c r="A196" s="628" t="s">
        <v>1598</v>
      </c>
      <c r="B196" s="745" t="s">
        <v>460</v>
      </c>
      <c r="C196" s="734">
        <f>IFERROR(VLOOKUP(A196,'TB CY'!A:G,7,)+VLOOKUP(A196,'TB CY'!A:G,6,),0)</f>
        <v>0</v>
      </c>
      <c r="D196" s="746"/>
      <c r="E196" s="746">
        <f>IFERROR(VLOOKUP(A196,'TB Other'!A:I,8,0),0)+IFERROR(VLOOKUP(A196,'TB Other'!A:I,9,0),0)</f>
        <v>0</v>
      </c>
      <c r="F196" s="746"/>
      <c r="G196" s="746">
        <f>IFERROR(VLOOKUP(A196,'TB Other'!A:E,4,),0)+IFERROR(VLOOKUP(A196,'TB Other'!A:E,5,),0)</f>
        <v>0</v>
      </c>
      <c r="H196" s="746"/>
      <c r="I196" s="746">
        <f>IFERROR(VLOOKUP(A196,'TB Other'!A:M,12,0),0)+IFERROR(VLOOKUP(A196,'TB Other'!A:M,13,0),0)</f>
        <v>42840</v>
      </c>
      <c r="J196" s="746"/>
      <c r="K196" s="747">
        <f t="shared" si="141"/>
        <v>42840</v>
      </c>
      <c r="L196" s="734">
        <f>IFERROR(VLOOKUP(A196,'TB PY'!A:G,7,),0)+IFERROR(VLOOKUP(A196,'TB PY'!A:G,6,),0)</f>
        <v>0</v>
      </c>
      <c r="M196" s="746"/>
      <c r="N196" s="746"/>
      <c r="O196" s="746"/>
      <c r="P196" s="746"/>
      <c r="Q196" s="746"/>
      <c r="R196" s="746"/>
      <c r="S196" s="746"/>
      <c r="T196" s="747">
        <f t="shared" si="142"/>
        <v>0</v>
      </c>
      <c r="U196" s="748"/>
    </row>
    <row r="197" spans="1:21" ht="16" thickBot="1">
      <c r="A197" s="269"/>
      <c r="B197" s="745"/>
      <c r="C197" s="734"/>
      <c r="D197" s="746"/>
      <c r="E197" s="746"/>
      <c r="F197" s="746"/>
      <c r="G197" s="746"/>
      <c r="H197" s="746"/>
      <c r="I197" s="746"/>
      <c r="J197" s="746"/>
      <c r="K197" s="747"/>
      <c r="L197" s="734"/>
      <c r="M197" s="746"/>
      <c r="N197" s="746"/>
      <c r="O197" s="746"/>
      <c r="P197" s="746"/>
      <c r="Q197" s="746"/>
      <c r="R197" s="746"/>
      <c r="S197" s="746"/>
      <c r="T197" s="747"/>
    </row>
    <row r="198" spans="1:21" ht="17" thickTop="1" thickBot="1">
      <c r="A198" s="749"/>
      <c r="B198" s="750" t="s">
        <v>51</v>
      </c>
      <c r="C198" s="751">
        <f t="shared" ref="C198:J198" si="143">SUM(C195:C197)</f>
        <v>32947</v>
      </c>
      <c r="D198" s="752">
        <f t="shared" si="143"/>
        <v>0</v>
      </c>
      <c r="E198" s="752">
        <f t="shared" si="143"/>
        <v>0</v>
      </c>
      <c r="F198" s="752">
        <f t="shared" si="143"/>
        <v>0</v>
      </c>
      <c r="G198" s="752">
        <f t="shared" si="143"/>
        <v>0</v>
      </c>
      <c r="H198" s="752">
        <f t="shared" si="143"/>
        <v>0</v>
      </c>
      <c r="I198" s="752">
        <f t="shared" si="143"/>
        <v>42840</v>
      </c>
      <c r="J198" s="752">
        <f t="shared" si="143"/>
        <v>0</v>
      </c>
      <c r="K198" s="753">
        <f>SUM(K195:K197)</f>
        <v>75787</v>
      </c>
      <c r="L198" s="751">
        <f t="shared" ref="L198:T198" si="144">SUM(L195:L197)</f>
        <v>29482</v>
      </c>
      <c r="M198" s="752">
        <f t="shared" si="144"/>
        <v>0</v>
      </c>
      <c r="N198" s="752">
        <f t="shared" si="144"/>
        <v>0</v>
      </c>
      <c r="O198" s="752">
        <f t="shared" si="144"/>
        <v>0</v>
      </c>
      <c r="P198" s="752">
        <f t="shared" si="144"/>
        <v>0</v>
      </c>
      <c r="Q198" s="752">
        <f t="shared" si="144"/>
        <v>0</v>
      </c>
      <c r="R198" s="752">
        <f t="shared" si="144"/>
        <v>0</v>
      </c>
      <c r="S198" s="752">
        <f t="shared" si="144"/>
        <v>0</v>
      </c>
      <c r="T198" s="754">
        <f t="shared" si="144"/>
        <v>29482</v>
      </c>
      <c r="U198" s="748">
        <f>K198-T198</f>
        <v>46305</v>
      </c>
    </row>
    <row r="199" spans="1:21" ht="16" thickTop="1">
      <c r="A199" s="269"/>
      <c r="B199" s="745"/>
      <c r="C199" s="734"/>
      <c r="D199" s="746"/>
      <c r="E199" s="746"/>
      <c r="F199" s="746"/>
      <c r="G199" s="746"/>
      <c r="H199" s="746"/>
      <c r="I199" s="746"/>
      <c r="J199" s="746"/>
      <c r="K199" s="747"/>
      <c r="L199" s="734"/>
      <c r="M199" s="746"/>
      <c r="N199" s="746"/>
      <c r="O199" s="746"/>
      <c r="P199" s="746"/>
      <c r="Q199" s="746"/>
      <c r="R199" s="746"/>
      <c r="S199" s="746"/>
      <c r="T199" s="747"/>
    </row>
    <row r="200" spans="1:21">
      <c r="A200" s="269" t="s">
        <v>1089</v>
      </c>
      <c r="B200" s="745"/>
      <c r="C200" s="734"/>
      <c r="D200" s="746"/>
      <c r="E200" s="746"/>
      <c r="F200" s="746"/>
      <c r="G200" s="746"/>
      <c r="H200" s="746"/>
      <c r="I200" s="746"/>
      <c r="J200" s="746"/>
      <c r="K200" s="747"/>
      <c r="L200" s="734"/>
      <c r="M200" s="746"/>
      <c r="N200" s="746"/>
      <c r="O200" s="746"/>
      <c r="P200" s="746"/>
      <c r="Q200" s="746"/>
      <c r="R200" s="746"/>
      <c r="S200" s="746"/>
      <c r="T200" s="747"/>
    </row>
    <row r="201" spans="1:21" ht="16">
      <c r="A201" s="628" t="s">
        <v>1546</v>
      </c>
      <c r="B201" s="745" t="s">
        <v>460</v>
      </c>
      <c r="C201" s="734">
        <f>IFERROR(VLOOKUP(A201,'TB CY'!A:G,7,)+VLOOKUP(A201,'TB CY'!A:G,6,),0)</f>
        <v>124818.6</v>
      </c>
      <c r="D201" s="746"/>
      <c r="E201" s="746">
        <f>IFERROR(VLOOKUP(A201,'TB Other'!A:I,8,0),0)+IFERROR(VLOOKUP(A201,'TB Other'!A:I,9,0),0)</f>
        <v>0</v>
      </c>
      <c r="F201" s="746"/>
      <c r="G201" s="746">
        <f>IFERROR(VLOOKUP(A201,'TB Other'!A:E,4,),0)+IFERROR(VLOOKUP(A201,'TB Other'!A:E,5,),0)</f>
        <v>0</v>
      </c>
      <c r="H201" s="746"/>
      <c r="I201" s="746">
        <f>IFERROR(VLOOKUP(A201,'TB Other'!A:M,12,0),0)+IFERROR(VLOOKUP(A201,'TB Other'!A:M,13,0),0)</f>
        <v>0</v>
      </c>
      <c r="J201" s="746">
        <v>-86741.14</v>
      </c>
      <c r="K201" s="747">
        <f t="shared" ref="K201:K202" si="145">SUM(C201:J201)</f>
        <v>38077.460000000006</v>
      </c>
      <c r="L201" s="734">
        <f>IFERROR(VLOOKUP(A201,'TB PY'!A:G,7,),0)+IFERROR(VLOOKUP(A201,'TB PY'!A:G,6,),0)</f>
        <v>0</v>
      </c>
      <c r="M201" s="746"/>
      <c r="N201" s="746"/>
      <c r="O201" s="746"/>
      <c r="P201" s="746"/>
      <c r="Q201" s="746"/>
      <c r="R201" s="746"/>
      <c r="S201" s="746"/>
      <c r="T201" s="747">
        <f t="shared" ref="T201:T202" si="146">SUM(L201:S201)</f>
        <v>0</v>
      </c>
      <c r="U201" s="748"/>
    </row>
    <row r="202" spans="1:21" ht="16">
      <c r="A202" s="628" t="s">
        <v>198</v>
      </c>
      <c r="B202" s="745" t="s">
        <v>460</v>
      </c>
      <c r="C202" s="734">
        <f>IFERROR(VLOOKUP(A202,'TB CY'!A:G,7,)+VLOOKUP(A202,'TB CY'!A:G,6,),0)</f>
        <v>0</v>
      </c>
      <c r="D202" s="746"/>
      <c r="E202" s="746">
        <f>IFERROR(VLOOKUP(A202,'TB Other'!A:I,8,0),0)+IFERROR(VLOOKUP(A202,'TB Other'!A:I,9,0),0)</f>
        <v>0</v>
      </c>
      <c r="F202" s="746"/>
      <c r="G202" s="746">
        <f>IFERROR(VLOOKUP(A202,'TB Other'!A:E,4,),0)+IFERROR(VLOOKUP(A202,'TB Other'!A:E,5,),0)</f>
        <v>0</v>
      </c>
      <c r="H202" s="746"/>
      <c r="I202" s="746">
        <f>IFERROR(VLOOKUP(A202,'TB Other'!A:M,12,0),0)+IFERROR(VLOOKUP(A202,'TB Other'!A:M,13,0),0)</f>
        <v>0</v>
      </c>
      <c r="J202" s="746"/>
      <c r="K202" s="747">
        <f t="shared" si="145"/>
        <v>0</v>
      </c>
      <c r="L202" s="734">
        <f>VLOOKUP(A202,'TB PY'!A:G,7,)+VLOOKUP(A202,'TB PY'!A:G,6,)</f>
        <v>122301.48</v>
      </c>
      <c r="M202" s="746"/>
      <c r="N202" s="746"/>
      <c r="O202" s="746"/>
      <c r="P202" s="746"/>
      <c r="Q202" s="746"/>
      <c r="R202" s="746"/>
      <c r="S202" s="746"/>
      <c r="T202" s="747">
        <f t="shared" si="146"/>
        <v>122301.48</v>
      </c>
      <c r="U202" s="748"/>
    </row>
    <row r="203" spans="1:21" ht="16" thickBot="1">
      <c r="A203" s="269"/>
      <c r="B203" s="745"/>
      <c r="C203" s="734"/>
      <c r="D203" s="746"/>
      <c r="E203" s="746"/>
      <c r="F203" s="746"/>
      <c r="G203" s="746"/>
      <c r="H203" s="746"/>
      <c r="I203" s="746"/>
      <c r="J203" s="746"/>
      <c r="K203" s="747"/>
      <c r="L203" s="734"/>
      <c r="M203" s="746"/>
      <c r="N203" s="746"/>
      <c r="O203" s="746"/>
      <c r="P203" s="746"/>
      <c r="Q203" s="746"/>
      <c r="R203" s="746"/>
      <c r="S203" s="746"/>
      <c r="T203" s="747"/>
    </row>
    <row r="204" spans="1:21" ht="17" thickTop="1" thickBot="1">
      <c r="A204" s="749"/>
      <c r="B204" s="750" t="s">
        <v>51</v>
      </c>
      <c r="C204" s="751">
        <f>SUM(C201:C203)</f>
        <v>124818.6</v>
      </c>
      <c r="D204" s="752">
        <f t="shared" ref="D204:T204" si="147">SUM(D201:D203)</f>
        <v>0</v>
      </c>
      <c r="E204" s="752">
        <f t="shared" si="147"/>
        <v>0</v>
      </c>
      <c r="F204" s="752">
        <f t="shared" si="147"/>
        <v>0</v>
      </c>
      <c r="G204" s="752">
        <f t="shared" si="147"/>
        <v>0</v>
      </c>
      <c r="H204" s="752">
        <f t="shared" si="147"/>
        <v>0</v>
      </c>
      <c r="I204" s="752">
        <f t="shared" ref="I204:J204" si="148">SUM(I201:I203)</f>
        <v>0</v>
      </c>
      <c r="J204" s="752">
        <f t="shared" si="148"/>
        <v>-86741.14</v>
      </c>
      <c r="K204" s="753">
        <f t="shared" si="147"/>
        <v>38077.460000000006</v>
      </c>
      <c r="L204" s="751">
        <f t="shared" si="147"/>
        <v>122301.48</v>
      </c>
      <c r="M204" s="752">
        <f t="shared" si="147"/>
        <v>0</v>
      </c>
      <c r="N204" s="752">
        <f t="shared" si="147"/>
        <v>0</v>
      </c>
      <c r="O204" s="752">
        <f t="shared" si="147"/>
        <v>0</v>
      </c>
      <c r="P204" s="752">
        <f t="shared" si="147"/>
        <v>0</v>
      </c>
      <c r="Q204" s="752">
        <f t="shared" si="147"/>
        <v>0</v>
      </c>
      <c r="R204" s="752">
        <f t="shared" ref="R204:S204" si="149">SUM(R201:R203)</f>
        <v>0</v>
      </c>
      <c r="S204" s="752">
        <f t="shared" si="149"/>
        <v>0</v>
      </c>
      <c r="T204" s="754">
        <f t="shared" si="147"/>
        <v>122301.48</v>
      </c>
      <c r="U204" s="748">
        <f>K204-T204</f>
        <v>-84224.01999999999</v>
      </c>
    </row>
    <row r="205" spans="1:21" ht="16" thickTop="1">
      <c r="A205" s="269"/>
      <c r="B205" s="745"/>
      <c r="C205" s="734"/>
      <c r="D205" s="746"/>
      <c r="E205" s="746"/>
      <c r="F205" s="746"/>
      <c r="G205" s="746"/>
      <c r="H205" s="746"/>
      <c r="I205" s="746"/>
      <c r="J205" s="746"/>
      <c r="K205" s="747"/>
      <c r="L205" s="734"/>
      <c r="M205" s="746"/>
      <c r="N205" s="746"/>
      <c r="O205" s="746"/>
      <c r="P205" s="746"/>
      <c r="Q205" s="746"/>
      <c r="R205" s="746"/>
      <c r="S205" s="746"/>
      <c r="T205" s="747"/>
    </row>
    <row r="206" spans="1:21">
      <c r="A206" s="269" t="s">
        <v>1567</v>
      </c>
      <c r="B206" s="745"/>
      <c r="C206" s="734"/>
      <c r="D206" s="746"/>
      <c r="E206" s="746"/>
      <c r="F206" s="746"/>
      <c r="G206" s="746"/>
      <c r="H206" s="746"/>
      <c r="I206" s="746"/>
      <c r="J206" s="746"/>
      <c r="K206" s="747"/>
      <c r="L206" s="734"/>
      <c r="M206" s="746"/>
      <c r="N206" s="746"/>
      <c r="O206" s="746"/>
      <c r="P206" s="746"/>
      <c r="Q206" s="746"/>
      <c r="R206" s="746"/>
      <c r="S206" s="746"/>
      <c r="T206" s="747"/>
    </row>
    <row r="207" spans="1:21" ht="16">
      <c r="A207" s="628" t="s">
        <v>204</v>
      </c>
      <c r="B207" s="745" t="s">
        <v>460</v>
      </c>
      <c r="C207" s="734">
        <f>IFERROR(VLOOKUP(A207,'TB CY'!A:G,7,)+VLOOKUP(A207,'TB CY'!A:G,6,),0)</f>
        <v>0</v>
      </c>
      <c r="D207" s="746"/>
      <c r="E207" s="746">
        <f>IFERROR(VLOOKUP(A207,'TB Other'!A:I,8,0),0)+IFERROR(VLOOKUP(A207,'TB Other'!A:I,9,0),0)</f>
        <v>0</v>
      </c>
      <c r="F207" s="746"/>
      <c r="G207" s="746">
        <f>IFERROR(VLOOKUP(A207,'TB Other'!A:E,4,),0)+IFERROR(VLOOKUP(A207,'TB Other'!A:E,5,),0)</f>
        <v>0</v>
      </c>
      <c r="H207" s="746"/>
      <c r="I207" s="746">
        <f>IFERROR(VLOOKUP(A207,'TB Other'!A:M,12,0),0)+IFERROR(VLOOKUP(A207,'TB Other'!A:M,13,0),0)</f>
        <v>0</v>
      </c>
      <c r="J207" s="746"/>
      <c r="K207" s="747">
        <f>SUM(C207:J207)</f>
        <v>0</v>
      </c>
      <c r="L207" s="734">
        <f>VLOOKUP(A207,'TB PY'!A:G,7,)+VLOOKUP(A207,'TB PY'!A:G,6,)</f>
        <v>5774.07</v>
      </c>
      <c r="M207" s="746"/>
      <c r="N207" s="746"/>
      <c r="O207" s="746"/>
      <c r="P207" s="746"/>
      <c r="Q207" s="746"/>
      <c r="R207" s="746"/>
      <c r="S207" s="746"/>
      <c r="T207" s="747">
        <f>SUM(L207:S207)</f>
        <v>5774.07</v>
      </c>
      <c r="U207" s="748"/>
    </row>
    <row r="208" spans="1:21" ht="16" thickBot="1">
      <c r="A208" s="269"/>
      <c r="B208" s="745"/>
      <c r="C208" s="734"/>
      <c r="D208" s="746"/>
      <c r="E208" s="746"/>
      <c r="F208" s="746"/>
      <c r="G208" s="746"/>
      <c r="H208" s="746"/>
      <c r="I208" s="746"/>
      <c r="J208" s="746"/>
      <c r="K208" s="747"/>
      <c r="L208" s="734"/>
      <c r="M208" s="746"/>
      <c r="N208" s="746"/>
      <c r="O208" s="746"/>
      <c r="P208" s="746"/>
      <c r="Q208" s="746"/>
      <c r="R208" s="746"/>
      <c r="S208" s="746"/>
      <c r="T208" s="747"/>
    </row>
    <row r="209" spans="1:21" ht="17" thickTop="1" thickBot="1">
      <c r="A209" s="749"/>
      <c r="B209" s="750" t="s">
        <v>51</v>
      </c>
      <c r="C209" s="751">
        <f t="shared" ref="C209:T209" si="150">SUM(C207:C208)</f>
        <v>0</v>
      </c>
      <c r="D209" s="752">
        <f t="shared" si="150"/>
        <v>0</v>
      </c>
      <c r="E209" s="752">
        <f t="shared" si="150"/>
        <v>0</v>
      </c>
      <c r="F209" s="752">
        <f t="shared" si="150"/>
        <v>0</v>
      </c>
      <c r="G209" s="752">
        <f t="shared" si="150"/>
        <v>0</v>
      </c>
      <c r="H209" s="752">
        <f t="shared" si="150"/>
        <v>0</v>
      </c>
      <c r="I209" s="752">
        <f t="shared" ref="I209:J209" si="151">SUM(I207:I208)</f>
        <v>0</v>
      </c>
      <c r="J209" s="752">
        <f t="shared" si="151"/>
        <v>0</v>
      </c>
      <c r="K209" s="754">
        <f t="shared" si="150"/>
        <v>0</v>
      </c>
      <c r="L209" s="751">
        <f t="shared" si="150"/>
        <v>5774.07</v>
      </c>
      <c r="M209" s="752">
        <f t="shared" ref="M209:Q209" si="152">SUM(M207:M208)</f>
        <v>0</v>
      </c>
      <c r="N209" s="752">
        <f t="shared" si="152"/>
        <v>0</v>
      </c>
      <c r="O209" s="752">
        <f t="shared" si="152"/>
        <v>0</v>
      </c>
      <c r="P209" s="752">
        <f t="shared" si="152"/>
        <v>0</v>
      </c>
      <c r="Q209" s="752">
        <f t="shared" si="152"/>
        <v>0</v>
      </c>
      <c r="R209" s="752">
        <f t="shared" ref="R209:S209" si="153">SUM(R207:R208)</f>
        <v>0</v>
      </c>
      <c r="S209" s="752">
        <f t="shared" si="153"/>
        <v>0</v>
      </c>
      <c r="T209" s="754">
        <f t="shared" si="150"/>
        <v>5774.07</v>
      </c>
      <c r="U209" s="748">
        <f>K209-T209</f>
        <v>-5774.07</v>
      </c>
    </row>
    <row r="210" spans="1:21" ht="16" thickTop="1">
      <c r="A210" s="269" t="s">
        <v>320</v>
      </c>
      <c r="B210" s="745"/>
      <c r="C210" s="734"/>
      <c r="D210" s="746"/>
      <c r="E210" s="746"/>
      <c r="F210" s="746"/>
      <c r="G210" s="746"/>
      <c r="H210" s="746"/>
      <c r="I210" s="746"/>
      <c r="J210" s="746"/>
      <c r="K210" s="747"/>
      <c r="L210" s="734"/>
      <c r="M210" s="746"/>
      <c r="N210" s="746"/>
      <c r="O210" s="746"/>
      <c r="P210" s="746"/>
      <c r="Q210" s="746"/>
      <c r="R210" s="746"/>
      <c r="S210" s="746"/>
      <c r="T210" s="747"/>
    </row>
    <row r="211" spans="1:21" ht="16">
      <c r="A211" s="628" t="s">
        <v>200</v>
      </c>
      <c r="B211" s="745" t="s">
        <v>460</v>
      </c>
      <c r="C211" s="734">
        <f>IFERROR(VLOOKUP(A211,'TB CY'!A:G,7,)+VLOOKUP(A211,'TB CY'!A:G,6,),0)</f>
        <v>90277</v>
      </c>
      <c r="D211" s="746"/>
      <c r="E211" s="746">
        <f>IFERROR(VLOOKUP(A211,'TB Other'!A:I,8,0),0)+IFERROR(VLOOKUP(A211,'TB Other'!A:I,9,0),0)</f>
        <v>0</v>
      </c>
      <c r="F211" s="746"/>
      <c r="G211" s="746">
        <f>IFERROR(VLOOKUP(A211,'TB Other'!A:E,4,),0)+IFERROR(VLOOKUP(A211,'TB Other'!A:E,5,),0)</f>
        <v>0</v>
      </c>
      <c r="H211" s="746"/>
      <c r="I211" s="746">
        <f>IFERROR(VLOOKUP(A211,'TB Other'!A:M,12,0),0)+IFERROR(VLOOKUP(A211,'TB Other'!A:M,13,0),0)</f>
        <v>0</v>
      </c>
      <c r="J211" s="746">
        <f>4410+6602</f>
        <v>11012</v>
      </c>
      <c r="K211" s="747">
        <f>SUM(C211:J211)</f>
        <v>101289</v>
      </c>
      <c r="L211" s="734">
        <f>VLOOKUP(A211,'TB PY'!A:G,7,)+VLOOKUP(A211,'TB PY'!A:G,6,)</f>
        <v>29262</v>
      </c>
      <c r="M211" s="746"/>
      <c r="N211" s="746"/>
      <c r="O211" s="746"/>
      <c r="P211" s="746"/>
      <c r="Q211" s="746"/>
      <c r="R211" s="746"/>
      <c r="S211" s="746"/>
      <c r="T211" s="747">
        <f>SUM(L211:S211)</f>
        <v>29262</v>
      </c>
      <c r="U211" s="748"/>
    </row>
    <row r="212" spans="1:21" ht="16" thickBot="1">
      <c r="A212" s="269"/>
      <c r="B212" s="745"/>
      <c r="C212" s="734"/>
      <c r="D212" s="746"/>
      <c r="E212" s="746"/>
      <c r="F212" s="746"/>
      <c r="G212" s="746"/>
      <c r="H212" s="746"/>
      <c r="I212" s="746"/>
      <c r="J212" s="746"/>
      <c r="K212" s="747"/>
      <c r="L212" s="734"/>
      <c r="M212" s="746"/>
      <c r="N212" s="746"/>
      <c r="O212" s="746"/>
      <c r="P212" s="746"/>
      <c r="Q212" s="746"/>
      <c r="R212" s="746"/>
      <c r="S212" s="746"/>
      <c r="T212" s="747"/>
    </row>
    <row r="213" spans="1:21" ht="17" thickTop="1" thickBot="1">
      <c r="A213" s="749"/>
      <c r="B213" s="750" t="s">
        <v>51</v>
      </c>
      <c r="C213" s="751">
        <f t="shared" ref="C213:T213" si="154">SUM(C211:C212)</f>
        <v>90277</v>
      </c>
      <c r="D213" s="752">
        <f t="shared" si="154"/>
        <v>0</v>
      </c>
      <c r="E213" s="752">
        <f t="shared" si="154"/>
        <v>0</v>
      </c>
      <c r="F213" s="752">
        <f t="shared" si="154"/>
        <v>0</v>
      </c>
      <c r="G213" s="752">
        <f t="shared" si="154"/>
        <v>0</v>
      </c>
      <c r="H213" s="752">
        <f t="shared" si="154"/>
        <v>0</v>
      </c>
      <c r="I213" s="752">
        <f t="shared" ref="I213:J213" si="155">SUM(I211:I212)</f>
        <v>0</v>
      </c>
      <c r="J213" s="752">
        <f t="shared" si="155"/>
        <v>11012</v>
      </c>
      <c r="K213" s="753">
        <f t="shared" si="154"/>
        <v>101289</v>
      </c>
      <c r="L213" s="751">
        <f t="shared" si="154"/>
        <v>29262</v>
      </c>
      <c r="M213" s="752">
        <f t="shared" ref="M213:Q213" si="156">SUM(M211:M212)</f>
        <v>0</v>
      </c>
      <c r="N213" s="752">
        <f t="shared" si="156"/>
        <v>0</v>
      </c>
      <c r="O213" s="752">
        <f t="shared" si="156"/>
        <v>0</v>
      </c>
      <c r="P213" s="752">
        <f t="shared" si="156"/>
        <v>0</v>
      </c>
      <c r="Q213" s="752">
        <f t="shared" si="156"/>
        <v>0</v>
      </c>
      <c r="R213" s="752">
        <f t="shared" ref="R213:S213" si="157">SUM(R211:R212)</f>
        <v>0</v>
      </c>
      <c r="S213" s="752">
        <f t="shared" si="157"/>
        <v>0</v>
      </c>
      <c r="T213" s="754">
        <f t="shared" si="154"/>
        <v>29262</v>
      </c>
      <c r="U213" s="748">
        <f>K213-T213</f>
        <v>72027</v>
      </c>
    </row>
    <row r="214" spans="1:21" ht="16" thickTop="1">
      <c r="B214" s="756"/>
      <c r="C214" s="734"/>
      <c r="D214" s="746"/>
      <c r="E214" s="746"/>
      <c r="F214" s="746"/>
      <c r="G214" s="746"/>
      <c r="H214" s="746"/>
      <c r="I214" s="746"/>
      <c r="J214" s="746"/>
      <c r="K214" s="747"/>
      <c r="L214" s="734"/>
      <c r="M214" s="746"/>
      <c r="N214" s="746"/>
      <c r="O214" s="746"/>
      <c r="P214" s="746"/>
      <c r="Q214" s="746"/>
      <c r="R214" s="746"/>
      <c r="S214" s="746"/>
      <c r="T214" s="747"/>
      <c r="U214" s="748"/>
    </row>
    <row r="215" spans="1:21">
      <c r="A215" s="269" t="s">
        <v>1237</v>
      </c>
      <c r="B215" s="745"/>
      <c r="C215" s="734"/>
      <c r="D215" s="746"/>
      <c r="E215" s="746"/>
      <c r="F215" s="746"/>
      <c r="G215" s="746"/>
      <c r="H215" s="746"/>
      <c r="I215" s="746"/>
      <c r="J215" s="746"/>
      <c r="K215" s="747"/>
      <c r="L215" s="734"/>
      <c r="M215" s="746"/>
      <c r="N215" s="746"/>
      <c r="O215" s="746"/>
      <c r="P215" s="746"/>
      <c r="Q215" s="746"/>
      <c r="R215" s="746"/>
      <c r="S215" s="746"/>
      <c r="T215" s="747"/>
    </row>
    <row r="216" spans="1:21" ht="16">
      <c r="A216" s="628" t="s">
        <v>165</v>
      </c>
      <c r="B216" s="745" t="s">
        <v>460</v>
      </c>
      <c r="C216" s="734">
        <f>IFERROR(VLOOKUP(A216,'TB CY'!A:G,7,)+VLOOKUP(A216,'TB CY'!A:G,6,),0)</f>
        <v>4745.72</v>
      </c>
      <c r="D216" s="746"/>
      <c r="E216" s="746">
        <f>IFERROR(VLOOKUP(A216,'TB Other'!A:I,8,0),0)+IFERROR(VLOOKUP(A216,'TB Other'!A:I,9,0),0)</f>
        <v>0</v>
      </c>
      <c r="F216" s="746"/>
      <c r="G216" s="746">
        <f>IFERROR(VLOOKUP(A216,'TB Other'!A:E,4,),0)+IFERROR(VLOOKUP(A216,'TB Other'!A:E,5,),0)</f>
        <v>0</v>
      </c>
      <c r="H216" s="746"/>
      <c r="I216" s="746">
        <f>IFERROR(VLOOKUP(A216,'TB Other'!A:M,12,0),0)+IFERROR(VLOOKUP(A216,'TB Other'!A:M,13,0),0)</f>
        <v>0</v>
      </c>
      <c r="J216" s="746"/>
      <c r="K216" s="747">
        <f t="shared" ref="K216:K219" si="158">SUM(C216:J216)</f>
        <v>4745.72</v>
      </c>
      <c r="L216" s="734">
        <f>VLOOKUP(A216,'TB PY'!A:G,7,)+VLOOKUP(A216,'TB PY'!A:G,6,)</f>
        <v>2121438.34</v>
      </c>
      <c r="M216" s="746"/>
      <c r="N216" s="746"/>
      <c r="O216" s="746"/>
      <c r="P216" s="746">
        <v>140670</v>
      </c>
      <c r="Q216" s="746"/>
      <c r="R216" s="746"/>
      <c r="S216" s="746"/>
      <c r="T216" s="747">
        <f t="shared" ref="T216:T219" si="159">SUM(L216:S216)</f>
        <v>2262108.34</v>
      </c>
      <c r="U216" s="748"/>
    </row>
    <row r="217" spans="1:21" ht="32">
      <c r="A217" s="628" t="s">
        <v>1596</v>
      </c>
      <c r="B217" s="745" t="s">
        <v>460</v>
      </c>
      <c r="C217" s="734">
        <f>IFERROR(VLOOKUP(A217,'TB CY'!A:G,7,)+VLOOKUP(A217,'TB CY'!A:G,6,),0)</f>
        <v>0</v>
      </c>
      <c r="D217" s="746"/>
      <c r="E217" s="746">
        <f>IFERROR(VLOOKUP(A217,'TB Other'!A:I,8,0),0)+IFERROR(VLOOKUP(A217,'TB Other'!A:I,9,0),0)</f>
        <v>0</v>
      </c>
      <c r="F217" s="746"/>
      <c r="G217" s="746">
        <f>IFERROR(VLOOKUP(A217,'TB Other'!A:E,4,),0)+IFERROR(VLOOKUP(A217,'TB Other'!A:E,5,),0)</f>
        <v>28691.86</v>
      </c>
      <c r="H217" s="746"/>
      <c r="I217" s="746">
        <f>IFERROR(VLOOKUP(A217,'TB Other'!A:M,12,0),0)+IFERROR(VLOOKUP(A217,'TB Other'!A:M,13,0),0)</f>
        <v>0</v>
      </c>
      <c r="J217" s="746"/>
      <c r="K217" s="747">
        <f t="shared" si="158"/>
        <v>28691.86</v>
      </c>
      <c r="L217" s="734">
        <f>IFERROR(VLOOKUP(A217,'TB PY'!A:G,7,),0)+IFERROR(VLOOKUP(A217,'TB PY'!A:G,6,),0)</f>
        <v>0</v>
      </c>
      <c r="M217" s="746"/>
      <c r="N217" s="746"/>
      <c r="O217" s="746"/>
      <c r="P217" s="746"/>
      <c r="Q217" s="746"/>
      <c r="R217" s="746"/>
      <c r="S217" s="746"/>
      <c r="T217" s="747">
        <f t="shared" si="159"/>
        <v>0</v>
      </c>
      <c r="U217" s="748"/>
    </row>
    <row r="218" spans="1:21" ht="32">
      <c r="A218" s="628" t="s">
        <v>1601</v>
      </c>
      <c r="B218" s="745" t="s">
        <v>460</v>
      </c>
      <c r="C218" s="734">
        <f>IFERROR(VLOOKUP(A218,'TB CY'!A:G,7,)+VLOOKUP(A218,'TB CY'!A:G,6,),0)</f>
        <v>0</v>
      </c>
      <c r="D218" s="746"/>
      <c r="E218" s="746">
        <f>IFERROR(VLOOKUP(A218,'TB Other'!A:I,8,0),0)+IFERROR(VLOOKUP(A218,'TB Other'!A:I,9,0),0)</f>
        <v>62654.080000000002</v>
      </c>
      <c r="F218" s="746"/>
      <c r="G218" s="746">
        <f>IFERROR(VLOOKUP(A218,'TB Other'!A:E,4,),0)+IFERROR(VLOOKUP(A218,'TB Other'!A:E,5,),0)</f>
        <v>0</v>
      </c>
      <c r="H218" s="746"/>
      <c r="I218" s="746">
        <f>IFERROR(VLOOKUP(A218,'TB Other'!A:M,12,0),0)+IFERROR(VLOOKUP(A218,'TB Other'!A:M,13,0),0)</f>
        <v>0</v>
      </c>
      <c r="J218" s="746"/>
      <c r="K218" s="747">
        <f t="shared" si="158"/>
        <v>62654.080000000002</v>
      </c>
      <c r="L218" s="734">
        <f>IFERROR(VLOOKUP(A218,'TB PY'!A:G,7,),0)+IFERROR(VLOOKUP(A218,'TB PY'!A:G,6,),0)</f>
        <v>0</v>
      </c>
      <c r="M218" s="746"/>
      <c r="N218" s="746"/>
      <c r="O218" s="746"/>
      <c r="P218" s="746"/>
      <c r="Q218" s="746"/>
      <c r="R218" s="746"/>
      <c r="S218" s="746"/>
      <c r="T218" s="747">
        <f t="shared" si="159"/>
        <v>0</v>
      </c>
      <c r="U218" s="748"/>
    </row>
    <row r="219" spans="1:21" ht="17" thickBot="1">
      <c r="A219" s="628" t="s">
        <v>1544</v>
      </c>
      <c r="B219" s="745" t="s">
        <v>460</v>
      </c>
      <c r="C219" s="734">
        <f>IFERROR(VLOOKUP(A219,'TB CY'!A:G,7,)+VLOOKUP(A219,'TB CY'!A:G,6,),0)</f>
        <v>5720</v>
      </c>
      <c r="D219" s="746"/>
      <c r="E219" s="746">
        <f>IFERROR(VLOOKUP(A219,'TB Other'!A:I,8,0),0)+IFERROR(VLOOKUP(A219,'TB Other'!A:I,9,0),0)</f>
        <v>0</v>
      </c>
      <c r="F219" s="746"/>
      <c r="G219" s="746">
        <f>IFERROR(VLOOKUP(A219,'TB Other'!A:E,4,),0)+IFERROR(VLOOKUP(A219,'TB Other'!A:E,5,),0)</f>
        <v>0</v>
      </c>
      <c r="H219" s="746"/>
      <c r="I219" s="746">
        <f>IFERROR(VLOOKUP(A219,'TB Other'!A:M,12,0),0)+IFERROR(VLOOKUP(A219,'TB Other'!A:M,13,0),0)</f>
        <v>0</v>
      </c>
      <c r="J219" s="746"/>
      <c r="K219" s="747">
        <f t="shared" si="158"/>
        <v>5720</v>
      </c>
      <c r="L219" s="734">
        <f>IFERROR(VLOOKUP(A219,'TB PY'!A:G,7,),0)+IFERROR(VLOOKUP(A219,'TB PY'!A:G,6,),0)</f>
        <v>0</v>
      </c>
      <c r="M219" s="746"/>
      <c r="N219" s="746"/>
      <c r="O219" s="746"/>
      <c r="P219" s="746"/>
      <c r="Q219" s="746"/>
      <c r="R219" s="746"/>
      <c r="S219" s="746"/>
      <c r="T219" s="747">
        <f t="shared" si="159"/>
        <v>0</v>
      </c>
      <c r="U219" s="748"/>
    </row>
    <row r="220" spans="1:21" ht="17" thickTop="1" thickBot="1">
      <c r="A220" s="749"/>
      <c r="B220" s="750" t="s">
        <v>51</v>
      </c>
      <c r="C220" s="751">
        <f t="shared" ref="C220:T220" si="160">SUM(C216:C219)</f>
        <v>10465.720000000001</v>
      </c>
      <c r="D220" s="752">
        <f t="shared" si="160"/>
        <v>0</v>
      </c>
      <c r="E220" s="752">
        <f t="shared" si="160"/>
        <v>62654.080000000002</v>
      </c>
      <c r="F220" s="752">
        <f t="shared" si="160"/>
        <v>0</v>
      </c>
      <c r="G220" s="752">
        <f t="shared" si="160"/>
        <v>28691.86</v>
      </c>
      <c r="H220" s="752">
        <f t="shared" si="160"/>
        <v>0</v>
      </c>
      <c r="I220" s="752">
        <f t="shared" ref="I220:J220" si="161">SUM(I216:I219)</f>
        <v>0</v>
      </c>
      <c r="J220" s="752">
        <f t="shared" si="161"/>
        <v>0</v>
      </c>
      <c r="K220" s="753">
        <f t="shared" si="160"/>
        <v>101811.66</v>
      </c>
      <c r="L220" s="751">
        <f t="shared" si="160"/>
        <v>2121438.34</v>
      </c>
      <c r="M220" s="752">
        <f t="shared" ref="M220:Q220" si="162">SUM(M216:M219)</f>
        <v>0</v>
      </c>
      <c r="N220" s="752">
        <f t="shared" si="162"/>
        <v>0</v>
      </c>
      <c r="O220" s="752">
        <f t="shared" si="162"/>
        <v>0</v>
      </c>
      <c r="P220" s="752">
        <f t="shared" si="162"/>
        <v>140670</v>
      </c>
      <c r="Q220" s="752">
        <f t="shared" si="162"/>
        <v>0</v>
      </c>
      <c r="R220" s="752">
        <f t="shared" ref="R220:S220" si="163">SUM(R216:R219)</f>
        <v>0</v>
      </c>
      <c r="S220" s="752">
        <f t="shared" si="163"/>
        <v>0</v>
      </c>
      <c r="T220" s="754">
        <f t="shared" si="160"/>
        <v>2262108.34</v>
      </c>
      <c r="U220" s="748">
        <f>K220-T220</f>
        <v>-2160296.6799999997</v>
      </c>
    </row>
    <row r="221" spans="1:21" ht="16" thickTop="1">
      <c r="A221" s="269" t="s">
        <v>1238</v>
      </c>
      <c r="B221" s="745"/>
      <c r="C221" s="734"/>
      <c r="D221" s="746"/>
      <c r="E221" s="746"/>
      <c r="F221" s="746"/>
      <c r="G221" s="746"/>
      <c r="H221" s="746"/>
      <c r="I221" s="746"/>
      <c r="J221" s="746"/>
      <c r="K221" s="747"/>
      <c r="L221" s="734"/>
      <c r="M221" s="746"/>
      <c r="N221" s="746"/>
      <c r="O221" s="746"/>
      <c r="P221" s="746"/>
      <c r="Q221" s="746"/>
      <c r="R221" s="746"/>
      <c r="S221" s="746"/>
      <c r="T221" s="747"/>
    </row>
    <row r="222" spans="1:21" ht="16">
      <c r="A222" s="628" t="s">
        <v>184</v>
      </c>
      <c r="B222" s="745" t="s">
        <v>460</v>
      </c>
      <c r="C222" s="734">
        <f>IFERROR(VLOOKUP(A222,'TB CY'!A:G,7,)+VLOOKUP(A222,'TB CY'!A:G,6,),0)</f>
        <v>21949754.260000002</v>
      </c>
      <c r="D222" s="746"/>
      <c r="E222" s="746">
        <f>IFERROR(VLOOKUP(A222,'TB Other'!A:I,8,0),0)+IFERROR(VLOOKUP(A222,'TB Other'!A:I,9,0),0)</f>
        <v>0</v>
      </c>
      <c r="F222" s="746"/>
      <c r="G222" s="746">
        <f>IFERROR(VLOOKUP(A222,'TB Other'!A:E,4,),0)+IFERROR(VLOOKUP(A222,'TB Other'!A:E,5,),0)</f>
        <v>0</v>
      </c>
      <c r="H222" s="746"/>
      <c r="I222" s="746">
        <f>IFERROR(VLOOKUP(A222,'TB Other'!A:M,12,0),0)+IFERROR(VLOOKUP(A222,'TB Other'!A:M,13,0),0)</f>
        <v>0</v>
      </c>
      <c r="J222" s="746"/>
      <c r="K222" s="747">
        <f>SUM(C222:J222)</f>
        <v>21949754.260000002</v>
      </c>
      <c r="L222" s="734">
        <f>VLOOKUP(A222,'TB PY'!A:G,7,)+VLOOKUP(A222,'TB PY'!A:G,6,)</f>
        <v>22350389</v>
      </c>
      <c r="M222" s="746"/>
      <c r="N222" s="746"/>
      <c r="O222" s="746"/>
      <c r="P222" s="746">
        <v>593327</v>
      </c>
      <c r="Q222" s="746"/>
      <c r="R222" s="746"/>
      <c r="S222" s="746"/>
      <c r="T222" s="747">
        <f>SUM(L222:S222)</f>
        <v>22943716</v>
      </c>
      <c r="U222" s="748"/>
    </row>
    <row r="223" spans="1:21" ht="16" thickBot="1">
      <c r="A223" s="269"/>
      <c r="B223" s="745"/>
      <c r="C223" s="734"/>
      <c r="D223" s="746"/>
      <c r="E223" s="746"/>
      <c r="F223" s="746"/>
      <c r="G223" s="746"/>
      <c r="H223" s="746"/>
      <c r="I223" s="746"/>
      <c r="J223" s="746"/>
      <c r="K223" s="747"/>
      <c r="L223" s="734"/>
      <c r="M223" s="746"/>
      <c r="N223" s="746"/>
      <c r="O223" s="746"/>
      <c r="P223" s="746"/>
      <c r="Q223" s="746"/>
      <c r="R223" s="746"/>
      <c r="S223" s="746"/>
      <c r="T223" s="747"/>
    </row>
    <row r="224" spans="1:21" ht="17" thickTop="1" thickBot="1">
      <c r="A224" s="749"/>
      <c r="B224" s="750" t="s">
        <v>51</v>
      </c>
      <c r="C224" s="751">
        <f t="shared" ref="C224:T224" si="164">SUM(C222:C223)</f>
        <v>21949754.260000002</v>
      </c>
      <c r="D224" s="752">
        <f t="shared" si="164"/>
        <v>0</v>
      </c>
      <c r="E224" s="752">
        <f t="shared" si="164"/>
        <v>0</v>
      </c>
      <c r="F224" s="752">
        <f t="shared" si="164"/>
        <v>0</v>
      </c>
      <c r="G224" s="752">
        <f t="shared" si="164"/>
        <v>0</v>
      </c>
      <c r="H224" s="752">
        <f t="shared" si="164"/>
        <v>0</v>
      </c>
      <c r="I224" s="752">
        <f t="shared" ref="I224:J224" si="165">SUM(I222:I223)</f>
        <v>0</v>
      </c>
      <c r="J224" s="752">
        <f t="shared" si="165"/>
        <v>0</v>
      </c>
      <c r="K224" s="753">
        <f t="shared" si="164"/>
        <v>21949754.260000002</v>
      </c>
      <c r="L224" s="751">
        <f t="shared" si="164"/>
        <v>22350389</v>
      </c>
      <c r="M224" s="752">
        <f t="shared" ref="M224:Q224" si="166">SUM(M222:M223)</f>
        <v>0</v>
      </c>
      <c r="N224" s="752">
        <f t="shared" si="166"/>
        <v>0</v>
      </c>
      <c r="O224" s="752">
        <f t="shared" si="166"/>
        <v>0</v>
      </c>
      <c r="P224" s="752">
        <f t="shared" si="166"/>
        <v>593327</v>
      </c>
      <c r="Q224" s="752">
        <f t="shared" si="166"/>
        <v>0</v>
      </c>
      <c r="R224" s="752">
        <f t="shared" ref="R224:S224" si="167">SUM(R222:R223)</f>
        <v>0</v>
      </c>
      <c r="S224" s="752">
        <f t="shared" si="167"/>
        <v>0</v>
      </c>
      <c r="T224" s="754">
        <f t="shared" si="164"/>
        <v>22943716</v>
      </c>
      <c r="U224" s="748">
        <f>K224-T224</f>
        <v>-993961.73999999836</v>
      </c>
    </row>
    <row r="225" spans="1:21" ht="16" thickTop="1">
      <c r="B225" s="756"/>
      <c r="C225" s="734"/>
      <c r="D225" s="746"/>
      <c r="E225" s="746"/>
      <c r="F225" s="746"/>
      <c r="G225" s="746"/>
      <c r="H225" s="746"/>
      <c r="I225" s="746"/>
      <c r="J225" s="746"/>
      <c r="K225" s="747"/>
      <c r="L225" s="734"/>
      <c r="M225" s="746"/>
      <c r="N225" s="746"/>
      <c r="O225" s="746"/>
      <c r="P225" s="746"/>
      <c r="Q225" s="746"/>
      <c r="R225" s="746"/>
      <c r="S225" s="746"/>
      <c r="T225" s="747"/>
      <c r="U225" s="748"/>
    </row>
    <row r="226" spans="1:21">
      <c r="A226" s="223" t="s">
        <v>258</v>
      </c>
      <c r="B226" s="745"/>
      <c r="C226" s="734"/>
      <c r="D226" s="746"/>
      <c r="E226" s="746"/>
      <c r="F226" s="746"/>
      <c r="G226" s="746"/>
      <c r="H226" s="746"/>
      <c r="I226" s="746"/>
      <c r="J226" s="746"/>
      <c r="K226" s="747"/>
      <c r="L226" s="734"/>
      <c r="M226" s="746"/>
      <c r="N226" s="746"/>
      <c r="O226" s="746"/>
      <c r="P226" s="746"/>
      <c r="Q226" s="746"/>
      <c r="R226" s="746"/>
      <c r="S226" s="746"/>
      <c r="T226" s="747"/>
    </row>
    <row r="227" spans="1:21" ht="16">
      <c r="A227" s="628" t="s">
        <v>194</v>
      </c>
      <c r="B227" s="745" t="s">
        <v>460</v>
      </c>
      <c r="C227" s="734">
        <f>IFERROR(VLOOKUP(A227,'TB CY'!A:G,7,)+VLOOKUP(A227,'TB CY'!A:G,6,),0)</f>
        <v>219679.82</v>
      </c>
      <c r="D227" s="746"/>
      <c r="E227" s="746">
        <f>IFERROR(VLOOKUP(A227,'TB Other'!A:I,8,0),0)+IFERROR(VLOOKUP(A227,'TB Other'!A:I,9,0),0)</f>
        <v>0</v>
      </c>
      <c r="F227" s="746"/>
      <c r="G227" s="746">
        <f>IFERROR(VLOOKUP(A227,'TB Other'!A:E,4,),0)+IFERROR(VLOOKUP(A227,'TB Other'!A:E,5,),0)</f>
        <v>0</v>
      </c>
      <c r="H227" s="746"/>
      <c r="I227" s="746">
        <f>IFERROR(VLOOKUP(A227,'TB Other'!A:M,12,0),0)+IFERROR(VLOOKUP(A227,'TB Other'!A:M,13,0),0)</f>
        <v>32938</v>
      </c>
      <c r="J227" s="746">
        <v>24942</v>
      </c>
      <c r="K227" s="747">
        <f t="shared" ref="K227:K230" si="168">SUM(C227:J227)</f>
        <v>277559.82</v>
      </c>
      <c r="L227" s="734">
        <f>VLOOKUP(A227,'TB PY'!A:G,7,)+VLOOKUP(A227,'TB PY'!A:G,6,)</f>
        <v>346784.46</v>
      </c>
      <c r="M227" s="746"/>
      <c r="N227" s="746"/>
      <c r="O227" s="746"/>
      <c r="P227" s="746"/>
      <c r="Q227" s="746"/>
      <c r="R227" s="746"/>
      <c r="S227" s="746"/>
      <c r="T227" s="747">
        <f t="shared" ref="T227:T230" si="169">SUM(L227:S227)</f>
        <v>346784.46</v>
      </c>
      <c r="U227" s="748"/>
    </row>
    <row r="228" spans="1:21" ht="16">
      <c r="A228" s="628" t="s">
        <v>538</v>
      </c>
      <c r="B228" s="745" t="s">
        <v>460</v>
      </c>
      <c r="C228" s="734">
        <f>IFERROR(VLOOKUP(A228,'TB CY'!A:G,7,)+VLOOKUP(A228,'TB CY'!A:G,6,),0)</f>
        <v>98908</v>
      </c>
      <c r="D228" s="746"/>
      <c r="E228" s="746">
        <f>IFERROR(VLOOKUP(A228,'TB Other'!A:I,8,0),0)+IFERROR(VLOOKUP(A228,'TB Other'!A:I,9,0),0)</f>
        <v>0</v>
      </c>
      <c r="F228" s="746"/>
      <c r="G228" s="746">
        <f>IFERROR(VLOOKUP(A228,'TB Other'!A:E,4,),0)+IFERROR(VLOOKUP(A228,'TB Other'!A:E,5,),0)</f>
        <v>0</v>
      </c>
      <c r="H228" s="746"/>
      <c r="I228" s="746">
        <f>IFERROR(VLOOKUP(A228,'TB Other'!A:M,12,0),0)+IFERROR(VLOOKUP(A228,'TB Other'!A:M,13,0),0)</f>
        <v>0</v>
      </c>
      <c r="J228" s="746"/>
      <c r="K228" s="747">
        <f t="shared" si="168"/>
        <v>98908</v>
      </c>
      <c r="L228" s="734">
        <f>VLOOKUP(A228,'TB PY'!A:G,7,)+VLOOKUP(A228,'TB PY'!A:G,6,)</f>
        <v>107622</v>
      </c>
      <c r="M228" s="746"/>
      <c r="N228" s="746"/>
      <c r="O228" s="746"/>
      <c r="P228" s="746">
        <v>12000</v>
      </c>
      <c r="Q228" s="746"/>
      <c r="R228" s="746"/>
      <c r="S228" s="746"/>
      <c r="T228" s="747">
        <f t="shared" si="169"/>
        <v>119622</v>
      </c>
      <c r="U228" s="748"/>
    </row>
    <row r="229" spans="1:21" ht="16">
      <c r="A229" s="628" t="s">
        <v>1547</v>
      </c>
      <c r="B229" s="745" t="s">
        <v>460</v>
      </c>
      <c r="C229" s="734">
        <f>IFERROR(VLOOKUP(A229,'TB CY'!A:G,7,)+VLOOKUP(A229,'TB CY'!A:G,6,),0)</f>
        <v>10080</v>
      </c>
      <c r="D229" s="746"/>
      <c r="E229" s="746">
        <f>IFERROR(VLOOKUP(A229,'TB Other'!A:I,8,0),0)+IFERROR(VLOOKUP(A229,'TB Other'!A:I,9,0),0)</f>
        <v>0</v>
      </c>
      <c r="F229" s="746"/>
      <c r="G229" s="746">
        <f>IFERROR(VLOOKUP(A229,'TB Other'!A:E,4,),0)+IFERROR(VLOOKUP(A229,'TB Other'!A:E,5,),0)</f>
        <v>0</v>
      </c>
      <c r="H229" s="746"/>
      <c r="I229" s="746">
        <f>IFERROR(VLOOKUP(A229,'TB Other'!A:M,12,0),0)+IFERROR(VLOOKUP(A229,'TB Other'!A:M,13,0),0)</f>
        <v>0</v>
      </c>
      <c r="J229" s="746"/>
      <c r="K229" s="747">
        <f t="shared" si="168"/>
        <v>10080</v>
      </c>
      <c r="L229" s="734">
        <f>IFERROR(VLOOKUP(A229,'TB PY'!A:G,7,),0)+IFERROR(VLOOKUP(A229,'TB PY'!A:G,6,),0)</f>
        <v>0</v>
      </c>
      <c r="M229" s="746"/>
      <c r="N229" s="746"/>
      <c r="O229" s="746"/>
      <c r="P229" s="746"/>
      <c r="Q229" s="746"/>
      <c r="R229" s="746"/>
      <c r="S229" s="746"/>
      <c r="T229" s="747">
        <f t="shared" si="169"/>
        <v>0</v>
      </c>
      <c r="U229" s="748"/>
    </row>
    <row r="230" spans="1:21" ht="16">
      <c r="A230" s="628" t="s">
        <v>224</v>
      </c>
      <c r="B230" s="745" t="s">
        <v>460</v>
      </c>
      <c r="C230" s="734">
        <f>IFERROR(VLOOKUP(A230,'TB CY'!A:G,7,)+VLOOKUP(A230,'TB CY'!A:G,6,),0)</f>
        <v>1497747.28</v>
      </c>
      <c r="D230" s="746"/>
      <c r="E230" s="746">
        <f>IFERROR(VLOOKUP(A230,'TB Other'!A:I,8,0),0)+IFERROR(VLOOKUP(A230,'TB Other'!A:I,9,0),0)</f>
        <v>0</v>
      </c>
      <c r="F230" s="746"/>
      <c r="G230" s="746">
        <f>IFERROR(VLOOKUP(A230,'TB Other'!A:E,4,),0)+IFERROR(VLOOKUP(A230,'TB Other'!A:E,5,),0)</f>
        <v>0</v>
      </c>
      <c r="H230" s="746"/>
      <c r="I230" s="746">
        <f>IFERROR(VLOOKUP(A230,'TB Other'!A:M,12,0),0)+IFERROR(VLOOKUP(A230,'TB Other'!A:M,13,0),0)</f>
        <v>0</v>
      </c>
      <c r="J230" s="746"/>
      <c r="K230" s="747">
        <f t="shared" si="168"/>
        <v>1497747.28</v>
      </c>
      <c r="L230" s="734">
        <f>VLOOKUP(A230,'TB PY'!A:G,7,)+VLOOKUP(A230,'TB PY'!A:G,6,)</f>
        <v>471716.38</v>
      </c>
      <c r="M230" s="746"/>
      <c r="N230" s="746"/>
      <c r="O230" s="746"/>
      <c r="P230" s="746"/>
      <c r="Q230" s="746"/>
      <c r="R230" s="746"/>
      <c r="S230" s="746"/>
      <c r="T230" s="747">
        <f t="shared" si="169"/>
        <v>471716.38</v>
      </c>
      <c r="U230" s="748"/>
    </row>
    <row r="231" spans="1:21" ht="16" thickBot="1">
      <c r="A231" s="269"/>
      <c r="B231" s="745"/>
      <c r="C231" s="734"/>
      <c r="D231" s="746"/>
      <c r="E231" s="746"/>
      <c r="F231" s="746"/>
      <c r="G231" s="746"/>
      <c r="H231" s="746"/>
      <c r="I231" s="746"/>
      <c r="J231" s="746"/>
      <c r="K231" s="747"/>
      <c r="L231" s="734"/>
      <c r="M231" s="746"/>
      <c r="N231" s="746"/>
      <c r="O231" s="746"/>
      <c r="P231" s="746"/>
      <c r="Q231" s="746"/>
      <c r="R231" s="746"/>
      <c r="S231" s="746"/>
      <c r="T231" s="747"/>
    </row>
    <row r="232" spans="1:21" ht="17" thickTop="1" thickBot="1">
      <c r="A232" s="749"/>
      <c r="B232" s="750" t="s">
        <v>51</v>
      </c>
      <c r="C232" s="751">
        <f t="shared" ref="C232:T232" si="170">SUM(C227:C231)</f>
        <v>1826415.1</v>
      </c>
      <c r="D232" s="752">
        <f t="shared" si="170"/>
        <v>0</v>
      </c>
      <c r="E232" s="752">
        <f t="shared" si="170"/>
        <v>0</v>
      </c>
      <c r="F232" s="752">
        <f t="shared" si="170"/>
        <v>0</v>
      </c>
      <c r="G232" s="752">
        <f t="shared" si="170"/>
        <v>0</v>
      </c>
      <c r="H232" s="752">
        <f t="shared" si="170"/>
        <v>0</v>
      </c>
      <c r="I232" s="752">
        <f t="shared" ref="I232:J232" si="171">SUM(I227:I231)</f>
        <v>32938</v>
      </c>
      <c r="J232" s="752">
        <f t="shared" si="171"/>
        <v>24942</v>
      </c>
      <c r="K232" s="753">
        <f t="shared" si="170"/>
        <v>1884295.1</v>
      </c>
      <c r="L232" s="751">
        <f t="shared" si="170"/>
        <v>926122.84000000008</v>
      </c>
      <c r="M232" s="752">
        <f t="shared" ref="M232:Q232" si="172">SUM(M227:M231)</f>
        <v>0</v>
      </c>
      <c r="N232" s="752">
        <f t="shared" si="172"/>
        <v>0</v>
      </c>
      <c r="O232" s="752">
        <f t="shared" si="172"/>
        <v>0</v>
      </c>
      <c r="P232" s="752">
        <f t="shared" si="172"/>
        <v>12000</v>
      </c>
      <c r="Q232" s="752">
        <f t="shared" si="172"/>
        <v>0</v>
      </c>
      <c r="R232" s="752">
        <f t="shared" ref="R232:S232" si="173">SUM(R227:R231)</f>
        <v>0</v>
      </c>
      <c r="S232" s="752">
        <f t="shared" si="173"/>
        <v>0</v>
      </c>
      <c r="T232" s="754">
        <f t="shared" si="170"/>
        <v>938122.84000000008</v>
      </c>
      <c r="U232" s="748">
        <f>K232-T232</f>
        <v>946172.26</v>
      </c>
    </row>
    <row r="233" spans="1:21" ht="16" thickTop="1">
      <c r="A233" s="269" t="s">
        <v>259</v>
      </c>
      <c r="B233" s="745"/>
      <c r="C233" s="734"/>
      <c r="D233" s="746"/>
      <c r="E233" s="746"/>
      <c r="F233" s="746"/>
      <c r="G233" s="746"/>
      <c r="H233" s="746"/>
      <c r="I233" s="746"/>
      <c r="J233" s="746"/>
      <c r="K233" s="747"/>
      <c r="L233" s="734"/>
      <c r="M233" s="746"/>
      <c r="N233" s="746"/>
      <c r="O233" s="746"/>
      <c r="P233" s="746"/>
      <c r="Q233" s="746"/>
      <c r="R233" s="746"/>
      <c r="S233" s="746"/>
      <c r="T233" s="747"/>
    </row>
    <row r="234" spans="1:21" ht="16">
      <c r="A234" s="628" t="s">
        <v>206</v>
      </c>
      <c r="B234" s="745" t="s">
        <v>460</v>
      </c>
      <c r="C234" s="734">
        <f>IFERROR(VLOOKUP(A234,'TB CY'!A:G,7,)+VLOOKUP(A234,'TB CY'!A:G,6,),0)</f>
        <v>9504234</v>
      </c>
      <c r="D234" s="746"/>
      <c r="E234" s="746">
        <f>IFERROR(VLOOKUP(A234,'TB Other'!A:I,8,0),0)+IFERROR(VLOOKUP(A234,'TB Other'!A:I,9,0),0)</f>
        <v>0</v>
      </c>
      <c r="F234" s="746"/>
      <c r="G234" s="746">
        <f>IFERROR(VLOOKUP(A234,'TB Other'!A:E,4,),0)+IFERROR(VLOOKUP(A234,'TB Other'!A:E,5,),0)</f>
        <v>0</v>
      </c>
      <c r="H234" s="746"/>
      <c r="I234" s="746">
        <f>IFERROR(VLOOKUP(A234,'TB Other'!A:M,12,0),0)+IFERROR(VLOOKUP(A234,'TB Other'!A:M,13,0),0)</f>
        <v>13000</v>
      </c>
      <c r="J234" s="746"/>
      <c r="K234" s="747">
        <f t="shared" ref="K234:K237" si="174">SUM(C234:J234)</f>
        <v>9517234</v>
      </c>
      <c r="L234" s="734">
        <f>VLOOKUP(A234,'TB PY'!A:G,7,)+VLOOKUP(A234,'TB PY'!A:G,6,)</f>
        <v>4593972.2</v>
      </c>
      <c r="M234" s="746"/>
      <c r="N234" s="746"/>
      <c r="O234" s="746"/>
      <c r="P234" s="746"/>
      <c r="Q234" s="746"/>
      <c r="R234" s="746"/>
      <c r="S234" s="746"/>
      <c r="T234" s="747">
        <f t="shared" ref="T234:T237" si="175">SUM(L234:S234)</f>
        <v>4593972.2</v>
      </c>
      <c r="U234" s="748"/>
    </row>
    <row r="235" spans="1:21" ht="16">
      <c r="A235" s="628" t="s">
        <v>218</v>
      </c>
      <c r="B235" s="745" t="s">
        <v>460</v>
      </c>
      <c r="C235" s="734">
        <f>IFERROR(VLOOKUP(A235,'TB CY'!A:G,7,)+VLOOKUP(A235,'TB CY'!A:G,6,),0)</f>
        <v>2275720</v>
      </c>
      <c r="D235" s="746"/>
      <c r="E235" s="746">
        <f>IFERROR(VLOOKUP(A235,'TB Other'!A:I,8,0),0)+IFERROR(VLOOKUP(A235,'TB Other'!A:I,9,0),0)</f>
        <v>0</v>
      </c>
      <c r="F235" s="746"/>
      <c r="G235" s="746">
        <f>IFERROR(VLOOKUP(A235,'TB Other'!A:E,4,),0)+IFERROR(VLOOKUP(A235,'TB Other'!A:E,5,),0)</f>
        <v>0</v>
      </c>
      <c r="H235" s="746"/>
      <c r="I235" s="746">
        <f>IFERROR(VLOOKUP(A235,'TB Other'!A:M,12,0),0)+IFERROR(VLOOKUP(A235,'TB Other'!A:M,13,0),0)</f>
        <v>0</v>
      </c>
      <c r="J235" s="746"/>
      <c r="K235" s="747">
        <f t="shared" si="174"/>
        <v>2275720</v>
      </c>
      <c r="L235" s="734">
        <f>VLOOKUP(A235,'TB PY'!A:G,7,)+VLOOKUP(A235,'TB PY'!A:G,6,)</f>
        <v>1100400</v>
      </c>
      <c r="M235" s="746"/>
      <c r="N235" s="746"/>
      <c r="O235" s="746"/>
      <c r="P235" s="746"/>
      <c r="Q235" s="746"/>
      <c r="R235" s="746"/>
      <c r="S235" s="746"/>
      <c r="T235" s="747">
        <f t="shared" si="175"/>
        <v>1100400</v>
      </c>
      <c r="U235" s="748"/>
    </row>
    <row r="236" spans="1:21" ht="16">
      <c r="A236" s="628" t="s">
        <v>1597</v>
      </c>
      <c r="B236" s="745" t="s">
        <v>460</v>
      </c>
      <c r="C236" s="734">
        <f>IFERROR(VLOOKUP(A236,'TB CY'!A:G,7,)+VLOOKUP(A236,'TB CY'!A:G,6,),0)</f>
        <v>0</v>
      </c>
      <c r="D236" s="746"/>
      <c r="E236" s="746">
        <f>IFERROR(VLOOKUP(A236,'TB Other'!A:I,8,0),0)+IFERROR(VLOOKUP(A236,'TB Other'!A:I,9,0),0)</f>
        <v>0</v>
      </c>
      <c r="F236" s="746"/>
      <c r="G236" s="746">
        <f>IFERROR(VLOOKUP(A236,'TB Other'!A:E,4,),0)+IFERROR(VLOOKUP(A236,'TB Other'!A:E,5,),0)</f>
        <v>9900</v>
      </c>
      <c r="H236" s="746"/>
      <c r="I236" s="746">
        <f>IFERROR(VLOOKUP(A236,'TB Other'!A:M,12,0),0)+IFERROR(VLOOKUP(A236,'TB Other'!A:M,13,0),0)</f>
        <v>0</v>
      </c>
      <c r="J236" s="746"/>
      <c r="K236" s="747">
        <f t="shared" si="174"/>
        <v>9900</v>
      </c>
      <c r="L236" s="734">
        <f>IFERROR(VLOOKUP(A236,'TB PY'!A:G,7,),0)+IFERROR(VLOOKUP(A236,'TB PY'!A:G,6,),0)</f>
        <v>0</v>
      </c>
      <c r="M236" s="746"/>
      <c r="N236" s="746"/>
      <c r="O236" s="746"/>
      <c r="P236" s="746"/>
      <c r="Q236" s="746"/>
      <c r="R236" s="746"/>
      <c r="S236" s="746"/>
      <c r="T236" s="747">
        <f t="shared" si="175"/>
        <v>0</v>
      </c>
      <c r="U236" s="748"/>
    </row>
    <row r="237" spans="1:21" ht="16">
      <c r="A237" s="628" t="s">
        <v>1321</v>
      </c>
      <c r="B237" s="745" t="s">
        <v>460</v>
      </c>
      <c r="C237" s="734">
        <f>IFERROR(VLOOKUP(A237,'TB CY'!A:G,7,)+VLOOKUP(A237,'TB CY'!A:G,6,),0)</f>
        <v>0</v>
      </c>
      <c r="D237" s="746"/>
      <c r="E237" s="746">
        <f>IFERROR(VLOOKUP(A237,'TB Other'!A:I,8,0),0)+IFERROR(VLOOKUP(A237,'TB Other'!A:I,9,0),0)</f>
        <v>0</v>
      </c>
      <c r="F237" s="746"/>
      <c r="G237" s="746">
        <f>IFERROR(VLOOKUP(A237,'TB Other'!A:E,4,),0)+IFERROR(VLOOKUP(A237,'TB Other'!A:E,5,),0)</f>
        <v>0</v>
      </c>
      <c r="H237" s="746"/>
      <c r="I237" s="746">
        <f>IFERROR(VLOOKUP(A237,'TB Other'!A:M,12,0),0)+IFERROR(VLOOKUP(A237,'TB Other'!A:M,13,0),0)</f>
        <v>0</v>
      </c>
      <c r="J237" s="746"/>
      <c r="K237" s="747">
        <f t="shared" si="174"/>
        <v>0</v>
      </c>
      <c r="L237" s="734">
        <f>VLOOKUP(A237,'TB PY'!A:G,7,)+VLOOKUP(A237,'TB PY'!A:G,6,)</f>
        <v>895000</v>
      </c>
      <c r="M237" s="746"/>
      <c r="N237" s="746"/>
      <c r="O237" s="746"/>
      <c r="P237" s="746">
        <f>57500+35000</f>
        <v>92500</v>
      </c>
      <c r="Q237" s="746"/>
      <c r="R237" s="746"/>
      <c r="S237" s="746"/>
      <c r="T237" s="747">
        <f t="shared" si="175"/>
        <v>987500</v>
      </c>
      <c r="U237" s="748"/>
    </row>
    <row r="238" spans="1:21" ht="16" thickBot="1">
      <c r="A238" s="269"/>
      <c r="B238" s="745"/>
      <c r="C238" s="734"/>
      <c r="D238" s="746"/>
      <c r="E238" s="746"/>
      <c r="F238" s="746"/>
      <c r="G238" s="746"/>
      <c r="H238" s="746"/>
      <c r="I238" s="746"/>
      <c r="J238" s="746"/>
      <c r="K238" s="747"/>
      <c r="L238" s="734"/>
      <c r="M238" s="746"/>
      <c r="N238" s="746"/>
      <c r="O238" s="746"/>
      <c r="P238" s="746"/>
      <c r="Q238" s="746"/>
      <c r="R238" s="746"/>
      <c r="S238" s="746"/>
      <c r="T238" s="747"/>
    </row>
    <row r="239" spans="1:21" ht="17" thickTop="1" thickBot="1">
      <c r="A239" s="749"/>
      <c r="B239" s="750" t="s">
        <v>51</v>
      </c>
      <c r="C239" s="751">
        <f t="shared" ref="C239:T239" si="176">SUM(C234:C238)</f>
        <v>11779954</v>
      </c>
      <c r="D239" s="752">
        <f t="shared" si="176"/>
        <v>0</v>
      </c>
      <c r="E239" s="752">
        <f t="shared" si="176"/>
        <v>0</v>
      </c>
      <c r="F239" s="752">
        <f t="shared" si="176"/>
        <v>0</v>
      </c>
      <c r="G239" s="752">
        <f t="shared" si="176"/>
        <v>9900</v>
      </c>
      <c r="H239" s="752">
        <f t="shared" si="176"/>
        <v>0</v>
      </c>
      <c r="I239" s="752">
        <f t="shared" ref="I239:J239" si="177">SUM(I234:I238)</f>
        <v>13000</v>
      </c>
      <c r="J239" s="752">
        <f t="shared" si="177"/>
        <v>0</v>
      </c>
      <c r="K239" s="753">
        <f t="shared" si="176"/>
        <v>11802854</v>
      </c>
      <c r="L239" s="751">
        <f t="shared" si="176"/>
        <v>6589372.2000000002</v>
      </c>
      <c r="M239" s="752">
        <f t="shared" ref="M239:Q239" si="178">SUM(M234:M238)</f>
        <v>0</v>
      </c>
      <c r="N239" s="752">
        <f t="shared" si="178"/>
        <v>0</v>
      </c>
      <c r="O239" s="752">
        <f t="shared" si="178"/>
        <v>0</v>
      </c>
      <c r="P239" s="752">
        <f t="shared" si="178"/>
        <v>92500</v>
      </c>
      <c r="Q239" s="752">
        <f t="shared" si="178"/>
        <v>0</v>
      </c>
      <c r="R239" s="752">
        <f t="shared" ref="R239:S239" si="179">SUM(R234:R238)</f>
        <v>0</v>
      </c>
      <c r="S239" s="752">
        <f t="shared" si="179"/>
        <v>0</v>
      </c>
      <c r="T239" s="754">
        <f t="shared" si="176"/>
        <v>6681872.2000000002</v>
      </c>
      <c r="U239" s="748">
        <f>K239-T239</f>
        <v>5120981.8</v>
      </c>
    </row>
    <row r="240" spans="1:21" ht="16" thickTop="1">
      <c r="A240" s="223" t="s">
        <v>393</v>
      </c>
      <c r="B240" s="745"/>
      <c r="C240" s="734"/>
      <c r="D240" s="746"/>
      <c r="E240" s="746"/>
      <c r="F240" s="746"/>
      <c r="G240" s="746"/>
      <c r="H240" s="746"/>
      <c r="I240" s="746"/>
      <c r="J240" s="746"/>
      <c r="K240" s="747"/>
      <c r="L240" s="734"/>
      <c r="M240" s="746"/>
      <c r="N240" s="746"/>
      <c r="O240" s="746"/>
      <c r="P240" s="746"/>
      <c r="Q240" s="746"/>
      <c r="R240" s="746"/>
      <c r="S240" s="746"/>
      <c r="T240" s="747"/>
    </row>
    <row r="241" spans="1:21" ht="16">
      <c r="A241" s="628" t="s">
        <v>216</v>
      </c>
      <c r="B241" s="745" t="s">
        <v>460</v>
      </c>
      <c r="C241" s="734">
        <f>IFERROR(VLOOKUP(A241,'TB CY'!A:G,7,)+VLOOKUP(A241,'TB CY'!A:G,6,),0)</f>
        <v>2588226.06</v>
      </c>
      <c r="D241" s="746">
        <f>(29000*11+30150)-C241</f>
        <v>-2239076.06</v>
      </c>
      <c r="E241" s="746">
        <f>IFERROR(VLOOKUP(A241,'TB Other'!A:I,8,0),0)+IFERROR(VLOOKUP(A241,'TB Other'!A:I,9,0),0)</f>
        <v>457629</v>
      </c>
      <c r="F241" s="746"/>
      <c r="G241" s="746">
        <f>IFERROR(VLOOKUP(A241,'TB Other'!A:E,4,),0)+IFERROR(VLOOKUP(A241,'TB Other'!A:E,5,),0)</f>
        <v>0</v>
      </c>
      <c r="H241" s="746"/>
      <c r="I241" s="746">
        <f>IFERROR(VLOOKUP(A241,'TB Other'!A:M,12,0),0)+IFERROR(VLOOKUP(A241,'TB Other'!A:M,13,0),0)</f>
        <v>157729.41</v>
      </c>
      <c r="J241" s="746">
        <v>29500</v>
      </c>
      <c r="K241" s="747">
        <f>SUM(C241:J241)</f>
        <v>994008.41</v>
      </c>
      <c r="L241" s="734">
        <f>VLOOKUP(A241,'TB PY'!A:G,7,)+VLOOKUP(A241,'TB PY'!A:G,6,)</f>
        <v>3306712.03</v>
      </c>
      <c r="M241" s="746">
        <v>-3041740</v>
      </c>
      <c r="N241" s="746"/>
      <c r="O241" s="746"/>
      <c r="P241" s="746"/>
      <c r="Q241" s="746"/>
      <c r="R241" s="746"/>
      <c r="S241" s="746"/>
      <c r="T241" s="747">
        <f>SUM(L241:S241)</f>
        <v>264972.0299999998</v>
      </c>
      <c r="U241" s="748"/>
    </row>
    <row r="242" spans="1:21" ht="16" thickBot="1">
      <c r="A242" s="269" t="s">
        <v>1617</v>
      </c>
      <c r="B242" s="745" t="s">
        <v>1613</v>
      </c>
      <c r="C242" s="734"/>
      <c r="D242" s="746">
        <f>-ROU!C51</f>
        <v>-365680</v>
      </c>
      <c r="E242" s="746"/>
      <c r="F242" s="746"/>
      <c r="G242" s="746"/>
      <c r="H242" s="746"/>
      <c r="I242" s="746"/>
      <c r="J242" s="746"/>
      <c r="K242" s="747">
        <f>SUM(C242:J242)</f>
        <v>-365680</v>
      </c>
      <c r="L242" s="734"/>
      <c r="M242" s="746"/>
      <c r="N242" s="746"/>
      <c r="O242" s="746"/>
      <c r="P242" s="746"/>
      <c r="Q242" s="746"/>
      <c r="R242" s="746"/>
      <c r="S242" s="746"/>
      <c r="T242" s="747"/>
    </row>
    <row r="243" spans="1:21" ht="17" thickTop="1" thickBot="1">
      <c r="A243" s="749"/>
      <c r="B243" s="750" t="s">
        <v>51</v>
      </c>
      <c r="C243" s="751">
        <f t="shared" ref="C243:T243" si="180">SUM(C241:C242)</f>
        <v>2588226.06</v>
      </c>
      <c r="D243" s="752">
        <f t="shared" si="180"/>
        <v>-2604756.06</v>
      </c>
      <c r="E243" s="752">
        <f t="shared" si="180"/>
        <v>457629</v>
      </c>
      <c r="F243" s="752">
        <f t="shared" si="180"/>
        <v>0</v>
      </c>
      <c r="G243" s="752">
        <f t="shared" si="180"/>
        <v>0</v>
      </c>
      <c r="H243" s="752">
        <f t="shared" si="180"/>
        <v>0</v>
      </c>
      <c r="I243" s="752">
        <f t="shared" ref="I243:J243" si="181">SUM(I241:I242)</f>
        <v>157729.41</v>
      </c>
      <c r="J243" s="752">
        <f t="shared" si="181"/>
        <v>29500</v>
      </c>
      <c r="K243" s="753">
        <f t="shared" si="180"/>
        <v>628328.41</v>
      </c>
      <c r="L243" s="751">
        <f t="shared" si="180"/>
        <v>3306712.03</v>
      </c>
      <c r="M243" s="752">
        <f t="shared" ref="M243:Q243" si="182">SUM(M241:M242)</f>
        <v>-3041740</v>
      </c>
      <c r="N243" s="752">
        <f t="shared" si="182"/>
        <v>0</v>
      </c>
      <c r="O243" s="752">
        <f t="shared" si="182"/>
        <v>0</v>
      </c>
      <c r="P243" s="752">
        <f t="shared" si="182"/>
        <v>0</v>
      </c>
      <c r="Q243" s="752">
        <f t="shared" si="182"/>
        <v>0</v>
      </c>
      <c r="R243" s="752">
        <f t="shared" ref="R243:S243" si="183">SUM(R241:R242)</f>
        <v>0</v>
      </c>
      <c r="S243" s="752">
        <f t="shared" si="183"/>
        <v>0</v>
      </c>
      <c r="T243" s="754">
        <f t="shared" si="180"/>
        <v>264972.0299999998</v>
      </c>
      <c r="U243" s="748">
        <f>K243-T243</f>
        <v>363356.38000000024</v>
      </c>
    </row>
    <row r="244" spans="1:21" ht="16" thickTop="1">
      <c r="A244" s="269" t="s">
        <v>1566</v>
      </c>
      <c r="B244" s="745"/>
      <c r="C244" s="734"/>
      <c r="D244" s="746"/>
      <c r="E244" s="746"/>
      <c r="F244" s="746"/>
      <c r="G244" s="746"/>
      <c r="H244" s="746"/>
      <c r="I244" s="746"/>
      <c r="J244" s="746"/>
      <c r="K244" s="747">
        <f>SUM(C244:J244)</f>
        <v>0</v>
      </c>
      <c r="L244" s="734"/>
      <c r="M244" s="746"/>
      <c r="N244" s="746"/>
      <c r="O244" s="746"/>
      <c r="P244" s="746"/>
      <c r="Q244" s="746"/>
      <c r="R244" s="746"/>
      <c r="S244" s="746"/>
      <c r="T244" s="747"/>
    </row>
    <row r="245" spans="1:21">
      <c r="A245" s="269" t="s">
        <v>1621</v>
      </c>
      <c r="B245" s="745" t="s">
        <v>1613</v>
      </c>
      <c r="C245" s="734"/>
      <c r="D245" s="746">
        <f>ROU!J40</f>
        <v>303131</v>
      </c>
      <c r="E245" s="746"/>
      <c r="F245" s="746"/>
      <c r="G245" s="746"/>
      <c r="H245" s="746"/>
      <c r="I245" s="746"/>
      <c r="J245" s="746"/>
      <c r="K245" s="747">
        <f>SUM(C245:J245)</f>
        <v>303131</v>
      </c>
      <c r="L245" s="734"/>
      <c r="M245" s="746">
        <f>-M148</f>
        <v>24151</v>
      </c>
      <c r="N245" s="746"/>
      <c r="O245" s="746"/>
      <c r="P245" s="746"/>
      <c r="Q245" s="746"/>
      <c r="R245" s="746"/>
      <c r="S245" s="746"/>
      <c r="T245" s="747">
        <f>SUM(L245:S245)</f>
        <v>24151</v>
      </c>
      <c r="U245" s="748"/>
    </row>
    <row r="246" spans="1:21" ht="16" thickBot="1">
      <c r="A246" s="269"/>
      <c r="B246" s="745"/>
      <c r="C246" s="734"/>
      <c r="D246" s="746"/>
      <c r="E246" s="746"/>
      <c r="F246" s="746"/>
      <c r="G246" s="746"/>
      <c r="H246" s="746"/>
      <c r="I246" s="746"/>
      <c r="J246" s="746"/>
      <c r="K246" s="747"/>
      <c r="L246" s="734"/>
      <c r="M246" s="746"/>
      <c r="N246" s="746"/>
      <c r="O246" s="746"/>
      <c r="P246" s="746"/>
      <c r="Q246" s="746"/>
      <c r="R246" s="746"/>
      <c r="S246" s="746"/>
      <c r="T246" s="747"/>
    </row>
    <row r="247" spans="1:21" ht="17" thickTop="1" thickBot="1">
      <c r="A247" s="749"/>
      <c r="B247" s="750" t="s">
        <v>51</v>
      </c>
      <c r="C247" s="751">
        <f t="shared" ref="C247:T247" si="184">SUM(C245:C246)</f>
        <v>0</v>
      </c>
      <c r="D247" s="752">
        <f t="shared" si="184"/>
        <v>303131</v>
      </c>
      <c r="E247" s="752">
        <f t="shared" si="184"/>
        <v>0</v>
      </c>
      <c r="F247" s="752">
        <f t="shared" si="184"/>
        <v>0</v>
      </c>
      <c r="G247" s="752">
        <f t="shared" si="184"/>
        <v>0</v>
      </c>
      <c r="H247" s="752">
        <f t="shared" si="184"/>
        <v>0</v>
      </c>
      <c r="I247" s="752">
        <f t="shared" ref="I247:J247" si="185">SUM(I245:I246)</f>
        <v>0</v>
      </c>
      <c r="J247" s="752">
        <f t="shared" si="185"/>
        <v>0</v>
      </c>
      <c r="K247" s="754">
        <f t="shared" si="184"/>
        <v>303131</v>
      </c>
      <c r="L247" s="751">
        <f t="shared" si="184"/>
        <v>0</v>
      </c>
      <c r="M247" s="752">
        <f t="shared" ref="M247:Q247" si="186">SUM(M245:M246)</f>
        <v>24151</v>
      </c>
      <c r="N247" s="752">
        <f t="shared" si="186"/>
        <v>0</v>
      </c>
      <c r="O247" s="752">
        <f t="shared" si="186"/>
        <v>0</v>
      </c>
      <c r="P247" s="752">
        <f t="shared" si="186"/>
        <v>0</v>
      </c>
      <c r="Q247" s="752">
        <f t="shared" si="186"/>
        <v>0</v>
      </c>
      <c r="R247" s="752">
        <f t="shared" ref="R247:S247" si="187">SUM(R245:R246)</f>
        <v>0</v>
      </c>
      <c r="S247" s="752">
        <f t="shared" si="187"/>
        <v>0</v>
      </c>
      <c r="T247" s="754">
        <f t="shared" si="184"/>
        <v>24151</v>
      </c>
      <c r="U247" s="748">
        <f>K247-T247</f>
        <v>278980</v>
      </c>
    </row>
    <row r="248" spans="1:21" ht="16" thickTop="1">
      <c r="A248" s="269" t="s">
        <v>1239</v>
      </c>
      <c r="B248" s="745"/>
      <c r="C248" s="734"/>
      <c r="D248" s="746"/>
      <c r="E248" s="746"/>
      <c r="F248" s="746"/>
      <c r="G248" s="746"/>
      <c r="H248" s="746"/>
      <c r="I248" s="746"/>
      <c r="J248" s="746"/>
      <c r="K248" s="747"/>
      <c r="L248" s="734"/>
      <c r="M248" s="746"/>
      <c r="N248" s="746"/>
      <c r="O248" s="746"/>
      <c r="P248" s="746"/>
      <c r="Q248" s="746"/>
      <c r="R248" s="746"/>
      <c r="S248" s="746"/>
      <c r="T248" s="747"/>
    </row>
    <row r="249" spans="1:21" ht="16">
      <c r="A249" s="628" t="s">
        <v>1041</v>
      </c>
      <c r="B249" s="745" t="s">
        <v>460</v>
      </c>
      <c r="C249" s="734">
        <f>IFERROR(VLOOKUP(A249,'TB CY'!A:G,7,)+VLOOKUP(A249,'TB CY'!A:G,6,),0)</f>
        <v>46478.1</v>
      </c>
      <c r="D249" s="746">
        <f>D40</f>
        <v>23932</v>
      </c>
      <c r="E249" s="746">
        <f>IFERROR(VLOOKUP(A249,'TB Other'!A:I,8,0),0)+IFERROR(VLOOKUP(A249,'TB Other'!A:I,9,0),0)</f>
        <v>0</v>
      </c>
      <c r="F249" s="746"/>
      <c r="G249" s="746">
        <f>IFERROR(VLOOKUP(A249,'TB Other'!A:E,4,),0)+IFERROR(VLOOKUP(A249,'TB Other'!A:E,5,),0)</f>
        <v>0</v>
      </c>
      <c r="H249" s="746"/>
      <c r="I249" s="746">
        <f>IFERROR(VLOOKUP(A249,'TB Other'!A:M,12,0),0)+IFERROR(VLOOKUP(A249,'TB Other'!A:M,13,0),0)</f>
        <v>0</v>
      </c>
      <c r="J249" s="746"/>
      <c r="K249" s="747">
        <f>SUM(C249:J249)</f>
        <v>70410.100000000006</v>
      </c>
      <c r="L249" s="734">
        <f>VLOOKUP(A249,'TB PY'!A:G,7,)+VLOOKUP(A249,'TB PY'!A:G,6,)</f>
        <v>75152.209999999992</v>
      </c>
      <c r="M249" s="746"/>
      <c r="N249" s="746"/>
      <c r="O249" s="746"/>
      <c r="P249" s="746"/>
      <c r="Q249" s="746"/>
      <c r="R249" s="746"/>
      <c r="S249" s="746"/>
      <c r="T249" s="747">
        <f>SUM(L249:S249)</f>
        <v>75152.209999999992</v>
      </c>
      <c r="U249" s="748"/>
    </row>
    <row r="250" spans="1:21" ht="16" thickBot="1">
      <c r="A250" s="269"/>
      <c r="B250" s="745"/>
      <c r="C250" s="734"/>
      <c r="D250" s="746"/>
      <c r="E250" s="746"/>
      <c r="F250" s="746"/>
      <c r="G250" s="746"/>
      <c r="H250" s="746"/>
      <c r="I250" s="746"/>
      <c r="J250" s="746"/>
      <c r="K250" s="747"/>
      <c r="L250" s="734"/>
      <c r="M250" s="746"/>
      <c r="N250" s="746"/>
      <c r="O250" s="746"/>
      <c r="P250" s="746"/>
      <c r="Q250" s="746"/>
      <c r="R250" s="746"/>
      <c r="S250" s="746"/>
      <c r="T250" s="747"/>
    </row>
    <row r="251" spans="1:21" ht="17" thickTop="1" thickBot="1">
      <c r="A251" s="749"/>
      <c r="B251" s="750" t="s">
        <v>51</v>
      </c>
      <c r="C251" s="751">
        <f t="shared" ref="C251:T251" si="188">SUM(C249:C250)</f>
        <v>46478.1</v>
      </c>
      <c r="D251" s="752">
        <f t="shared" si="188"/>
        <v>23932</v>
      </c>
      <c r="E251" s="752">
        <f t="shared" si="188"/>
        <v>0</v>
      </c>
      <c r="F251" s="752">
        <f t="shared" si="188"/>
        <v>0</v>
      </c>
      <c r="G251" s="752">
        <f t="shared" si="188"/>
        <v>0</v>
      </c>
      <c r="H251" s="752">
        <f t="shared" si="188"/>
        <v>0</v>
      </c>
      <c r="I251" s="752">
        <f t="shared" ref="I251:J251" si="189">SUM(I249:I250)</f>
        <v>0</v>
      </c>
      <c r="J251" s="752">
        <f t="shared" si="189"/>
        <v>0</v>
      </c>
      <c r="K251" s="753">
        <f t="shared" si="188"/>
        <v>70410.100000000006</v>
      </c>
      <c r="L251" s="751">
        <f t="shared" si="188"/>
        <v>75152.209999999992</v>
      </c>
      <c r="M251" s="752">
        <f t="shared" ref="M251:Q251" si="190">SUM(M249:M250)</f>
        <v>0</v>
      </c>
      <c r="N251" s="752">
        <f t="shared" si="190"/>
        <v>0</v>
      </c>
      <c r="O251" s="752">
        <f t="shared" si="190"/>
        <v>0</v>
      </c>
      <c r="P251" s="752">
        <f t="shared" si="190"/>
        <v>0</v>
      </c>
      <c r="Q251" s="752">
        <f t="shared" si="190"/>
        <v>0</v>
      </c>
      <c r="R251" s="752">
        <f t="shared" ref="R251:S251" si="191">SUM(R249:R250)</f>
        <v>0</v>
      </c>
      <c r="S251" s="752">
        <f t="shared" si="191"/>
        <v>0</v>
      </c>
      <c r="T251" s="754">
        <f t="shared" si="188"/>
        <v>75152.209999999992</v>
      </c>
      <c r="U251" s="748">
        <f>K251-T251</f>
        <v>-4742.109999999986</v>
      </c>
    </row>
    <row r="252" spans="1:21" ht="16" thickTop="1">
      <c r="B252" s="756"/>
      <c r="C252" s="734"/>
      <c r="D252" s="746"/>
      <c r="E252" s="746"/>
      <c r="F252" s="746"/>
      <c r="G252" s="746"/>
      <c r="H252" s="746"/>
      <c r="I252" s="746"/>
      <c r="J252" s="746"/>
      <c r="K252" s="747"/>
      <c r="L252" s="734"/>
      <c r="M252" s="746"/>
      <c r="N252" s="746"/>
      <c r="O252" s="746"/>
      <c r="P252" s="746"/>
      <c r="Q252" s="746"/>
      <c r="R252" s="746"/>
      <c r="S252" s="746"/>
      <c r="T252" s="747"/>
      <c r="U252" s="748"/>
    </row>
    <row r="253" spans="1:21">
      <c r="A253" s="269" t="s">
        <v>1575</v>
      </c>
      <c r="B253" s="745"/>
      <c r="C253" s="734"/>
      <c r="D253" s="746"/>
      <c r="E253" s="746"/>
      <c r="F253" s="746"/>
      <c r="G253" s="746"/>
      <c r="H253" s="746"/>
      <c r="I253" s="746"/>
      <c r="J253" s="746"/>
      <c r="K253" s="747"/>
      <c r="L253" s="734"/>
      <c r="M253" s="746"/>
      <c r="N253" s="746"/>
      <c r="O253" s="746"/>
      <c r="P253" s="746"/>
      <c r="Q253" s="746"/>
      <c r="R253" s="746"/>
      <c r="S253" s="746"/>
      <c r="T253" s="747"/>
    </row>
    <row r="254" spans="1:21" ht="16">
      <c r="A254" s="628" t="s">
        <v>215</v>
      </c>
      <c r="B254" s="745" t="s">
        <v>460</v>
      </c>
      <c r="C254" s="734">
        <f>IFERROR(VLOOKUP(A254,'TB CY'!A:G,7,)+VLOOKUP(A254,'TB CY'!A:G,6,),0)</f>
        <v>7507</v>
      </c>
      <c r="D254" s="746"/>
      <c r="E254" s="746">
        <f>IFERROR(VLOOKUP(A254,'TB Other'!A:I,8,0),0)+IFERROR(VLOOKUP(A254,'TB Other'!A:I,9,0),0)</f>
        <v>0</v>
      </c>
      <c r="F254" s="746"/>
      <c r="G254" s="746">
        <f>IFERROR(VLOOKUP(A254,'TB Other'!A:E,4,),0)+IFERROR(VLOOKUP(A254,'TB Other'!A:E,5,),0)</f>
        <v>0</v>
      </c>
      <c r="H254" s="746"/>
      <c r="I254" s="746">
        <f>IFERROR(VLOOKUP(A254,'TB Other'!A:M,12,0),0)+IFERROR(VLOOKUP(A254,'TB Other'!A:M,13,0),0)</f>
        <v>0</v>
      </c>
      <c r="J254" s="746"/>
      <c r="K254" s="747">
        <f>SUM(C254:J254)</f>
        <v>7507</v>
      </c>
      <c r="L254" s="734">
        <f>VLOOKUP(A254,'TB PY'!A:G,7,)+VLOOKUP(A254,'TB PY'!A:G,6,)</f>
        <v>8007</v>
      </c>
      <c r="M254" s="746"/>
      <c r="N254" s="746"/>
      <c r="O254" s="746"/>
      <c r="P254" s="746"/>
      <c r="Q254" s="746"/>
      <c r="R254" s="746"/>
      <c r="S254" s="746"/>
      <c r="T254" s="747">
        <f>SUM(L254:S254)</f>
        <v>8007</v>
      </c>
      <c r="U254" s="748"/>
    </row>
    <row r="255" spans="1:21" ht="16" thickBot="1">
      <c r="A255" s="269"/>
      <c r="B255" s="745"/>
      <c r="C255" s="734"/>
      <c r="D255" s="746"/>
      <c r="E255" s="746"/>
      <c r="F255" s="746"/>
      <c r="G255" s="746"/>
      <c r="H255" s="746"/>
      <c r="I255" s="746"/>
      <c r="J255" s="746"/>
      <c r="K255" s="747"/>
      <c r="L255" s="734"/>
      <c r="M255" s="746"/>
      <c r="N255" s="746"/>
      <c r="O255" s="746"/>
      <c r="P255" s="746"/>
      <c r="Q255" s="746"/>
      <c r="R255" s="746"/>
      <c r="S255" s="746"/>
      <c r="T255" s="747"/>
    </row>
    <row r="256" spans="1:21" ht="17" thickTop="1" thickBot="1">
      <c r="A256" s="749"/>
      <c r="B256" s="750" t="s">
        <v>51</v>
      </c>
      <c r="C256" s="751">
        <f t="shared" ref="C256:T256" si="192">SUM(C254:C255)</f>
        <v>7507</v>
      </c>
      <c r="D256" s="752">
        <f t="shared" si="192"/>
        <v>0</v>
      </c>
      <c r="E256" s="752">
        <f t="shared" si="192"/>
        <v>0</v>
      </c>
      <c r="F256" s="752">
        <f t="shared" si="192"/>
        <v>0</v>
      </c>
      <c r="G256" s="752">
        <f t="shared" si="192"/>
        <v>0</v>
      </c>
      <c r="H256" s="752">
        <f t="shared" si="192"/>
        <v>0</v>
      </c>
      <c r="I256" s="752">
        <f t="shared" ref="I256:J256" si="193">SUM(I254:I255)</f>
        <v>0</v>
      </c>
      <c r="J256" s="752">
        <f t="shared" si="193"/>
        <v>0</v>
      </c>
      <c r="K256" s="753">
        <f t="shared" si="192"/>
        <v>7507</v>
      </c>
      <c r="L256" s="751">
        <f t="shared" si="192"/>
        <v>8007</v>
      </c>
      <c r="M256" s="752">
        <f t="shared" ref="M256:Q256" si="194">SUM(M254:M255)</f>
        <v>0</v>
      </c>
      <c r="N256" s="752">
        <f t="shared" si="194"/>
        <v>0</v>
      </c>
      <c r="O256" s="752">
        <f t="shared" si="194"/>
        <v>0</v>
      </c>
      <c r="P256" s="752">
        <f t="shared" si="194"/>
        <v>0</v>
      </c>
      <c r="Q256" s="752">
        <f t="shared" si="194"/>
        <v>0</v>
      </c>
      <c r="R256" s="752">
        <f t="shared" ref="R256:S256" si="195">SUM(R254:R255)</f>
        <v>0</v>
      </c>
      <c r="S256" s="752">
        <f t="shared" si="195"/>
        <v>0</v>
      </c>
      <c r="T256" s="754">
        <f t="shared" si="192"/>
        <v>8007</v>
      </c>
      <c r="U256" s="748">
        <f>K256-T256</f>
        <v>-500</v>
      </c>
    </row>
    <row r="257" spans="1:23" ht="16" thickTop="1">
      <c r="A257" s="269" t="s">
        <v>1562</v>
      </c>
      <c r="B257" s="745"/>
      <c r="C257" s="734"/>
      <c r="D257" s="746"/>
      <c r="E257" s="746"/>
      <c r="F257" s="746"/>
      <c r="G257" s="746"/>
      <c r="H257" s="746"/>
      <c r="I257" s="746"/>
      <c r="J257" s="746"/>
      <c r="K257" s="747"/>
      <c r="L257" s="734"/>
      <c r="M257" s="746"/>
      <c r="N257" s="746"/>
      <c r="O257" s="746"/>
      <c r="P257" s="746"/>
      <c r="Q257" s="746"/>
      <c r="R257" s="746"/>
      <c r="S257" s="746"/>
      <c r="T257" s="747"/>
    </row>
    <row r="258" spans="1:23">
      <c r="A258" s="269" t="s">
        <v>1555</v>
      </c>
      <c r="B258" s="745" t="s">
        <v>460</v>
      </c>
      <c r="C258" s="734">
        <f>IFERROR(VLOOKUP(A258,'TB CY'!A:G,7,)+VLOOKUP(A258,'TB CY'!A:G,6,),0)</f>
        <v>1899687.56</v>
      </c>
      <c r="D258" s="746"/>
      <c r="E258" s="746">
        <f>IFERROR(VLOOKUP(A258,'TB Other'!A:I,8,0),0)+IFERROR(VLOOKUP(A258,'TB Other'!A:I,9,0),0)</f>
        <v>0</v>
      </c>
      <c r="F258" s="746"/>
      <c r="G258" s="746">
        <f>IFERROR(VLOOKUP(A258,'TB Other'!A:E,4,),0)+IFERROR(VLOOKUP(A258,'TB Other'!A:E,5,),0)</f>
        <v>0</v>
      </c>
      <c r="H258" s="746"/>
      <c r="I258" s="746">
        <f>IFERROR(VLOOKUP(A258,'TB Other'!A:M,12,0),0)+IFERROR(VLOOKUP(A258,'TB Other'!A:M,13,0),0)</f>
        <v>0</v>
      </c>
      <c r="J258" s="746">
        <v>315000</v>
      </c>
      <c r="K258" s="747">
        <f t="shared" ref="K258:K259" si="196">SUM(C258:J258)</f>
        <v>2214687.56</v>
      </c>
      <c r="L258" s="734">
        <f>IFERROR(VLOOKUP(A258,'TB PY'!A:G,7,),0)+IFERROR(VLOOKUP(A258,'TB PY'!A:G,6,),0)</f>
        <v>0</v>
      </c>
      <c r="M258" s="746"/>
      <c r="N258" s="746"/>
      <c r="O258" s="746"/>
      <c r="P258" s="746"/>
      <c r="Q258" s="746"/>
      <c r="R258" s="746"/>
      <c r="S258" s="746"/>
      <c r="T258" s="747">
        <f t="shared" ref="T258:T259" si="197">SUM(L258:S258)</f>
        <v>0</v>
      </c>
      <c r="U258" s="748">
        <f t="shared" ref="U258" si="198">K258-T258</f>
        <v>2214687.56</v>
      </c>
      <c r="V258" s="215">
        <v>50452</v>
      </c>
      <c r="W258" s="332">
        <f>T258-V258</f>
        <v>-50452</v>
      </c>
    </row>
    <row r="259" spans="1:23">
      <c r="A259" s="269" t="s">
        <v>1428</v>
      </c>
      <c r="B259" s="745" t="s">
        <v>461</v>
      </c>
      <c r="C259" s="734">
        <f>IFERROR(VLOOKUP(A259,'TB CY'!A:G,7,)+VLOOKUP(A259,'TB CY'!A:G,6,),0)</f>
        <v>0</v>
      </c>
      <c r="D259" s="746">
        <f>-D241</f>
        <v>2239076.06</v>
      </c>
      <c r="E259" s="746"/>
      <c r="F259" s="746"/>
      <c r="G259" s="746"/>
      <c r="H259" s="746"/>
      <c r="I259" s="746"/>
      <c r="J259" s="746"/>
      <c r="K259" s="747">
        <f t="shared" si="196"/>
        <v>2239076.06</v>
      </c>
      <c r="L259" s="734"/>
      <c r="M259" s="746">
        <v>2997658</v>
      </c>
      <c r="N259" s="746"/>
      <c r="O259" s="746"/>
      <c r="P259" s="746"/>
      <c r="Q259" s="746"/>
      <c r="R259" s="746"/>
      <c r="S259" s="746"/>
      <c r="T259" s="747">
        <f t="shared" si="197"/>
        <v>2997658</v>
      </c>
      <c r="U259" s="748"/>
    </row>
    <row r="260" spans="1:23" ht="16" thickBot="1">
      <c r="A260" s="269"/>
      <c r="B260" s="745"/>
      <c r="C260" s="734"/>
      <c r="D260" s="746"/>
      <c r="E260" s="746"/>
      <c r="F260" s="746"/>
      <c r="G260" s="746"/>
      <c r="H260" s="746"/>
      <c r="I260" s="746"/>
      <c r="J260" s="746"/>
      <c r="K260" s="747"/>
      <c r="L260" s="734"/>
      <c r="M260" s="746"/>
      <c r="N260" s="746"/>
      <c r="O260" s="746"/>
      <c r="P260" s="746"/>
      <c r="Q260" s="746"/>
      <c r="R260" s="746"/>
      <c r="S260" s="746"/>
      <c r="T260" s="747"/>
    </row>
    <row r="261" spans="1:23" ht="17" thickTop="1" thickBot="1">
      <c r="A261" s="749"/>
      <c r="B261" s="750" t="s">
        <v>51</v>
      </c>
      <c r="C261" s="751">
        <f>SUM(C258:C260)</f>
        <v>1899687.56</v>
      </c>
      <c r="D261" s="752">
        <f t="shared" ref="D261:T261" si="199">SUM(D258:D260)</f>
        <v>2239076.06</v>
      </c>
      <c r="E261" s="752">
        <f t="shared" si="199"/>
        <v>0</v>
      </c>
      <c r="F261" s="752">
        <f t="shared" si="199"/>
        <v>0</v>
      </c>
      <c r="G261" s="752">
        <f t="shared" si="199"/>
        <v>0</v>
      </c>
      <c r="H261" s="752">
        <f t="shared" si="199"/>
        <v>0</v>
      </c>
      <c r="I261" s="752">
        <f t="shared" ref="I261:J261" si="200">SUM(I258:I260)</f>
        <v>0</v>
      </c>
      <c r="J261" s="752">
        <f t="shared" si="200"/>
        <v>315000</v>
      </c>
      <c r="K261" s="753">
        <f t="shared" si="199"/>
        <v>4453763.62</v>
      </c>
      <c r="L261" s="751">
        <f t="shared" si="199"/>
        <v>0</v>
      </c>
      <c r="M261" s="752">
        <f t="shared" si="199"/>
        <v>2997658</v>
      </c>
      <c r="N261" s="752">
        <f t="shared" si="199"/>
        <v>0</v>
      </c>
      <c r="O261" s="752">
        <f t="shared" si="199"/>
        <v>0</v>
      </c>
      <c r="P261" s="752">
        <f t="shared" si="199"/>
        <v>0</v>
      </c>
      <c r="Q261" s="752">
        <f t="shared" si="199"/>
        <v>0</v>
      </c>
      <c r="R261" s="752">
        <f t="shared" ref="R261:S261" si="201">SUM(R258:R260)</f>
        <v>0</v>
      </c>
      <c r="S261" s="752">
        <f t="shared" si="201"/>
        <v>0</v>
      </c>
      <c r="T261" s="754">
        <f t="shared" si="199"/>
        <v>2997658</v>
      </c>
      <c r="U261" s="748">
        <f>K261-T261</f>
        <v>1456105.62</v>
      </c>
    </row>
    <row r="262" spans="1:23" ht="16" thickTop="1">
      <c r="A262" s="269" t="s">
        <v>1563</v>
      </c>
      <c r="B262" s="745"/>
      <c r="C262" s="734"/>
      <c r="D262" s="746"/>
      <c r="E262" s="746"/>
      <c r="F262" s="746"/>
      <c r="G262" s="746"/>
      <c r="H262" s="746"/>
      <c r="I262" s="746"/>
      <c r="J262" s="746"/>
      <c r="K262" s="747"/>
      <c r="L262" s="734"/>
      <c r="M262" s="746"/>
      <c r="N262" s="746"/>
      <c r="O262" s="746"/>
      <c r="P262" s="746"/>
      <c r="Q262" s="746"/>
      <c r="R262" s="746"/>
      <c r="S262" s="746"/>
      <c r="T262" s="747"/>
    </row>
    <row r="263" spans="1:23" ht="16">
      <c r="A263" s="628" t="s">
        <v>185</v>
      </c>
      <c r="B263" s="745" t="s">
        <v>460</v>
      </c>
      <c r="C263" s="734">
        <f>IFERROR(VLOOKUP(A263,'TB CY'!A:G,7,)+VLOOKUP(A263,'TB CY'!A:G,6,),0)</f>
        <v>247500</v>
      </c>
      <c r="D263" s="746"/>
      <c r="E263" s="746">
        <f>IFERROR(VLOOKUP(A263,'TB Other'!A:I,8,0),0)+IFERROR(VLOOKUP(A263,'TB Other'!A:I,9,0),0)</f>
        <v>0</v>
      </c>
      <c r="F263" s="746"/>
      <c r="G263" s="746">
        <f>IFERROR(VLOOKUP(A263,'TB Other'!A:E,4,),0)+IFERROR(VLOOKUP(A263,'TB Other'!A:E,5,),0)</f>
        <v>0</v>
      </c>
      <c r="H263" s="746"/>
      <c r="I263" s="746">
        <f>IFERROR(VLOOKUP(A263,'TB Other'!A:M,12,0),0)+IFERROR(VLOOKUP(A263,'TB Other'!A:M,13,0),0)</f>
        <v>0</v>
      </c>
      <c r="J263" s="746"/>
      <c r="K263" s="747">
        <f t="shared" ref="K263:K264" si="202">SUM(C263:J263)</f>
        <v>247500</v>
      </c>
      <c r="L263" s="734">
        <f>VLOOKUP(A263,'TB PY'!A:G,7,)+VLOOKUP(A263,'TB PY'!A:G,6,)</f>
        <v>121000</v>
      </c>
      <c r="M263" s="746"/>
      <c r="N263" s="746"/>
      <c r="O263" s="746"/>
      <c r="P263" s="746"/>
      <c r="Q263" s="746"/>
      <c r="R263" s="746"/>
      <c r="S263" s="746"/>
      <c r="T263" s="747">
        <f t="shared" ref="T263:T264" si="203">SUM(L263:S263)</f>
        <v>121000</v>
      </c>
      <c r="U263" s="748"/>
    </row>
    <row r="264" spans="1:23" ht="16">
      <c r="A264" s="628" t="s">
        <v>1329</v>
      </c>
      <c r="B264" s="745" t="s">
        <v>460</v>
      </c>
      <c r="C264" s="734">
        <f>IFERROR(VLOOKUP(A264,'TB CY'!A:G,7,)+VLOOKUP(A264,'TB CY'!A:G,6,),0)</f>
        <v>0</v>
      </c>
      <c r="D264" s="746"/>
      <c r="E264" s="746">
        <f>IFERROR(VLOOKUP(A264,'TB Other'!A:I,8,0),0)+IFERROR(VLOOKUP(A264,'TB Other'!A:I,9,0),0)</f>
        <v>0</v>
      </c>
      <c r="F264" s="746"/>
      <c r="G264" s="746">
        <f>IFERROR(VLOOKUP(A264,'TB Other'!A:E,4,),0)+IFERROR(VLOOKUP(A264,'TB Other'!A:E,5,),0)</f>
        <v>0</v>
      </c>
      <c r="H264" s="746"/>
      <c r="I264" s="746">
        <f>IFERROR(VLOOKUP(A264,'TB Other'!A:M,12,0),0)+IFERROR(VLOOKUP(A264,'TB Other'!A:M,13,0),0)</f>
        <v>0</v>
      </c>
      <c r="J264" s="746"/>
      <c r="K264" s="747">
        <f t="shared" si="202"/>
        <v>0</v>
      </c>
      <c r="L264" s="734">
        <f>VLOOKUP(A264,'TB PY'!A:G,7,)+VLOOKUP(A264,'TB PY'!A:G,6,)</f>
        <v>-40000</v>
      </c>
      <c r="M264" s="746">
        <v>40000</v>
      </c>
      <c r="N264" s="746"/>
      <c r="O264" s="746"/>
      <c r="P264" s="746"/>
      <c r="Q264" s="746"/>
      <c r="R264" s="746"/>
      <c r="S264" s="746"/>
      <c r="T264" s="747">
        <f t="shared" si="203"/>
        <v>0</v>
      </c>
      <c r="U264" s="748"/>
    </row>
    <row r="265" spans="1:23" ht="16" thickBot="1">
      <c r="A265" s="269"/>
      <c r="B265" s="745"/>
      <c r="C265" s="734"/>
      <c r="D265" s="746"/>
      <c r="E265" s="746"/>
      <c r="F265" s="746"/>
      <c r="G265" s="746"/>
      <c r="H265" s="746"/>
      <c r="I265" s="746"/>
      <c r="J265" s="746"/>
      <c r="K265" s="747"/>
      <c r="L265" s="734"/>
      <c r="M265" s="746"/>
      <c r="N265" s="746"/>
      <c r="O265" s="746"/>
      <c r="P265" s="746"/>
      <c r="Q265" s="746"/>
      <c r="R265" s="746"/>
      <c r="S265" s="746"/>
      <c r="T265" s="747"/>
    </row>
    <row r="266" spans="1:23" ht="17" thickTop="1" thickBot="1">
      <c r="A266" s="749"/>
      <c r="B266" s="750" t="s">
        <v>51</v>
      </c>
      <c r="C266" s="751">
        <f t="shared" ref="C266:H266" si="204">SUM(C263:C265)</f>
        <v>247500</v>
      </c>
      <c r="D266" s="752">
        <f t="shared" si="204"/>
        <v>0</v>
      </c>
      <c r="E266" s="752">
        <f t="shared" si="204"/>
        <v>0</v>
      </c>
      <c r="F266" s="752">
        <f t="shared" si="204"/>
        <v>0</v>
      </c>
      <c r="G266" s="752">
        <f t="shared" si="204"/>
        <v>0</v>
      </c>
      <c r="H266" s="752">
        <f t="shared" si="204"/>
        <v>0</v>
      </c>
      <c r="I266" s="752">
        <f t="shared" ref="I266:J266" si="205">SUM(I263:I265)</f>
        <v>0</v>
      </c>
      <c r="J266" s="752">
        <f t="shared" si="205"/>
        <v>0</v>
      </c>
      <c r="K266" s="753">
        <f>SUM(K263:K265)</f>
        <v>247500</v>
      </c>
      <c r="L266" s="751">
        <f t="shared" ref="L266:T266" si="206">SUM(L263:L265)</f>
        <v>81000</v>
      </c>
      <c r="M266" s="752">
        <f t="shared" si="206"/>
        <v>40000</v>
      </c>
      <c r="N266" s="752">
        <f t="shared" si="206"/>
        <v>0</v>
      </c>
      <c r="O266" s="752">
        <f t="shared" si="206"/>
        <v>0</v>
      </c>
      <c r="P266" s="752">
        <f t="shared" si="206"/>
        <v>0</v>
      </c>
      <c r="Q266" s="752">
        <f t="shared" si="206"/>
        <v>0</v>
      </c>
      <c r="R266" s="752">
        <f t="shared" ref="R266:S266" si="207">SUM(R263:R265)</f>
        <v>0</v>
      </c>
      <c r="S266" s="752">
        <f t="shared" si="207"/>
        <v>0</v>
      </c>
      <c r="T266" s="754">
        <f t="shared" si="206"/>
        <v>121000</v>
      </c>
      <c r="U266" s="748">
        <f>K266-T266</f>
        <v>126500</v>
      </c>
    </row>
    <row r="267" spans="1:23" ht="16" thickTop="1">
      <c r="A267" s="269" t="s">
        <v>331</v>
      </c>
      <c r="B267" s="745"/>
      <c r="C267" s="734"/>
      <c r="D267" s="746"/>
      <c r="E267" s="746"/>
      <c r="F267" s="746"/>
      <c r="G267" s="746"/>
      <c r="H267" s="746"/>
      <c r="I267" s="746"/>
      <c r="J267" s="746"/>
      <c r="K267" s="747"/>
      <c r="L267" s="734"/>
      <c r="M267" s="746"/>
      <c r="N267" s="746"/>
      <c r="O267" s="746"/>
      <c r="P267" s="746"/>
      <c r="Q267" s="746"/>
      <c r="R267" s="746"/>
      <c r="S267" s="746"/>
      <c r="T267" s="747"/>
    </row>
    <row r="268" spans="1:23" ht="16">
      <c r="A268" s="628" t="s">
        <v>186</v>
      </c>
      <c r="B268" s="745" t="s">
        <v>460</v>
      </c>
      <c r="C268" s="734">
        <f>IFERROR(VLOOKUP(A268,'TB CY'!A:G,7,)+VLOOKUP(A268,'TB CY'!A:G,6,),0)</f>
        <v>8354</v>
      </c>
      <c r="D268" s="746"/>
      <c r="E268" s="746">
        <f>IFERROR(VLOOKUP(A268,'TB Other'!A:I,8,0),0)+IFERROR(VLOOKUP(A268,'TB Other'!A:I,9,0),0)</f>
        <v>0</v>
      </c>
      <c r="F268" s="746"/>
      <c r="G268" s="746">
        <f>IFERROR(VLOOKUP(A268,'TB Other'!A:E,4,),0)+IFERROR(VLOOKUP(A268,'TB Other'!A:E,5,),0)</f>
        <v>0</v>
      </c>
      <c r="H268" s="746"/>
      <c r="I268" s="746">
        <f>IFERROR(VLOOKUP(A268,'TB Other'!A:M,12,0),0)+IFERROR(VLOOKUP(A268,'TB Other'!A:M,13,0),0)</f>
        <v>0</v>
      </c>
      <c r="J268" s="746"/>
      <c r="K268" s="747">
        <f>SUM(C268:J268)</f>
        <v>8354</v>
      </c>
      <c r="L268" s="734">
        <f>VLOOKUP(A268,'TB PY'!A:G,7,)+VLOOKUP(A268,'TB PY'!A:G,6,)</f>
        <v>-0.01</v>
      </c>
      <c r="M268" s="746"/>
      <c r="N268" s="746"/>
      <c r="O268" s="746"/>
      <c r="P268" s="746"/>
      <c r="Q268" s="746"/>
      <c r="R268" s="746"/>
      <c r="S268" s="746"/>
      <c r="T268" s="747">
        <f>SUM(L268:S268)</f>
        <v>-0.01</v>
      </c>
      <c r="U268" s="748"/>
    </row>
    <row r="269" spans="1:23" ht="16" thickBot="1">
      <c r="A269" s="269"/>
      <c r="B269" s="745"/>
      <c r="C269" s="734"/>
      <c r="D269" s="746"/>
      <c r="E269" s="746"/>
      <c r="F269" s="746"/>
      <c r="G269" s="746"/>
      <c r="H269" s="746"/>
      <c r="I269" s="746"/>
      <c r="J269" s="746"/>
      <c r="K269" s="747"/>
      <c r="L269" s="734"/>
      <c r="M269" s="746"/>
      <c r="N269" s="746"/>
      <c r="O269" s="746"/>
      <c r="P269" s="746"/>
      <c r="Q269" s="746"/>
      <c r="R269" s="746"/>
      <c r="S269" s="746"/>
      <c r="T269" s="747"/>
    </row>
    <row r="270" spans="1:23" ht="17" thickTop="1" thickBot="1">
      <c r="A270" s="749"/>
      <c r="B270" s="750" t="s">
        <v>51</v>
      </c>
      <c r="C270" s="751">
        <f t="shared" ref="C270:T270" si="208">SUM(C268:C269)</f>
        <v>8354</v>
      </c>
      <c r="D270" s="752">
        <f t="shared" si="208"/>
        <v>0</v>
      </c>
      <c r="E270" s="752">
        <f t="shared" si="208"/>
        <v>0</v>
      </c>
      <c r="F270" s="752">
        <f t="shared" si="208"/>
        <v>0</v>
      </c>
      <c r="G270" s="752">
        <f t="shared" si="208"/>
        <v>0</v>
      </c>
      <c r="H270" s="752">
        <f t="shared" si="208"/>
        <v>0</v>
      </c>
      <c r="I270" s="752">
        <f t="shared" ref="I270:J270" si="209">SUM(I268:I269)</f>
        <v>0</v>
      </c>
      <c r="J270" s="752">
        <f t="shared" si="209"/>
        <v>0</v>
      </c>
      <c r="K270" s="753">
        <f t="shared" si="208"/>
        <v>8354</v>
      </c>
      <c r="L270" s="751">
        <f t="shared" si="208"/>
        <v>-0.01</v>
      </c>
      <c r="M270" s="752">
        <f t="shared" ref="M270:Q270" si="210">SUM(M268:M269)</f>
        <v>0</v>
      </c>
      <c r="N270" s="752">
        <f t="shared" si="210"/>
        <v>0</v>
      </c>
      <c r="O270" s="752">
        <f t="shared" si="210"/>
        <v>0</v>
      </c>
      <c r="P270" s="752">
        <f t="shared" si="210"/>
        <v>0</v>
      </c>
      <c r="Q270" s="752">
        <f t="shared" si="210"/>
        <v>0</v>
      </c>
      <c r="R270" s="752">
        <f t="shared" ref="R270:S270" si="211">SUM(R268:R269)</f>
        <v>0</v>
      </c>
      <c r="S270" s="752">
        <f t="shared" si="211"/>
        <v>0</v>
      </c>
      <c r="T270" s="754">
        <f t="shared" si="208"/>
        <v>-0.01</v>
      </c>
      <c r="U270" s="748">
        <f>K270-T270</f>
        <v>8354.01</v>
      </c>
    </row>
    <row r="271" spans="1:23" ht="16" thickTop="1">
      <c r="A271" s="269" t="s">
        <v>539</v>
      </c>
      <c r="B271" s="745"/>
      <c r="C271" s="734"/>
      <c r="D271" s="746"/>
      <c r="E271" s="746"/>
      <c r="F271" s="746"/>
      <c r="G271" s="746"/>
      <c r="H271" s="746"/>
      <c r="I271" s="746"/>
      <c r="J271" s="746"/>
      <c r="K271" s="747"/>
      <c r="L271" s="734"/>
      <c r="M271" s="746"/>
      <c r="N271" s="746"/>
      <c r="O271" s="746"/>
      <c r="P271" s="746"/>
      <c r="Q271" s="746"/>
      <c r="R271" s="746"/>
      <c r="S271" s="746"/>
      <c r="T271" s="747"/>
    </row>
    <row r="272" spans="1:23" ht="16">
      <c r="A272" s="628" t="s">
        <v>534</v>
      </c>
      <c r="B272" s="745" t="s">
        <v>460</v>
      </c>
      <c r="C272" s="734">
        <f>IFERROR(VLOOKUP(A272,'TB CY'!A:G,7,)+VLOOKUP(A272,'TB CY'!A:G,6,),0)</f>
        <v>523637.36</v>
      </c>
      <c r="D272" s="746"/>
      <c r="E272" s="746">
        <f>IFERROR(VLOOKUP(A272,'TB Other'!A:I,8,0),0)+IFERROR(VLOOKUP(A272,'TB Other'!A:I,9,0),0)</f>
        <v>0</v>
      </c>
      <c r="F272" s="746"/>
      <c r="G272" s="746">
        <f>IFERROR(VLOOKUP(A272,'TB Other'!A:E,4,),0)+IFERROR(VLOOKUP(A272,'TB Other'!A:E,5,),0)</f>
        <v>0</v>
      </c>
      <c r="H272" s="746"/>
      <c r="I272" s="746">
        <f>IFERROR(VLOOKUP(A272,'TB Other'!A:M,12,0),0)+IFERROR(VLOOKUP(A272,'TB Other'!A:M,13,0),0)</f>
        <v>0</v>
      </c>
      <c r="J272" s="746"/>
      <c r="K272" s="747">
        <f t="shared" ref="K272:K276" si="212">SUM(C272:J272)</f>
        <v>523637.36</v>
      </c>
      <c r="L272" s="734">
        <f>VLOOKUP(A272,'TB PY'!A:G,7,)+VLOOKUP(A272,'TB PY'!A:G,6,)</f>
        <v>702700</v>
      </c>
      <c r="M272" s="746"/>
      <c r="N272" s="746"/>
      <c r="O272" s="746"/>
      <c r="P272" s="746"/>
      <c r="Q272" s="746"/>
      <c r="R272" s="746"/>
      <c r="S272" s="746"/>
      <c r="T272" s="747">
        <f t="shared" ref="T272:T276" si="213">SUM(L272:S272)</f>
        <v>702700</v>
      </c>
      <c r="U272" s="748"/>
    </row>
    <row r="273" spans="1:21">
      <c r="A273" s="269" t="s">
        <v>217</v>
      </c>
      <c r="B273" s="745" t="s">
        <v>460</v>
      </c>
      <c r="C273" s="734">
        <f>IFERROR(VLOOKUP(A273,'TB CY'!A:G,7,)+VLOOKUP(A273,'TB CY'!A:G,6,),0)</f>
        <v>0</v>
      </c>
      <c r="D273" s="746"/>
      <c r="E273" s="746">
        <f>IFERROR(VLOOKUP(A273,'TB Other'!A:I,8,0),0)+IFERROR(VLOOKUP(A273,'TB Other'!A:I,9,0),0)</f>
        <v>0</v>
      </c>
      <c r="F273" s="746"/>
      <c r="G273" s="746">
        <f>IFERROR(VLOOKUP(A273,'TB Other'!A:E,4,),0)+IFERROR(VLOOKUP(A273,'TB Other'!A:E,5,),0)</f>
        <v>0</v>
      </c>
      <c r="H273" s="746"/>
      <c r="I273" s="746">
        <f>IFERROR(VLOOKUP(A273,'TB Other'!A:M,12,0),0)+IFERROR(VLOOKUP(A273,'TB Other'!A:M,13,0),0)</f>
        <v>0</v>
      </c>
      <c r="J273" s="746"/>
      <c r="K273" s="747">
        <f t="shared" si="212"/>
        <v>0</v>
      </c>
      <c r="L273" s="734">
        <f>VLOOKUP(A273,'TB PY'!A:G,7,)+VLOOKUP(A273,'TB PY'!A:G,6,)</f>
        <v>2530</v>
      </c>
      <c r="M273" s="746"/>
      <c r="N273" s="746"/>
      <c r="O273" s="746"/>
      <c r="P273" s="746">
        <v>12650</v>
      </c>
      <c r="Q273" s="746"/>
      <c r="R273" s="746"/>
      <c r="S273" s="746"/>
      <c r="T273" s="747">
        <f t="shared" si="213"/>
        <v>15180</v>
      </c>
      <c r="U273" s="748"/>
    </row>
    <row r="274" spans="1:21">
      <c r="A274" s="269" t="s">
        <v>1600</v>
      </c>
      <c r="B274" s="745" t="s">
        <v>460</v>
      </c>
      <c r="C274" s="734">
        <f>IFERROR(VLOOKUP(A274,'TB CY'!A:G,7,)+VLOOKUP(A274,'TB CY'!A:G,6,),0)</f>
        <v>0</v>
      </c>
      <c r="D274" s="746"/>
      <c r="E274" s="746">
        <f>IFERROR(VLOOKUP(A274,'TB Other'!A:I,8,0),0)+IFERROR(VLOOKUP(A274,'TB Other'!A:I,9,0),0)</f>
        <v>0</v>
      </c>
      <c r="F274" s="746"/>
      <c r="G274" s="746">
        <f>IFERROR(VLOOKUP(A274,'TB Other'!A:E,4,),0)+IFERROR(VLOOKUP(A274,'TB Other'!A:E,5,),0)</f>
        <v>0</v>
      </c>
      <c r="H274" s="746"/>
      <c r="I274" s="746">
        <f>IFERROR(VLOOKUP(A274,'TB Other'!A:M,12,0),0)+IFERROR(VLOOKUP(A274,'TB Other'!A:M,13,0),0)</f>
        <v>62314.3</v>
      </c>
      <c r="J274" s="746"/>
      <c r="K274" s="747">
        <f t="shared" si="212"/>
        <v>62314.3</v>
      </c>
      <c r="L274" s="734">
        <f>IFERROR(VLOOKUP(A274,'TB PY'!A:G,7,),0)+IFERROR(VLOOKUP(A274,'TB PY'!A:G,6,),0)</f>
        <v>0</v>
      </c>
      <c r="M274" s="746"/>
      <c r="N274" s="746"/>
      <c r="O274" s="746"/>
      <c r="P274" s="746"/>
      <c r="Q274" s="746"/>
      <c r="R274" s="746"/>
      <c r="S274" s="746"/>
      <c r="T274" s="747">
        <f t="shared" si="213"/>
        <v>0</v>
      </c>
      <c r="U274" s="748"/>
    </row>
    <row r="275" spans="1:21">
      <c r="A275" s="269" t="s">
        <v>528</v>
      </c>
      <c r="B275" s="745" t="s">
        <v>460</v>
      </c>
      <c r="C275" s="734">
        <f>IFERROR(VLOOKUP(A275,'TB CY'!A:G,7,)+VLOOKUP(A275,'TB CY'!A:G,6,),0)</f>
        <v>23672</v>
      </c>
      <c r="D275" s="746"/>
      <c r="E275" s="746">
        <f>IFERROR(VLOOKUP(A275,'TB Other'!A:I,8,0),0)+IFERROR(VLOOKUP(A275,'TB Other'!A:I,9,0),0)</f>
        <v>0</v>
      </c>
      <c r="F275" s="746"/>
      <c r="G275" s="746">
        <f>IFERROR(VLOOKUP(A275,'TB Other'!A:E,4,),0)+IFERROR(VLOOKUP(A275,'TB Other'!A:E,5,),0)</f>
        <v>0</v>
      </c>
      <c r="H275" s="746"/>
      <c r="I275" s="746">
        <f>IFERROR(VLOOKUP(A275,'TB Other'!A:M,12,0),0)+IFERROR(VLOOKUP(A275,'TB Other'!A:M,13,0),0)</f>
        <v>0</v>
      </c>
      <c r="J275" s="746"/>
      <c r="K275" s="747">
        <f t="shared" si="212"/>
        <v>23672</v>
      </c>
      <c r="L275" s="734">
        <f>VLOOKUP(A275,'TB PY'!A:G,7,)+VLOOKUP(A275,'TB PY'!A:G,6,)</f>
        <v>22500</v>
      </c>
      <c r="M275" s="746"/>
      <c r="N275" s="746"/>
      <c r="O275" s="746"/>
      <c r="P275" s="746"/>
      <c r="Q275" s="746"/>
      <c r="R275" s="746"/>
      <c r="S275" s="746"/>
      <c r="T275" s="747">
        <f t="shared" si="213"/>
        <v>22500</v>
      </c>
      <c r="U275" s="748"/>
    </row>
    <row r="276" spans="1:21" ht="16" thickBot="1">
      <c r="A276" s="269" t="s">
        <v>535</v>
      </c>
      <c r="B276" s="745" t="s">
        <v>460</v>
      </c>
      <c r="C276" s="734">
        <f>IFERROR(VLOOKUP(A276,'TB CY'!A:G,7,)+VLOOKUP(A276,'TB CY'!A:G,6,),0)</f>
        <v>2356465.88</v>
      </c>
      <c r="D276" s="746"/>
      <c r="E276" s="746">
        <f>IFERROR(VLOOKUP(A276,'TB Other'!A:I,8,0),0)+IFERROR(VLOOKUP(A276,'TB Other'!A:I,9,0),0)</f>
        <v>0</v>
      </c>
      <c r="F276" s="746"/>
      <c r="G276" s="746">
        <f>IFERROR(VLOOKUP(A276,'TB Other'!A:E,4,),0)+IFERROR(VLOOKUP(A276,'TB Other'!A:E,5,),0)</f>
        <v>0</v>
      </c>
      <c r="H276" s="746"/>
      <c r="I276" s="746">
        <f>IFERROR(VLOOKUP(A276,'TB Other'!A:M,12,0),0)+IFERROR(VLOOKUP(A276,'TB Other'!A:M,13,0),0)</f>
        <v>0</v>
      </c>
      <c r="J276" s="746"/>
      <c r="K276" s="747">
        <f t="shared" si="212"/>
        <v>2356465.88</v>
      </c>
      <c r="L276" s="734">
        <f>VLOOKUP(A276,'TB PY'!A:G,7,)+VLOOKUP(A276,'TB PY'!A:G,6,)</f>
        <v>1666462.3</v>
      </c>
      <c r="M276" s="746"/>
      <c r="N276" s="746"/>
      <c r="O276" s="746"/>
      <c r="P276" s="746">
        <v>94279</v>
      </c>
      <c r="Q276" s="746"/>
      <c r="R276" s="746"/>
      <c r="S276" s="746"/>
      <c r="T276" s="747">
        <f t="shared" si="213"/>
        <v>1760741.3</v>
      </c>
      <c r="U276" s="748"/>
    </row>
    <row r="277" spans="1:21" ht="17" thickTop="1" thickBot="1">
      <c r="A277" s="749"/>
      <c r="B277" s="750" t="s">
        <v>51</v>
      </c>
      <c r="C277" s="751">
        <f t="shared" ref="C277:T277" si="214">SUM(C272:C276)</f>
        <v>2903775.2399999998</v>
      </c>
      <c r="D277" s="752">
        <f t="shared" si="214"/>
        <v>0</v>
      </c>
      <c r="E277" s="752">
        <f t="shared" si="214"/>
        <v>0</v>
      </c>
      <c r="F277" s="752">
        <f t="shared" si="214"/>
        <v>0</v>
      </c>
      <c r="G277" s="752">
        <f t="shared" si="214"/>
        <v>0</v>
      </c>
      <c r="H277" s="752">
        <f t="shared" si="214"/>
        <v>0</v>
      </c>
      <c r="I277" s="752">
        <f t="shared" ref="I277:J277" si="215">SUM(I272:I276)</f>
        <v>62314.3</v>
      </c>
      <c r="J277" s="752">
        <f t="shared" si="215"/>
        <v>0</v>
      </c>
      <c r="K277" s="753">
        <f t="shared" si="214"/>
        <v>2966089.54</v>
      </c>
      <c r="L277" s="751">
        <f t="shared" si="214"/>
        <v>2394192.2999999998</v>
      </c>
      <c r="M277" s="752">
        <f t="shared" ref="M277:Q277" si="216">SUM(M272:M276)</f>
        <v>0</v>
      </c>
      <c r="N277" s="752">
        <f t="shared" si="216"/>
        <v>0</v>
      </c>
      <c r="O277" s="752">
        <f t="shared" si="216"/>
        <v>0</v>
      </c>
      <c r="P277" s="752">
        <f t="shared" si="216"/>
        <v>106929</v>
      </c>
      <c r="Q277" s="752">
        <f t="shared" si="216"/>
        <v>0</v>
      </c>
      <c r="R277" s="752">
        <f t="shared" ref="R277:S277" si="217">SUM(R272:R276)</f>
        <v>0</v>
      </c>
      <c r="S277" s="752">
        <f t="shared" si="217"/>
        <v>0</v>
      </c>
      <c r="T277" s="754">
        <f t="shared" si="214"/>
        <v>2501121.2999999998</v>
      </c>
      <c r="U277" s="748">
        <f>K277-T277</f>
        <v>464968.24000000022</v>
      </c>
    </row>
    <row r="278" spans="1:21" ht="16" thickTop="1">
      <c r="A278" s="269" t="s">
        <v>260</v>
      </c>
      <c r="B278" s="745"/>
      <c r="C278" s="734"/>
      <c r="D278" s="746"/>
      <c r="E278" s="746"/>
      <c r="F278" s="746"/>
      <c r="G278" s="746"/>
      <c r="H278" s="746"/>
      <c r="I278" s="746"/>
      <c r="J278" s="746"/>
      <c r="K278" s="747"/>
      <c r="L278" s="734"/>
      <c r="M278" s="746"/>
      <c r="N278" s="746"/>
      <c r="O278" s="746"/>
      <c r="P278" s="746"/>
      <c r="Q278" s="746"/>
      <c r="R278" s="746"/>
      <c r="S278" s="746"/>
      <c r="T278" s="747"/>
    </row>
    <row r="279" spans="1:21" ht="16">
      <c r="A279" s="628" t="s">
        <v>532</v>
      </c>
      <c r="B279" s="745" t="s">
        <v>460</v>
      </c>
      <c r="C279" s="734">
        <f>IFERROR(VLOOKUP(A279,'TB CY'!A:G,7,)+VLOOKUP(A279,'TB CY'!A:G,6,),0)</f>
        <v>121164.44</v>
      </c>
      <c r="D279" s="746"/>
      <c r="E279" s="746">
        <f>IFERROR(VLOOKUP(A279,'TB Other'!A:I,8,0),0)+IFERROR(VLOOKUP(A279,'TB Other'!A:I,9,0),0)</f>
        <v>0</v>
      </c>
      <c r="F279" s="746"/>
      <c r="G279" s="746">
        <f>IFERROR(VLOOKUP(A279,'TB Other'!A:E,4,),0)+IFERROR(VLOOKUP(A279,'TB Other'!A:E,5,),0)</f>
        <v>0</v>
      </c>
      <c r="H279" s="746"/>
      <c r="I279" s="746">
        <f>IFERROR(VLOOKUP(A279,'TB Other'!A:M,12,0),0)+IFERROR(VLOOKUP(A279,'TB Other'!A:M,13,0),0)</f>
        <v>0</v>
      </c>
      <c r="J279" s="746"/>
      <c r="K279" s="747">
        <f>SUM(C279:J279)</f>
        <v>121164.44</v>
      </c>
      <c r="L279" s="734">
        <f>VLOOKUP(A279,'TB PY'!A:G,7,)+VLOOKUP(A279,'TB PY'!A:G,6,)</f>
        <v>70995.839999999997</v>
      </c>
      <c r="M279" s="746"/>
      <c r="N279" s="746"/>
      <c r="O279" s="746"/>
      <c r="P279" s="746">
        <v>30875</v>
      </c>
      <c r="Q279" s="746"/>
      <c r="R279" s="746"/>
      <c r="S279" s="746"/>
      <c r="T279" s="747">
        <f>SUM(L279:S279)</f>
        <v>101870.84</v>
      </c>
      <c r="U279" s="748"/>
    </row>
    <row r="280" spans="1:21" ht="16" thickBot="1">
      <c r="A280" s="269"/>
      <c r="B280" s="745"/>
      <c r="C280" s="734"/>
      <c r="D280" s="746"/>
      <c r="E280" s="746"/>
      <c r="F280" s="746"/>
      <c r="G280" s="746"/>
      <c r="H280" s="746"/>
      <c r="I280" s="746"/>
      <c r="J280" s="746"/>
      <c r="K280" s="747"/>
      <c r="L280" s="734"/>
      <c r="M280" s="746"/>
      <c r="N280" s="746"/>
      <c r="O280" s="746"/>
      <c r="P280" s="746"/>
      <c r="Q280" s="746"/>
      <c r="R280" s="746"/>
      <c r="S280" s="746"/>
      <c r="T280" s="747"/>
    </row>
    <row r="281" spans="1:21" ht="17" thickTop="1" thickBot="1">
      <c r="A281" s="749"/>
      <c r="B281" s="750" t="s">
        <v>51</v>
      </c>
      <c r="C281" s="751">
        <f t="shared" ref="C281:T281" si="218">SUM(C279:C280)</f>
        <v>121164.44</v>
      </c>
      <c r="D281" s="752">
        <f t="shared" si="218"/>
        <v>0</v>
      </c>
      <c r="E281" s="752">
        <f t="shared" si="218"/>
        <v>0</v>
      </c>
      <c r="F281" s="752">
        <f t="shared" si="218"/>
        <v>0</v>
      </c>
      <c r="G281" s="752">
        <f t="shared" si="218"/>
        <v>0</v>
      </c>
      <c r="H281" s="752">
        <f t="shared" si="218"/>
        <v>0</v>
      </c>
      <c r="I281" s="752">
        <f t="shared" ref="I281:J281" si="219">SUM(I279:I280)</f>
        <v>0</v>
      </c>
      <c r="J281" s="752">
        <f t="shared" si="219"/>
        <v>0</v>
      </c>
      <c r="K281" s="753">
        <f t="shared" si="218"/>
        <v>121164.44</v>
      </c>
      <c r="L281" s="751">
        <f t="shared" si="218"/>
        <v>70995.839999999997</v>
      </c>
      <c r="M281" s="752">
        <f t="shared" ref="M281:Q281" si="220">SUM(M279:M280)</f>
        <v>0</v>
      </c>
      <c r="N281" s="752">
        <f t="shared" si="220"/>
        <v>0</v>
      </c>
      <c r="O281" s="752">
        <f t="shared" si="220"/>
        <v>0</v>
      </c>
      <c r="P281" s="752">
        <f t="shared" si="220"/>
        <v>30875</v>
      </c>
      <c r="Q281" s="752">
        <f t="shared" si="220"/>
        <v>0</v>
      </c>
      <c r="R281" s="752">
        <f t="shared" ref="R281:S281" si="221">SUM(R279:R280)</f>
        <v>0</v>
      </c>
      <c r="S281" s="752">
        <f t="shared" si="221"/>
        <v>0</v>
      </c>
      <c r="T281" s="754">
        <f t="shared" si="218"/>
        <v>101870.84</v>
      </c>
      <c r="U281" s="748">
        <f>K281-T281</f>
        <v>19293.600000000006</v>
      </c>
    </row>
    <row r="282" spans="1:21" ht="17" thickTop="1">
      <c r="A282" s="272" t="s">
        <v>391</v>
      </c>
      <c r="B282" s="745"/>
      <c r="C282" s="734"/>
      <c r="D282" s="746"/>
      <c r="E282" s="746"/>
      <c r="F282" s="746"/>
      <c r="G282" s="746"/>
      <c r="H282" s="746"/>
      <c r="I282" s="746"/>
      <c r="J282" s="746"/>
      <c r="K282" s="747"/>
      <c r="L282" s="734"/>
      <c r="M282" s="746"/>
      <c r="N282" s="746"/>
      <c r="O282" s="746"/>
      <c r="P282" s="746"/>
      <c r="Q282" s="746"/>
      <c r="R282" s="746"/>
      <c r="S282" s="746"/>
      <c r="T282" s="747"/>
    </row>
    <row r="283" spans="1:21" ht="16">
      <c r="A283" s="628" t="s">
        <v>213</v>
      </c>
      <c r="B283" s="745" t="s">
        <v>460</v>
      </c>
      <c r="C283" s="734">
        <f>IFERROR(VLOOKUP(A283,'TB CY'!A:G,7,)+VLOOKUP(A283,'TB CY'!A:G,6,),0)</f>
        <v>5977919.8200000003</v>
      </c>
      <c r="D283" s="746"/>
      <c r="E283" s="746">
        <f>IFERROR(VLOOKUP(A283,'TB Other'!A:I,8,0),0)+IFERROR(VLOOKUP(A283,'TB Other'!A:I,9,0),0)</f>
        <v>0</v>
      </c>
      <c r="F283" s="746"/>
      <c r="G283" s="746">
        <f>IFERROR(VLOOKUP(A283,'TB Other'!A:E,4,),0)+IFERROR(VLOOKUP(A283,'TB Other'!A:E,5,),0)</f>
        <v>0</v>
      </c>
      <c r="H283" s="746"/>
      <c r="I283" s="746">
        <f>IFERROR(VLOOKUP(A283,'TB Other'!A:M,12,0),0)+IFERROR(VLOOKUP(A283,'TB Other'!A:M,13,0),0)</f>
        <v>0</v>
      </c>
      <c r="J283" s="746"/>
      <c r="K283" s="747">
        <f t="shared" ref="K283:K285" si="222">SUM(C283:J283)</f>
        <v>5977919.8200000003</v>
      </c>
      <c r="L283" s="734">
        <f>VLOOKUP(A283,'TB PY'!A:G,7,)+VLOOKUP(A283,'TB PY'!A:G,6,)</f>
        <v>7405525.8499999996</v>
      </c>
      <c r="M283" s="746"/>
      <c r="N283" s="746">
        <v>54441</v>
      </c>
      <c r="O283" s="746"/>
      <c r="P283" s="746">
        <f>468894+42645+27152</f>
        <v>538691</v>
      </c>
      <c r="Q283" s="746"/>
      <c r="R283" s="746"/>
      <c r="S283" s="746"/>
      <c r="T283" s="747">
        <f t="shared" ref="T283:T285" si="223">SUM(L283:S283)</f>
        <v>7998657.8499999996</v>
      </c>
      <c r="U283" s="748"/>
    </row>
    <row r="284" spans="1:21" ht="16">
      <c r="A284" s="628" t="s">
        <v>223</v>
      </c>
      <c r="B284" s="745" t="s">
        <v>460</v>
      </c>
      <c r="C284" s="734">
        <f>IFERROR(VLOOKUP(A284,'TB CY'!A:G,7,)+VLOOKUP(A284,'TB CY'!A:G,6,),0)</f>
        <v>84297.38</v>
      </c>
      <c r="D284" s="746"/>
      <c r="E284" s="746">
        <f>IFERROR(VLOOKUP(A284,'TB Other'!A:I,8,0),0)+IFERROR(VLOOKUP(A284,'TB Other'!A:I,9,0),0)</f>
        <v>0</v>
      </c>
      <c r="F284" s="746"/>
      <c r="G284" s="746">
        <f>IFERROR(VLOOKUP(A284,'TB Other'!A:E,4,),0)+IFERROR(VLOOKUP(A284,'TB Other'!A:E,5,),0)</f>
        <v>0</v>
      </c>
      <c r="H284" s="746"/>
      <c r="I284" s="746">
        <f>IFERROR(VLOOKUP(A284,'TB Other'!A:M,12,0),0)+IFERROR(VLOOKUP(A284,'TB Other'!A:M,13,0),0)</f>
        <v>0</v>
      </c>
      <c r="J284" s="746"/>
      <c r="K284" s="747">
        <f t="shared" si="222"/>
        <v>84297.38</v>
      </c>
      <c r="L284" s="734">
        <f>VLOOKUP(A284,'TB PY'!A:G,7,)+VLOOKUP(A284,'TB PY'!A:G,6,)</f>
        <v>108354.4</v>
      </c>
      <c r="M284" s="746"/>
      <c r="N284" s="746"/>
      <c r="O284" s="746"/>
      <c r="P284" s="746"/>
      <c r="Q284" s="746"/>
      <c r="R284" s="746"/>
      <c r="S284" s="746"/>
      <c r="T284" s="747">
        <f t="shared" si="223"/>
        <v>108354.4</v>
      </c>
      <c r="U284" s="748"/>
    </row>
    <row r="285" spans="1:21" ht="33" thickBot="1">
      <c r="A285" s="272" t="s">
        <v>1152</v>
      </c>
      <c r="B285" s="745" t="s">
        <v>460</v>
      </c>
      <c r="C285" s="734">
        <f>IFERROR(VLOOKUP(A285,'TB CY'!A:G,7,)+VLOOKUP(A285,'TB CY'!A:G,6,),0)</f>
        <v>0</v>
      </c>
      <c r="D285" s="746"/>
      <c r="E285" s="746">
        <f>IFERROR(VLOOKUP(A285,'TB Other'!A:I,8,0),0)+IFERROR(VLOOKUP(A285,'TB Other'!A:I,9,0),0)</f>
        <v>0</v>
      </c>
      <c r="F285" s="746"/>
      <c r="G285" s="746">
        <f>IFERROR(VLOOKUP(A285,'TB Other'!A:E,4,),0)+IFERROR(VLOOKUP(A285,'TB Other'!A:E,5,),0)</f>
        <v>0</v>
      </c>
      <c r="H285" s="746"/>
      <c r="I285" s="746">
        <f>IFERROR(VLOOKUP(A285,'TB Other'!A:M,12,0),0)+IFERROR(VLOOKUP(A285,'TB Other'!A:M,13,0),0)</f>
        <v>0</v>
      </c>
      <c r="J285" s="746"/>
      <c r="K285" s="747">
        <f t="shared" si="222"/>
        <v>0</v>
      </c>
      <c r="L285" s="734">
        <f>VLOOKUP(A285,'TB PY'!A:G,7,)+VLOOKUP(A285,'TB PY'!A:G,6,)</f>
        <v>30000</v>
      </c>
      <c r="M285" s="746"/>
      <c r="N285" s="746"/>
      <c r="O285" s="746"/>
      <c r="P285" s="746"/>
      <c r="Q285" s="746"/>
      <c r="R285" s="746"/>
      <c r="S285" s="746"/>
      <c r="T285" s="747">
        <f t="shared" si="223"/>
        <v>30000</v>
      </c>
      <c r="U285" s="748"/>
    </row>
    <row r="286" spans="1:21" ht="17" thickTop="1" thickBot="1">
      <c r="A286" s="749"/>
      <c r="B286" s="750" t="s">
        <v>51</v>
      </c>
      <c r="C286" s="751">
        <f t="shared" ref="C286:T286" si="224">SUM(C283:C285)</f>
        <v>6062217.2000000002</v>
      </c>
      <c r="D286" s="752">
        <f t="shared" si="224"/>
        <v>0</v>
      </c>
      <c r="E286" s="752">
        <f t="shared" si="224"/>
        <v>0</v>
      </c>
      <c r="F286" s="752">
        <f t="shared" si="224"/>
        <v>0</v>
      </c>
      <c r="G286" s="752">
        <f t="shared" si="224"/>
        <v>0</v>
      </c>
      <c r="H286" s="752">
        <f t="shared" si="224"/>
        <v>0</v>
      </c>
      <c r="I286" s="752">
        <f t="shared" ref="I286:J286" si="225">SUM(I283:I285)</f>
        <v>0</v>
      </c>
      <c r="J286" s="752">
        <f t="shared" si="225"/>
        <v>0</v>
      </c>
      <c r="K286" s="753">
        <f t="shared" si="224"/>
        <v>6062217.2000000002</v>
      </c>
      <c r="L286" s="751">
        <f t="shared" si="224"/>
        <v>7543880.25</v>
      </c>
      <c r="M286" s="752">
        <f t="shared" ref="M286:Q286" si="226">SUM(M283:M285)</f>
        <v>0</v>
      </c>
      <c r="N286" s="752">
        <f t="shared" si="226"/>
        <v>54441</v>
      </c>
      <c r="O286" s="752">
        <f t="shared" si="226"/>
        <v>0</v>
      </c>
      <c r="P286" s="752">
        <f t="shared" si="226"/>
        <v>538691</v>
      </c>
      <c r="Q286" s="752">
        <f t="shared" si="226"/>
        <v>0</v>
      </c>
      <c r="R286" s="752">
        <f t="shared" ref="R286:S286" si="227">SUM(R283:R285)</f>
        <v>0</v>
      </c>
      <c r="S286" s="752">
        <f t="shared" si="227"/>
        <v>0</v>
      </c>
      <c r="T286" s="754">
        <f t="shared" si="224"/>
        <v>8137012.25</v>
      </c>
      <c r="U286" s="748">
        <f>K286-T286</f>
        <v>-2074795.0499999998</v>
      </c>
    </row>
    <row r="287" spans="1:21" ht="16" thickTop="1">
      <c r="A287" s="269" t="s">
        <v>1564</v>
      </c>
      <c r="B287" s="745"/>
      <c r="C287" s="734"/>
      <c r="D287" s="746"/>
      <c r="E287" s="746"/>
      <c r="F287" s="746"/>
      <c r="G287" s="746"/>
      <c r="H287" s="746"/>
      <c r="I287" s="746"/>
      <c r="J287" s="746"/>
      <c r="K287" s="747"/>
      <c r="L287" s="734"/>
      <c r="M287" s="746"/>
      <c r="N287" s="746"/>
      <c r="O287" s="746"/>
      <c r="P287" s="746"/>
      <c r="Q287" s="746"/>
      <c r="R287" s="746"/>
      <c r="S287" s="746"/>
      <c r="T287" s="747"/>
    </row>
    <row r="288" spans="1:21" ht="16">
      <c r="A288" s="628" t="s">
        <v>225</v>
      </c>
      <c r="B288" s="745" t="s">
        <v>460</v>
      </c>
      <c r="C288" s="734">
        <f>IFERROR(VLOOKUP(A288,'TB CY'!A:G,7,)+VLOOKUP(A288,'TB CY'!A:G,6,),0)</f>
        <v>352499.55</v>
      </c>
      <c r="D288" s="746"/>
      <c r="E288" s="746">
        <f>IFERROR(VLOOKUP(A288,'TB Other'!A:I,8,0),0)+IFERROR(VLOOKUP(A288,'TB Other'!A:I,9,0),0)</f>
        <v>0</v>
      </c>
      <c r="F288" s="746"/>
      <c r="G288" s="746">
        <f>IFERROR(VLOOKUP(A288,'TB Other'!A:E,4,),0)+IFERROR(VLOOKUP(A288,'TB Other'!A:E,5,),0)</f>
        <v>0</v>
      </c>
      <c r="H288" s="746"/>
      <c r="I288" s="746">
        <f>IFERROR(VLOOKUP(A288,'TB Other'!A:M,12,0),0)+IFERROR(VLOOKUP(A288,'TB Other'!A:M,13,0),0)</f>
        <v>0</v>
      </c>
      <c r="J288" s="746"/>
      <c r="K288" s="747">
        <f>SUM(C288:J288)</f>
        <v>352499.55</v>
      </c>
      <c r="L288" s="734">
        <f>VLOOKUP(A288,'TB PY'!A:G,7,)+VLOOKUP(A288,'TB PY'!A:G,6,)</f>
        <v>102706.19</v>
      </c>
      <c r="M288" s="746"/>
      <c r="N288" s="746"/>
      <c r="O288" s="746"/>
      <c r="P288" s="746"/>
      <c r="Q288" s="746"/>
      <c r="R288" s="746"/>
      <c r="S288" s="746"/>
      <c r="T288" s="747">
        <f>SUM(L288:S288)</f>
        <v>102706.19</v>
      </c>
      <c r="U288" s="748"/>
    </row>
    <row r="289" spans="1:23" ht="16" thickBot="1">
      <c r="A289" s="269"/>
      <c r="B289" s="745"/>
      <c r="C289" s="734"/>
      <c r="D289" s="746"/>
      <c r="E289" s="746"/>
      <c r="F289" s="746"/>
      <c r="G289" s="746"/>
      <c r="H289" s="746"/>
      <c r="I289" s="746"/>
      <c r="J289" s="746"/>
      <c r="K289" s="747"/>
      <c r="L289" s="734"/>
      <c r="M289" s="746"/>
      <c r="N289" s="746"/>
      <c r="O289" s="746"/>
      <c r="P289" s="746"/>
      <c r="Q289" s="746"/>
      <c r="R289" s="746"/>
      <c r="S289" s="746"/>
      <c r="T289" s="747"/>
    </row>
    <row r="290" spans="1:23" ht="17" thickTop="1" thickBot="1">
      <c r="A290" s="749"/>
      <c r="B290" s="750" t="s">
        <v>51</v>
      </c>
      <c r="C290" s="751">
        <f t="shared" ref="C290:T290" si="228">SUM(C288:C289)</f>
        <v>352499.55</v>
      </c>
      <c r="D290" s="752">
        <f t="shared" si="228"/>
        <v>0</v>
      </c>
      <c r="E290" s="752">
        <f t="shared" si="228"/>
        <v>0</v>
      </c>
      <c r="F290" s="752">
        <f t="shared" si="228"/>
        <v>0</v>
      </c>
      <c r="G290" s="752">
        <f t="shared" si="228"/>
        <v>0</v>
      </c>
      <c r="H290" s="752">
        <f t="shared" si="228"/>
        <v>0</v>
      </c>
      <c r="I290" s="752">
        <f t="shared" ref="I290:J290" si="229">SUM(I288:I289)</f>
        <v>0</v>
      </c>
      <c r="J290" s="752">
        <f t="shared" si="229"/>
        <v>0</v>
      </c>
      <c r="K290" s="753">
        <f t="shared" si="228"/>
        <v>352499.55</v>
      </c>
      <c r="L290" s="751">
        <f t="shared" si="228"/>
        <v>102706.19</v>
      </c>
      <c r="M290" s="752">
        <f t="shared" ref="M290:Q290" si="230">SUM(M288:M289)</f>
        <v>0</v>
      </c>
      <c r="N290" s="752">
        <f t="shared" si="230"/>
        <v>0</v>
      </c>
      <c r="O290" s="752">
        <f t="shared" si="230"/>
        <v>0</v>
      </c>
      <c r="P290" s="752">
        <f t="shared" si="230"/>
        <v>0</v>
      </c>
      <c r="Q290" s="752">
        <f t="shared" si="230"/>
        <v>0</v>
      </c>
      <c r="R290" s="752">
        <f t="shared" ref="R290:S290" si="231">SUM(R288:R289)</f>
        <v>0</v>
      </c>
      <c r="S290" s="752">
        <f t="shared" si="231"/>
        <v>0</v>
      </c>
      <c r="T290" s="754">
        <f t="shared" si="228"/>
        <v>102706.19</v>
      </c>
      <c r="U290" s="748">
        <f>K290-T290</f>
        <v>249793.36</v>
      </c>
    </row>
    <row r="291" spans="1:23" ht="16" thickTop="1">
      <c r="A291" s="269" t="s">
        <v>1565</v>
      </c>
      <c r="B291" s="745"/>
      <c r="C291" s="734"/>
      <c r="D291" s="746"/>
      <c r="E291" s="746"/>
      <c r="F291" s="746"/>
      <c r="G291" s="746"/>
      <c r="H291" s="746"/>
      <c r="I291" s="746"/>
      <c r="J291" s="746"/>
      <c r="K291" s="747"/>
      <c r="L291" s="734"/>
      <c r="M291" s="746"/>
      <c r="N291" s="746"/>
      <c r="O291" s="746"/>
      <c r="P291" s="746"/>
      <c r="Q291" s="746"/>
      <c r="R291" s="746"/>
      <c r="S291" s="746"/>
      <c r="T291" s="747"/>
    </row>
    <row r="292" spans="1:23">
      <c r="A292" s="269" t="s">
        <v>1035</v>
      </c>
      <c r="B292" s="745" t="s">
        <v>460</v>
      </c>
      <c r="C292" s="734">
        <f>IFERROR(VLOOKUP(A292,'TB CY'!A:G,7,)+VLOOKUP(A292,'TB CY'!A:G,6,),0)</f>
        <v>0</v>
      </c>
      <c r="D292" s="746"/>
      <c r="E292" s="746">
        <f>IFERROR(VLOOKUP(A292,'TB Other'!A:I,8,0),0)+IFERROR(VLOOKUP(A292,'TB Other'!A:I,9,0),0)</f>
        <v>0</v>
      </c>
      <c r="F292" s="746"/>
      <c r="G292" s="746">
        <f>IFERROR(VLOOKUP(A292,'TB Other'!A:E,4,),0)+IFERROR(VLOOKUP(A292,'TB Other'!A:E,5,),0)</f>
        <v>0</v>
      </c>
      <c r="H292" s="746"/>
      <c r="I292" s="746">
        <f>IFERROR(VLOOKUP(A292,'TB Other'!A:M,12,0),0)+IFERROR(VLOOKUP(A292,'TB Other'!A:M,13,0),0)</f>
        <v>0</v>
      </c>
      <c r="J292" s="746"/>
      <c r="K292" s="747">
        <f>SUM(C292:J292)</f>
        <v>0</v>
      </c>
      <c r="L292" s="734">
        <f>VLOOKUP(A292,'TB PY'!A:G,7,)+VLOOKUP(A292,'TB PY'!A:G,6,)</f>
        <v>1800</v>
      </c>
      <c r="M292" s="746"/>
      <c r="N292" s="746"/>
      <c r="O292" s="746"/>
      <c r="P292" s="746"/>
      <c r="Q292" s="746"/>
      <c r="R292" s="746"/>
      <c r="S292" s="746"/>
      <c r="T292" s="747">
        <f>SUM(L292:S292)</f>
        <v>1800</v>
      </c>
      <c r="U292" s="748"/>
    </row>
    <row r="293" spans="1:23" ht="16" thickBot="1">
      <c r="A293" s="269"/>
      <c r="B293" s="745"/>
      <c r="C293" s="734"/>
      <c r="D293" s="746"/>
      <c r="E293" s="746"/>
      <c r="F293" s="746"/>
      <c r="G293" s="746"/>
      <c r="H293" s="746"/>
      <c r="I293" s="746"/>
      <c r="J293" s="746"/>
      <c r="K293" s="747"/>
      <c r="L293" s="734"/>
      <c r="M293" s="746"/>
      <c r="N293" s="746"/>
      <c r="O293" s="746"/>
      <c r="P293" s="746"/>
      <c r="Q293" s="746"/>
      <c r="R293" s="746"/>
      <c r="S293" s="746"/>
      <c r="T293" s="747"/>
    </row>
    <row r="294" spans="1:23" ht="17" thickTop="1" thickBot="1">
      <c r="A294" s="749"/>
      <c r="B294" s="750" t="s">
        <v>51</v>
      </c>
      <c r="C294" s="751">
        <f t="shared" ref="C294:T294" si="232">SUM(C292:C293)</f>
        <v>0</v>
      </c>
      <c r="D294" s="752">
        <f t="shared" si="232"/>
        <v>0</v>
      </c>
      <c r="E294" s="752">
        <f t="shared" si="232"/>
        <v>0</v>
      </c>
      <c r="F294" s="752">
        <f t="shared" si="232"/>
        <v>0</v>
      </c>
      <c r="G294" s="752">
        <f t="shared" si="232"/>
        <v>0</v>
      </c>
      <c r="H294" s="752">
        <f t="shared" si="232"/>
        <v>0</v>
      </c>
      <c r="I294" s="752">
        <f t="shared" ref="I294:J294" si="233">SUM(I292:I293)</f>
        <v>0</v>
      </c>
      <c r="J294" s="752">
        <f t="shared" si="233"/>
        <v>0</v>
      </c>
      <c r="K294" s="754">
        <f t="shared" si="232"/>
        <v>0</v>
      </c>
      <c r="L294" s="751">
        <f t="shared" si="232"/>
        <v>1800</v>
      </c>
      <c r="M294" s="752">
        <f t="shared" ref="M294:Q294" si="234">SUM(M292:M293)</f>
        <v>0</v>
      </c>
      <c r="N294" s="752">
        <f t="shared" si="234"/>
        <v>0</v>
      </c>
      <c r="O294" s="752">
        <f t="shared" si="234"/>
        <v>0</v>
      </c>
      <c r="P294" s="752">
        <f t="shared" si="234"/>
        <v>0</v>
      </c>
      <c r="Q294" s="752">
        <f t="shared" si="234"/>
        <v>0</v>
      </c>
      <c r="R294" s="752">
        <f t="shared" ref="R294:S294" si="235">SUM(R292:R293)</f>
        <v>0</v>
      </c>
      <c r="S294" s="752">
        <f t="shared" si="235"/>
        <v>0</v>
      </c>
      <c r="T294" s="754">
        <f t="shared" si="232"/>
        <v>1800</v>
      </c>
      <c r="U294" s="748">
        <f>K294-T294</f>
        <v>-1800</v>
      </c>
    </row>
    <row r="295" spans="1:23" ht="17" thickTop="1">
      <c r="A295" s="755" t="s">
        <v>1558</v>
      </c>
      <c r="B295" s="745"/>
      <c r="C295" s="734"/>
      <c r="D295" s="746"/>
      <c r="E295" s="746"/>
      <c r="F295" s="746"/>
      <c r="G295" s="746"/>
      <c r="H295" s="746"/>
      <c r="I295" s="746"/>
      <c r="J295" s="746"/>
      <c r="K295" s="747"/>
      <c r="L295" s="734"/>
      <c r="M295" s="746"/>
      <c r="N295" s="746"/>
      <c r="O295" s="746"/>
      <c r="P295" s="746"/>
      <c r="Q295" s="746"/>
      <c r="R295" s="746"/>
      <c r="S295" s="746"/>
      <c r="T295" s="747"/>
    </row>
    <row r="296" spans="1:23">
      <c r="A296" s="269" t="s">
        <v>455</v>
      </c>
      <c r="B296" s="745" t="s">
        <v>460</v>
      </c>
      <c r="C296" s="734">
        <f>IFERROR(VLOOKUP(A296,'TB CY'!A:G,7,)+VLOOKUP(A296,'TB CY'!A:G,6,),0)</f>
        <v>0</v>
      </c>
      <c r="D296" s="746"/>
      <c r="E296" s="746">
        <f>IFERROR(VLOOKUP(A296,'TB Other'!A:I,8,0),0)+IFERROR(VLOOKUP(A296,'TB Other'!A:I,9,0),0)</f>
        <v>0</v>
      </c>
      <c r="F296" s="746"/>
      <c r="G296" s="746">
        <f>IFERROR(VLOOKUP(A296,'TB Other'!A:E,4,),0)+IFERROR(VLOOKUP(A296,'TB Other'!A:E,5,),0)</f>
        <v>0</v>
      </c>
      <c r="H296" s="746"/>
      <c r="I296" s="746">
        <f>IFERROR(VLOOKUP(A296,'TB Other'!A:M,12,0),0)+IFERROR(VLOOKUP(A296,'TB Other'!A:M,13,0),0)</f>
        <v>0</v>
      </c>
      <c r="J296" s="746"/>
      <c r="K296" s="747">
        <f t="shared" ref="K296:K302" si="236">SUM(C296:J296)</f>
        <v>0</v>
      </c>
      <c r="L296" s="734">
        <f>IFERROR(VLOOKUP(A296,'TB PY'!A:G,7,),0)+IFERROR(VLOOKUP(A296,'TB PY'!A:G,6,),0)</f>
        <v>0</v>
      </c>
      <c r="M296" s="746"/>
      <c r="N296" s="746"/>
      <c r="O296" s="746"/>
      <c r="P296" s="746"/>
      <c r="Q296" s="746"/>
      <c r="R296" s="746"/>
      <c r="S296" s="746"/>
      <c r="T296" s="747">
        <f t="shared" ref="T296:T302" si="237">SUM(L296:S296)</f>
        <v>0</v>
      </c>
      <c r="U296" s="748">
        <f t="shared" ref="U296:U302" si="238">K296-T296</f>
        <v>0</v>
      </c>
      <c r="V296" s="215">
        <v>2360</v>
      </c>
      <c r="W296" s="332">
        <f t="shared" ref="W296:W302" si="239">T296-V296</f>
        <v>-2360</v>
      </c>
    </row>
    <row r="297" spans="1:23">
      <c r="A297" s="269" t="s">
        <v>1033</v>
      </c>
      <c r="B297" s="745" t="s">
        <v>460</v>
      </c>
      <c r="C297" s="734">
        <f>IFERROR(VLOOKUP(A297,'TB CY'!A:G,7,)+VLOOKUP(A297,'TB CY'!A:G,6,),0)</f>
        <v>322080.94</v>
      </c>
      <c r="D297" s="746"/>
      <c r="E297" s="746">
        <f>IFERROR(VLOOKUP(A297,'TB Other'!A:I,8,0),0)+IFERROR(VLOOKUP(A297,'TB Other'!A:I,9,0),0)</f>
        <v>0</v>
      </c>
      <c r="F297" s="746"/>
      <c r="G297" s="746">
        <f>IFERROR(VLOOKUP(A297,'TB Other'!A:E,4,),0)+IFERROR(VLOOKUP(A297,'TB Other'!A:E,5,),0)</f>
        <v>0</v>
      </c>
      <c r="H297" s="746"/>
      <c r="I297" s="746">
        <f>IFERROR(VLOOKUP(A297,'TB Other'!A:M,12,0),0)+IFERROR(VLOOKUP(A297,'TB Other'!A:M,13,0),0)</f>
        <v>0</v>
      </c>
      <c r="J297" s="746"/>
      <c r="K297" s="747">
        <f t="shared" si="236"/>
        <v>322080.94</v>
      </c>
      <c r="L297" s="734">
        <f>VLOOKUP(A297,'TB PY'!A:G,7,)+VLOOKUP(A297,'TB PY'!A:G,6,)</f>
        <v>388157.57</v>
      </c>
      <c r="M297" s="746"/>
      <c r="N297" s="746"/>
      <c r="O297" s="746"/>
      <c r="P297" s="746"/>
      <c r="Q297" s="746"/>
      <c r="R297" s="746"/>
      <c r="S297" s="746"/>
      <c r="T297" s="747">
        <f t="shared" si="237"/>
        <v>388157.57</v>
      </c>
      <c r="U297" s="748">
        <f t="shared" si="238"/>
        <v>-66076.63</v>
      </c>
      <c r="V297" s="215">
        <v>114871.69</v>
      </c>
      <c r="W297" s="332">
        <f t="shared" si="239"/>
        <v>273285.88</v>
      </c>
    </row>
    <row r="298" spans="1:23">
      <c r="A298" s="269" t="s">
        <v>1151</v>
      </c>
      <c r="B298" s="745" t="s">
        <v>460</v>
      </c>
      <c r="C298" s="734">
        <f>IFERROR(VLOOKUP(A298,'TB CY'!A:G,7,)+VLOOKUP(A298,'TB CY'!A:G,6,),0)</f>
        <v>0</v>
      </c>
      <c r="D298" s="746"/>
      <c r="E298" s="746">
        <f>IFERROR(VLOOKUP(A298,'TB Other'!A:I,8,0),0)+IFERROR(VLOOKUP(A298,'TB Other'!A:I,9,0),0)</f>
        <v>0</v>
      </c>
      <c r="F298" s="746"/>
      <c r="G298" s="746">
        <f>IFERROR(VLOOKUP(A298,'TB Other'!A:E,4,),0)+IFERROR(VLOOKUP(A298,'TB Other'!A:E,5,),0)</f>
        <v>0</v>
      </c>
      <c r="H298" s="746"/>
      <c r="I298" s="746">
        <f>IFERROR(VLOOKUP(A298,'TB Other'!A:M,12,0),0)+IFERROR(VLOOKUP(A298,'TB Other'!A:M,13,0),0)</f>
        <v>0</v>
      </c>
      <c r="J298" s="746"/>
      <c r="K298" s="747">
        <f t="shared" si="236"/>
        <v>0</v>
      </c>
      <c r="L298" s="734">
        <f>VLOOKUP(A298,'TB PY'!A:G,7,)+VLOOKUP(A298,'TB PY'!A:G,6,)</f>
        <v>38113.800000000003</v>
      </c>
      <c r="M298" s="746"/>
      <c r="N298" s="746"/>
      <c r="O298" s="746"/>
      <c r="P298" s="746"/>
      <c r="Q298" s="746"/>
      <c r="R298" s="746"/>
      <c r="S298" s="746"/>
      <c r="T298" s="747">
        <f t="shared" si="237"/>
        <v>38113.800000000003</v>
      </c>
      <c r="U298" s="748">
        <f t="shared" si="238"/>
        <v>-38113.800000000003</v>
      </c>
      <c r="V298" s="215">
        <v>56528.05</v>
      </c>
      <c r="W298" s="332">
        <f t="shared" si="239"/>
        <v>-18414.25</v>
      </c>
    </row>
    <row r="299" spans="1:23">
      <c r="A299" s="269" t="s">
        <v>210</v>
      </c>
      <c r="B299" s="745" t="s">
        <v>460</v>
      </c>
      <c r="C299" s="734">
        <f>IFERROR(VLOOKUP(A299,'TB CY'!A:G,7,)+VLOOKUP(A299,'TB CY'!A:G,6,),0)</f>
        <v>117632.57</v>
      </c>
      <c r="D299" s="746"/>
      <c r="E299" s="746">
        <f>IFERROR(VLOOKUP(A299,'TB Other'!A:I,8,0),0)+IFERROR(VLOOKUP(A299,'TB Other'!A:I,9,0),0)</f>
        <v>0</v>
      </c>
      <c r="F299" s="746"/>
      <c r="G299" s="746">
        <f>IFERROR(VLOOKUP(A299,'TB Other'!A:E,4,),0)+IFERROR(VLOOKUP(A299,'TB Other'!A:E,5,),0)</f>
        <v>0</v>
      </c>
      <c r="H299" s="746"/>
      <c r="I299" s="746">
        <f>IFERROR(VLOOKUP(A299,'TB Other'!A:M,12,0),0)+IFERROR(VLOOKUP(A299,'TB Other'!A:M,13,0),0)</f>
        <v>0</v>
      </c>
      <c r="J299" s="746"/>
      <c r="K299" s="747">
        <f t="shared" si="236"/>
        <v>117632.57</v>
      </c>
      <c r="L299" s="734">
        <f>VLOOKUP(A299,'TB PY'!A:G,7,)+VLOOKUP(A299,'TB PY'!A:G,6,)</f>
        <v>119841.91</v>
      </c>
      <c r="M299" s="746"/>
      <c r="N299" s="746"/>
      <c r="O299" s="746"/>
      <c r="P299" s="746"/>
      <c r="Q299" s="746"/>
      <c r="R299" s="746"/>
      <c r="S299" s="746"/>
      <c r="T299" s="747">
        <f t="shared" si="237"/>
        <v>119841.91</v>
      </c>
      <c r="U299" s="748">
        <f t="shared" si="238"/>
        <v>-2209.3399999999965</v>
      </c>
      <c r="V299" s="215">
        <v>186381.49</v>
      </c>
      <c r="W299" s="332">
        <f t="shared" si="239"/>
        <v>-66539.579999999987</v>
      </c>
    </row>
    <row r="300" spans="1:23" ht="16">
      <c r="A300" s="628" t="s">
        <v>1553</v>
      </c>
      <c r="B300" s="745" t="s">
        <v>460</v>
      </c>
      <c r="C300" s="734">
        <f>IFERROR(VLOOKUP(A300,'TB CY'!A:G,7,)+VLOOKUP(A300,'TB CY'!A:G,6,),0)</f>
        <v>57486.92</v>
      </c>
      <c r="D300" s="746"/>
      <c r="E300" s="746">
        <f>IFERROR(VLOOKUP(A300,'TB Other'!A:I,8,0),0)+IFERROR(VLOOKUP(A300,'TB Other'!A:I,9,0),0)</f>
        <v>0</v>
      </c>
      <c r="F300" s="746"/>
      <c r="G300" s="746">
        <f>IFERROR(VLOOKUP(A300,'TB Other'!A:E,4,),0)+IFERROR(VLOOKUP(A300,'TB Other'!A:E,5,),0)</f>
        <v>0</v>
      </c>
      <c r="H300" s="746"/>
      <c r="I300" s="746">
        <f>IFERROR(VLOOKUP(A300,'TB Other'!A:M,12,0),0)+IFERROR(VLOOKUP(A300,'TB Other'!A:M,13,0),0)</f>
        <v>0</v>
      </c>
      <c r="J300" s="746"/>
      <c r="K300" s="747">
        <f t="shared" si="236"/>
        <v>57486.92</v>
      </c>
      <c r="L300" s="734">
        <f>IFERROR(VLOOKUP(A300,'TB PY'!A:G,7,),0)+IFERROR(VLOOKUP(A300,'TB PY'!A:G,6,),0)</f>
        <v>0</v>
      </c>
      <c r="M300" s="746"/>
      <c r="N300" s="746"/>
      <c r="O300" s="746"/>
      <c r="P300" s="746"/>
      <c r="Q300" s="746"/>
      <c r="R300" s="746"/>
      <c r="S300" s="746"/>
      <c r="T300" s="747">
        <f t="shared" si="237"/>
        <v>0</v>
      </c>
      <c r="U300" s="748">
        <f t="shared" si="238"/>
        <v>57486.92</v>
      </c>
      <c r="V300" s="215">
        <v>186381.49</v>
      </c>
      <c r="W300" s="332">
        <f t="shared" si="239"/>
        <v>-186381.49</v>
      </c>
    </row>
    <row r="301" spans="1:23">
      <c r="A301" s="269" t="s">
        <v>1340</v>
      </c>
      <c r="B301" s="745" t="s">
        <v>460</v>
      </c>
      <c r="C301" s="734">
        <f>IFERROR(VLOOKUP(A301,'TB CY'!A:G,7,)+VLOOKUP(A301,'TB CY'!A:G,6,),0)</f>
        <v>0</v>
      </c>
      <c r="D301" s="746"/>
      <c r="E301" s="746">
        <f>IFERROR(VLOOKUP(A301,'TB Other'!A:I,8,0),0)+IFERROR(VLOOKUP(A301,'TB Other'!A:I,9,0),0)</f>
        <v>0</v>
      </c>
      <c r="F301" s="746"/>
      <c r="G301" s="746">
        <f>IFERROR(VLOOKUP(A301,'TB Other'!A:E,4,),0)+IFERROR(VLOOKUP(A301,'TB Other'!A:E,5,),0)</f>
        <v>0</v>
      </c>
      <c r="H301" s="746"/>
      <c r="I301" s="746">
        <f>IFERROR(VLOOKUP(A301,'TB Other'!A:M,12,0),0)+IFERROR(VLOOKUP(A301,'TB Other'!A:M,13,0),0)</f>
        <v>0</v>
      </c>
      <c r="J301" s="746"/>
      <c r="K301" s="747">
        <f t="shared" si="236"/>
        <v>0</v>
      </c>
      <c r="L301" s="734">
        <f>IFERROR(VLOOKUP(A301,'TB PY'!A:G,7,),0)+IFERROR(VLOOKUP(A301,'TB PY'!A:G,6,),0)</f>
        <v>0</v>
      </c>
      <c r="M301" s="746"/>
      <c r="N301" s="746"/>
      <c r="O301" s="746"/>
      <c r="P301" s="746">
        <v>86250</v>
      </c>
      <c r="Q301" s="746"/>
      <c r="R301" s="746"/>
      <c r="S301" s="746"/>
      <c r="T301" s="747">
        <f t="shared" si="237"/>
        <v>86250</v>
      </c>
      <c r="U301" s="748">
        <f t="shared" si="238"/>
        <v>-86250</v>
      </c>
      <c r="V301" s="215">
        <v>50452</v>
      </c>
      <c r="W301" s="332">
        <f t="shared" si="239"/>
        <v>35798</v>
      </c>
    </row>
    <row r="302" spans="1:23">
      <c r="B302" s="745" t="s">
        <v>460</v>
      </c>
      <c r="C302" s="734">
        <f>IFERROR(VLOOKUP(A302,'TB CY'!A:G,7,)+VLOOKUP(A302,'TB CY'!A:G,6,),0)</f>
        <v>0</v>
      </c>
      <c r="D302" s="746"/>
      <c r="E302" s="746">
        <f>IFERROR(VLOOKUP(A302,'TB Other'!A:I,8,0),0)+IFERROR(VLOOKUP(A302,'TB Other'!A:I,9,0),0)</f>
        <v>0</v>
      </c>
      <c r="F302" s="746"/>
      <c r="G302" s="746">
        <f>IFERROR(VLOOKUP(A302,'TB Other'!A:E,4,),0)+IFERROR(VLOOKUP(A302,'TB Other'!A:E,5,),0)</f>
        <v>0</v>
      </c>
      <c r="H302" s="746"/>
      <c r="I302" s="746">
        <f>IFERROR(VLOOKUP(A302,'TB Other'!A:M,12,0),0)+IFERROR(VLOOKUP(A302,'TB Other'!A:M,13,0),0)</f>
        <v>0</v>
      </c>
      <c r="J302" s="746"/>
      <c r="K302" s="747">
        <f t="shared" si="236"/>
        <v>0</v>
      </c>
      <c r="L302" s="734">
        <f>IFERROR(VLOOKUP(A302,'TB PY'!A:G,7,),0)+IFERROR(VLOOKUP(A302,'TB PY'!A:G,6,),0)</f>
        <v>0</v>
      </c>
      <c r="M302" s="746"/>
      <c r="N302" s="746"/>
      <c r="O302" s="746"/>
      <c r="P302" s="746"/>
      <c r="Q302" s="746"/>
      <c r="R302" s="746"/>
      <c r="S302" s="746"/>
      <c r="T302" s="747">
        <f t="shared" si="237"/>
        <v>0</v>
      </c>
      <c r="U302" s="748">
        <f t="shared" si="238"/>
        <v>0</v>
      </c>
      <c r="V302" s="215">
        <v>186381.49</v>
      </c>
      <c r="W302" s="332">
        <f t="shared" si="239"/>
        <v>-186381.49</v>
      </c>
    </row>
    <row r="303" spans="1:23" ht="16" thickBot="1">
      <c r="B303" s="745"/>
      <c r="C303" s="734"/>
      <c r="D303" s="746"/>
      <c r="E303" s="746"/>
      <c r="F303" s="746"/>
      <c r="G303" s="746"/>
      <c r="H303" s="746"/>
      <c r="I303" s="746"/>
      <c r="J303" s="746"/>
      <c r="K303" s="747"/>
      <c r="L303" s="734"/>
      <c r="M303" s="746"/>
      <c r="N303" s="746"/>
      <c r="O303" s="746"/>
      <c r="P303" s="746"/>
      <c r="Q303" s="746"/>
      <c r="R303" s="746"/>
      <c r="S303" s="746"/>
      <c r="T303" s="747"/>
      <c r="U303" s="748"/>
    </row>
    <row r="304" spans="1:23" ht="17" thickTop="1" thickBot="1">
      <c r="A304" s="749"/>
      <c r="B304" s="750" t="s">
        <v>51</v>
      </c>
      <c r="C304" s="751">
        <f t="shared" ref="C304:T304" si="240">SUM(C296:C303)</f>
        <v>497200.43</v>
      </c>
      <c r="D304" s="752">
        <f t="shared" si="240"/>
        <v>0</v>
      </c>
      <c r="E304" s="752">
        <f t="shared" si="240"/>
        <v>0</v>
      </c>
      <c r="F304" s="752">
        <f t="shared" si="240"/>
        <v>0</v>
      </c>
      <c r="G304" s="752">
        <f t="shared" si="240"/>
        <v>0</v>
      </c>
      <c r="H304" s="752">
        <f t="shared" si="240"/>
        <v>0</v>
      </c>
      <c r="I304" s="752">
        <f t="shared" ref="I304" si="241">SUM(I296:I303)</f>
        <v>0</v>
      </c>
      <c r="J304" s="752">
        <f t="shared" ref="J304" si="242">SUM(J296:J303)</f>
        <v>0</v>
      </c>
      <c r="K304" s="753">
        <f t="shared" si="240"/>
        <v>497200.43</v>
      </c>
      <c r="L304" s="751">
        <f t="shared" si="240"/>
        <v>546113.28000000003</v>
      </c>
      <c r="M304" s="752">
        <f t="shared" si="240"/>
        <v>0</v>
      </c>
      <c r="N304" s="752">
        <f t="shared" si="240"/>
        <v>0</v>
      </c>
      <c r="O304" s="752">
        <f t="shared" si="240"/>
        <v>0</v>
      </c>
      <c r="P304" s="752">
        <f t="shared" si="240"/>
        <v>86250</v>
      </c>
      <c r="Q304" s="752">
        <f t="shared" si="240"/>
        <v>0</v>
      </c>
      <c r="R304" s="752">
        <f t="shared" ref="R304" si="243">SUM(R296:R303)</f>
        <v>0</v>
      </c>
      <c r="S304" s="752">
        <f t="shared" ref="S304" si="244">SUM(S296:S303)</f>
        <v>0</v>
      </c>
      <c r="T304" s="754">
        <f t="shared" si="240"/>
        <v>632363.28</v>
      </c>
      <c r="U304" s="748">
        <f>K304-T304</f>
        <v>-135162.85000000003</v>
      </c>
    </row>
    <row r="305" spans="1:23" ht="16" thickTop="1">
      <c r="A305" s="223" t="s">
        <v>261</v>
      </c>
      <c r="B305" s="745"/>
      <c r="C305" s="734"/>
      <c r="D305" s="746"/>
      <c r="E305" s="746"/>
      <c r="F305" s="746"/>
      <c r="G305" s="746"/>
      <c r="H305" s="746"/>
      <c r="I305" s="746"/>
      <c r="J305" s="746"/>
      <c r="K305" s="747"/>
      <c r="L305" s="734"/>
      <c r="M305" s="746"/>
      <c r="N305" s="746"/>
      <c r="O305" s="746"/>
      <c r="P305" s="746"/>
      <c r="Q305" s="746"/>
      <c r="R305" s="746"/>
      <c r="S305" s="746"/>
      <c r="T305" s="747"/>
    </row>
    <row r="306" spans="1:23">
      <c r="A306" s="269" t="s">
        <v>1543</v>
      </c>
      <c r="B306" s="745" t="s">
        <v>460</v>
      </c>
      <c r="C306" s="734">
        <f>IFERROR(VLOOKUP(A306,'TB CY'!A:G,7,)+VLOOKUP(A306,'TB CY'!A:G,6,),0)</f>
        <v>6056</v>
      </c>
      <c r="D306" s="746"/>
      <c r="E306" s="746">
        <f>IFERROR(VLOOKUP(A306,'TB Other'!A:I,8,0),0)+IFERROR(VLOOKUP(A306,'TB Other'!A:I,9,0),0)</f>
        <v>0</v>
      </c>
      <c r="F306" s="746"/>
      <c r="G306" s="746">
        <f>IFERROR(VLOOKUP(A306,'TB Other'!A:E,4,),0)+IFERROR(VLOOKUP(A306,'TB Other'!A:E,5,),0)</f>
        <v>0</v>
      </c>
      <c r="H306" s="746"/>
      <c r="I306" s="746">
        <f>IFERROR(VLOOKUP(A306,'TB Other'!A:M,12,0),0)+IFERROR(VLOOKUP(A306,'TB Other'!A:M,13,0),0)</f>
        <v>0</v>
      </c>
      <c r="J306" s="746"/>
      <c r="K306" s="747">
        <f t="shared" ref="K306:K333" si="245">SUM(C306:J306)</f>
        <v>6056</v>
      </c>
      <c r="L306" s="734">
        <f>IFERROR(VLOOKUP(A306,'TB PY'!A:G,7,),0)+IFERROR(VLOOKUP(A306,'TB PY'!A:G,6,),0)</f>
        <v>0</v>
      </c>
      <c r="M306" s="746"/>
      <c r="N306" s="746"/>
      <c r="O306" s="746"/>
      <c r="P306" s="746">
        <v>15332</v>
      </c>
      <c r="Q306" s="746"/>
      <c r="R306" s="746"/>
      <c r="S306" s="746"/>
      <c r="T306" s="747">
        <f t="shared" ref="T306:T333" si="246">SUM(L306:S306)</f>
        <v>15332</v>
      </c>
      <c r="U306" s="748">
        <f t="shared" ref="U306:U334" si="247">K306-T306</f>
        <v>-9276</v>
      </c>
      <c r="V306" s="215">
        <v>123264.95999999999</v>
      </c>
      <c r="W306" s="332">
        <f>T306-V306</f>
        <v>-107932.95999999999</v>
      </c>
    </row>
    <row r="307" spans="1:23">
      <c r="A307" s="269" t="s">
        <v>453</v>
      </c>
      <c r="B307" s="745" t="s">
        <v>460</v>
      </c>
      <c r="C307" s="734">
        <f>IFERROR(VLOOKUP(A307,'TB CY'!A:G,7,)+VLOOKUP(A307,'TB CY'!A:G,6,),0)</f>
        <v>91631.05</v>
      </c>
      <c r="D307" s="746"/>
      <c r="E307" s="746">
        <f>IFERROR(VLOOKUP(A307,'TB Other'!A:I,8,0),0)+IFERROR(VLOOKUP(A307,'TB Other'!A:I,9,0),0)</f>
        <v>0</v>
      </c>
      <c r="F307" s="746"/>
      <c r="G307" s="746">
        <f>IFERROR(VLOOKUP(A307,'TB Other'!A:E,4,),0)+IFERROR(VLOOKUP(A307,'TB Other'!A:E,5,),0)</f>
        <v>0</v>
      </c>
      <c r="H307" s="746"/>
      <c r="I307" s="746">
        <f>IFERROR(VLOOKUP(A307,'TB Other'!A:M,12,0),0)+IFERROR(VLOOKUP(A307,'TB Other'!A:M,13,0),0)</f>
        <v>0</v>
      </c>
      <c r="J307" s="746"/>
      <c r="K307" s="747">
        <f t="shared" si="245"/>
        <v>91631.05</v>
      </c>
      <c r="L307" s="734">
        <f>VLOOKUP(A307,'TB PY'!A:G,7,)+VLOOKUP(A307,'TB PY'!A:G,6,)</f>
        <v>94879.48</v>
      </c>
      <c r="M307" s="746"/>
      <c r="N307" s="746"/>
      <c r="O307" s="746"/>
      <c r="P307" s="746"/>
      <c r="Q307" s="746"/>
      <c r="R307" s="746"/>
      <c r="S307" s="746"/>
      <c r="T307" s="747">
        <f t="shared" si="246"/>
        <v>94879.48</v>
      </c>
      <c r="U307" s="748">
        <f t="shared" ref="U307" si="248">K307-T307</f>
        <v>-3248.429999999993</v>
      </c>
      <c r="V307" s="215">
        <v>123264.95999999999</v>
      </c>
      <c r="W307" s="332">
        <f>T307-V307</f>
        <v>-28385.479999999996</v>
      </c>
    </row>
    <row r="308" spans="1:23">
      <c r="A308" s="269" t="s">
        <v>1548</v>
      </c>
      <c r="B308" s="745" t="s">
        <v>460</v>
      </c>
      <c r="C308" s="734">
        <f>IFERROR(VLOOKUP(A308,'TB CY'!A:G,7,)+VLOOKUP(A308,'TB CY'!A:G,6,),0)</f>
        <v>23114</v>
      </c>
      <c r="D308" s="746"/>
      <c r="E308" s="746">
        <f>IFERROR(VLOOKUP(A308,'TB Other'!A:I,8,0),0)+IFERROR(VLOOKUP(A308,'TB Other'!A:I,9,0),0)</f>
        <v>0</v>
      </c>
      <c r="F308" s="746"/>
      <c r="G308" s="746">
        <f>IFERROR(VLOOKUP(A308,'TB Other'!A:E,4,),0)+IFERROR(VLOOKUP(A308,'TB Other'!A:E,5,),0)</f>
        <v>0</v>
      </c>
      <c r="H308" s="746"/>
      <c r="I308" s="746">
        <f>IFERROR(VLOOKUP(A308,'TB Other'!A:M,12,0),0)+IFERROR(VLOOKUP(A308,'TB Other'!A:M,13,0),0)</f>
        <v>0</v>
      </c>
      <c r="J308" s="746">
        <v>5750.72</v>
      </c>
      <c r="K308" s="747">
        <f t="shared" si="245"/>
        <v>28864.720000000001</v>
      </c>
      <c r="L308" s="734">
        <f>IFERROR(VLOOKUP(A308,'TB PY'!A:G,7,),0)+IFERROR(VLOOKUP(A308,'TB PY'!A:G,6,),0)</f>
        <v>0</v>
      </c>
      <c r="M308" s="746"/>
      <c r="N308" s="746"/>
      <c r="O308" s="746"/>
      <c r="P308" s="746"/>
      <c r="Q308" s="746"/>
      <c r="R308" s="746"/>
      <c r="S308" s="746"/>
      <c r="T308" s="747">
        <f t="shared" si="246"/>
        <v>0</v>
      </c>
      <c r="U308" s="748">
        <f t="shared" ref="U308" si="249">K308-T308</f>
        <v>28864.720000000001</v>
      </c>
      <c r="V308" s="215">
        <v>123264.95999999999</v>
      </c>
      <c r="W308" s="332">
        <f>T308-V308</f>
        <v>-123264.95999999999</v>
      </c>
    </row>
    <row r="309" spans="1:23">
      <c r="A309" s="269" t="s">
        <v>187</v>
      </c>
      <c r="B309" s="745" t="s">
        <v>460</v>
      </c>
      <c r="C309" s="734">
        <f>IFERROR(VLOOKUP(A309,'TB CY'!A:G,7,)+VLOOKUP(A309,'TB CY'!A:G,6,),0)</f>
        <v>33996.720000000001</v>
      </c>
      <c r="D309" s="746"/>
      <c r="E309" s="746">
        <f>IFERROR(VLOOKUP(A309,'TB Other'!A:I,8,0),0)+IFERROR(VLOOKUP(A309,'TB Other'!A:I,9,0),0)</f>
        <v>0</v>
      </c>
      <c r="F309" s="746"/>
      <c r="G309" s="746">
        <f>IFERROR(VLOOKUP(A309,'TB Other'!A:E,4,),0)+IFERROR(VLOOKUP(A309,'TB Other'!A:E,5,),0)</f>
        <v>0</v>
      </c>
      <c r="H309" s="746"/>
      <c r="I309" s="746">
        <f>IFERROR(VLOOKUP(A309,'TB Other'!A:M,12,0),0)+IFERROR(VLOOKUP(A309,'TB Other'!A:M,13,0),0)</f>
        <v>0</v>
      </c>
      <c r="J309" s="746"/>
      <c r="K309" s="747">
        <f t="shared" si="245"/>
        <v>33996.720000000001</v>
      </c>
      <c r="L309" s="734">
        <f>VLOOKUP(A309,'TB PY'!A:G,7,)+VLOOKUP(A309,'TB PY'!A:G,6,)</f>
        <v>20323.82</v>
      </c>
      <c r="M309" s="746"/>
      <c r="N309" s="746"/>
      <c r="O309" s="746"/>
      <c r="P309" s="746"/>
      <c r="Q309" s="746"/>
      <c r="R309" s="746"/>
      <c r="S309" s="746"/>
      <c r="T309" s="747">
        <f t="shared" si="246"/>
        <v>20323.82</v>
      </c>
      <c r="U309" s="748">
        <f t="shared" si="247"/>
        <v>13672.900000000001</v>
      </c>
      <c r="V309" s="215">
        <v>16464.66</v>
      </c>
      <c r="W309" s="332">
        <f t="shared" ref="W309:W327" si="250">T309-V309</f>
        <v>3859.16</v>
      </c>
    </row>
    <row r="310" spans="1:23">
      <c r="A310" s="269" t="s">
        <v>192</v>
      </c>
      <c r="B310" s="745" t="s">
        <v>460</v>
      </c>
      <c r="C310" s="734">
        <f>IFERROR(VLOOKUP(A310,'TB CY'!A:G,7,)+VLOOKUP(A310,'TB CY'!A:G,6,),0)</f>
        <v>4770520.6500000004</v>
      </c>
      <c r="D310" s="746"/>
      <c r="E310" s="746">
        <f>IFERROR(VLOOKUP(A310,'TB Other'!A:I,8,0),0)+IFERROR(VLOOKUP(A310,'TB Other'!A:I,9,0),0)</f>
        <v>27234.76</v>
      </c>
      <c r="F310" s="746"/>
      <c r="G310" s="746">
        <f>IFERROR(VLOOKUP(A310,'TB Other'!A:E,4,),0)+IFERROR(VLOOKUP(A310,'TB Other'!A:E,5,),0)</f>
        <v>11394.88</v>
      </c>
      <c r="H310" s="746"/>
      <c r="I310" s="746">
        <f>IFERROR(VLOOKUP(A310,'TB Other'!A:M,12,0),0)+IFERROR(VLOOKUP(A310,'TB Other'!A:M,13,0),0)</f>
        <v>0</v>
      </c>
      <c r="J310" s="746"/>
      <c r="K310" s="747">
        <f t="shared" si="245"/>
        <v>4809150.29</v>
      </c>
      <c r="L310" s="734">
        <f>VLOOKUP(A310,'TB PY'!A:G,7,)+VLOOKUP(A310,'TB PY'!A:G,6,)</f>
        <v>4107789.95</v>
      </c>
      <c r="M310" s="746"/>
      <c r="N310" s="746">
        <v>29378</v>
      </c>
      <c r="O310" s="746"/>
      <c r="P310" s="746">
        <f>65324+1795</f>
        <v>67119</v>
      </c>
      <c r="Q310" s="746"/>
      <c r="R310" s="746"/>
      <c r="S310" s="746"/>
      <c r="T310" s="747">
        <f t="shared" si="246"/>
        <v>4204286.95</v>
      </c>
      <c r="U310" s="748">
        <f t="shared" si="247"/>
        <v>604863.33999999985</v>
      </c>
      <c r="V310" s="215">
        <v>821532.49</v>
      </c>
      <c r="W310" s="332">
        <f t="shared" si="250"/>
        <v>3382754.46</v>
      </c>
    </row>
    <row r="311" spans="1:23">
      <c r="A311" s="269" t="s">
        <v>193</v>
      </c>
      <c r="B311" s="745" t="s">
        <v>460</v>
      </c>
      <c r="C311" s="734">
        <f>IFERROR(VLOOKUP(A311,'TB CY'!A:G,7,)+VLOOKUP(A311,'TB CY'!A:G,6,),0)</f>
        <v>141121.35</v>
      </c>
      <c r="D311" s="746"/>
      <c r="E311" s="746">
        <f>IFERROR(VLOOKUP(A311,'TB Other'!A:I,8,0),0)+IFERROR(VLOOKUP(A311,'TB Other'!A:I,9,0),0)</f>
        <v>0</v>
      </c>
      <c r="F311" s="746"/>
      <c r="G311" s="746">
        <f>IFERROR(VLOOKUP(A311,'TB Other'!A:E,4,),0)+IFERROR(VLOOKUP(A311,'TB Other'!A:E,5,),0)</f>
        <v>0</v>
      </c>
      <c r="H311" s="746"/>
      <c r="I311" s="746">
        <f>IFERROR(VLOOKUP(A311,'TB Other'!A:M,12,0),0)+IFERROR(VLOOKUP(A311,'TB Other'!A:M,13,0),0)</f>
        <v>0</v>
      </c>
      <c r="J311" s="746"/>
      <c r="K311" s="747">
        <f t="shared" si="245"/>
        <v>141121.35</v>
      </c>
      <c r="L311" s="734">
        <f>VLOOKUP(A311,'TB PY'!A:G,7,)+VLOOKUP(A311,'TB PY'!A:G,6,)</f>
        <v>78770.789999999994</v>
      </c>
      <c r="M311" s="746"/>
      <c r="N311" s="746"/>
      <c r="O311" s="746"/>
      <c r="P311" s="746"/>
      <c r="Q311" s="746"/>
      <c r="R311" s="746"/>
      <c r="S311" s="746"/>
      <c r="T311" s="747">
        <f t="shared" si="246"/>
        <v>78770.789999999994</v>
      </c>
      <c r="U311" s="748">
        <f t="shared" si="247"/>
        <v>62350.560000000012</v>
      </c>
      <c r="V311" s="215">
        <v>32602.83</v>
      </c>
      <c r="W311" s="332">
        <f t="shared" si="250"/>
        <v>46167.959999999992</v>
      </c>
    </row>
    <row r="312" spans="1:23">
      <c r="A312" s="269" t="s">
        <v>195</v>
      </c>
      <c r="B312" s="745" t="s">
        <v>460</v>
      </c>
      <c r="C312" s="734">
        <f>IFERROR(VLOOKUP(A312,'TB CY'!A:G,7,)+VLOOKUP(A312,'TB CY'!A:G,6,),0)</f>
        <v>0</v>
      </c>
      <c r="D312" s="746"/>
      <c r="E312" s="746">
        <f>IFERROR(VLOOKUP(A312,'TB Other'!A:I,8,0),0)+IFERROR(VLOOKUP(A312,'TB Other'!A:I,9,0),0)</f>
        <v>0</v>
      </c>
      <c r="F312" s="746"/>
      <c r="G312" s="746">
        <f>IFERROR(VLOOKUP(A312,'TB Other'!A:E,4,),0)+IFERROR(VLOOKUP(A312,'TB Other'!A:E,5,),0)</f>
        <v>0</v>
      </c>
      <c r="H312" s="746"/>
      <c r="I312" s="746">
        <f>IFERROR(VLOOKUP(A312,'TB Other'!A:M,12,0),0)+IFERROR(VLOOKUP(A312,'TB Other'!A:M,13,0),0)</f>
        <v>0</v>
      </c>
      <c r="J312" s="746"/>
      <c r="K312" s="747">
        <f t="shared" si="245"/>
        <v>0</v>
      </c>
      <c r="L312" s="734">
        <f>VLOOKUP(A312,'TB PY'!A:G,7,)+VLOOKUP(A312,'TB PY'!A:G,6,)</f>
        <v>9650</v>
      </c>
      <c r="M312" s="746"/>
      <c r="N312" s="746"/>
      <c r="O312" s="746"/>
      <c r="P312" s="746"/>
      <c r="Q312" s="746"/>
      <c r="R312" s="746"/>
      <c r="S312" s="746"/>
      <c r="T312" s="747">
        <f t="shared" si="246"/>
        <v>9650</v>
      </c>
      <c r="U312" s="748">
        <f t="shared" si="247"/>
        <v>-9650</v>
      </c>
      <c r="V312" s="215">
        <v>3000</v>
      </c>
      <c r="W312" s="332">
        <f t="shared" si="250"/>
        <v>6650</v>
      </c>
    </row>
    <row r="313" spans="1:23">
      <c r="A313" s="269" t="s">
        <v>456</v>
      </c>
      <c r="B313" s="745" t="s">
        <v>460</v>
      </c>
      <c r="C313" s="734">
        <f>IFERROR(VLOOKUP(A313,'TB CY'!A:G,7,)+VLOOKUP(A313,'TB CY'!A:G,6,),0)</f>
        <v>6800</v>
      </c>
      <c r="D313" s="746"/>
      <c r="E313" s="746">
        <f>IFERROR(VLOOKUP(A313,'TB Other'!A:I,8,0),0)+IFERROR(VLOOKUP(A313,'TB Other'!A:I,9,0),0)</f>
        <v>0</v>
      </c>
      <c r="F313" s="746"/>
      <c r="G313" s="746">
        <f>IFERROR(VLOOKUP(A313,'TB Other'!A:E,4,),0)+IFERROR(VLOOKUP(A313,'TB Other'!A:E,5,),0)</f>
        <v>0</v>
      </c>
      <c r="H313" s="746"/>
      <c r="I313" s="746">
        <f>IFERROR(VLOOKUP(A313,'TB Other'!A:M,12,0),0)+IFERROR(VLOOKUP(A313,'TB Other'!A:M,13,0),0)</f>
        <v>0</v>
      </c>
      <c r="J313" s="746"/>
      <c r="K313" s="747">
        <f t="shared" si="245"/>
        <v>6800</v>
      </c>
      <c r="L313" s="734">
        <f>VLOOKUP(A313,'TB PY'!A:G,7,)+VLOOKUP(A313,'TB PY'!A:G,6,)</f>
        <v>145774</v>
      </c>
      <c r="M313" s="746"/>
      <c r="N313" s="746"/>
      <c r="O313" s="746"/>
      <c r="P313" s="746"/>
      <c r="Q313" s="746"/>
      <c r="R313" s="746"/>
      <c r="S313" s="746"/>
      <c r="T313" s="747">
        <f t="shared" si="246"/>
        <v>145774</v>
      </c>
      <c r="U313" s="748">
        <f t="shared" si="247"/>
        <v>-138974</v>
      </c>
      <c r="V313" s="215">
        <v>100100</v>
      </c>
      <c r="W313" s="332">
        <f t="shared" si="250"/>
        <v>45674</v>
      </c>
    </row>
    <row r="314" spans="1:23">
      <c r="A314" s="269" t="s">
        <v>197</v>
      </c>
      <c r="B314" s="745" t="s">
        <v>460</v>
      </c>
      <c r="C314" s="734">
        <f>IFERROR(VLOOKUP(A314,'TB CY'!A:G,7,)+VLOOKUP(A314,'TB CY'!A:G,6,),0)</f>
        <v>0</v>
      </c>
      <c r="D314" s="746"/>
      <c r="E314" s="746">
        <f>IFERROR(VLOOKUP(A314,'TB Other'!A:I,8,0),0)+IFERROR(VLOOKUP(A314,'TB Other'!A:I,9,0),0)</f>
        <v>0</v>
      </c>
      <c r="F314" s="746"/>
      <c r="G314" s="746">
        <f>IFERROR(VLOOKUP(A314,'TB Other'!A:E,4,),0)+IFERROR(VLOOKUP(A314,'TB Other'!A:E,5,),0)</f>
        <v>0</v>
      </c>
      <c r="H314" s="746"/>
      <c r="I314" s="746">
        <f>IFERROR(VLOOKUP(A314,'TB Other'!A:M,12,0),0)+IFERROR(VLOOKUP(A314,'TB Other'!A:M,13,0),0)</f>
        <v>0</v>
      </c>
      <c r="J314" s="746"/>
      <c r="K314" s="747">
        <f t="shared" si="245"/>
        <v>0</v>
      </c>
      <c r="L314" s="734">
        <f>VLOOKUP(A314,'TB PY'!A:G,7,)+VLOOKUP(A314,'TB PY'!A:G,6,)</f>
        <v>1608</v>
      </c>
      <c r="M314" s="746"/>
      <c r="N314" s="746"/>
      <c r="O314" s="746"/>
      <c r="P314" s="746"/>
      <c r="Q314" s="746"/>
      <c r="R314" s="746"/>
      <c r="S314" s="746"/>
      <c r="T314" s="747">
        <f t="shared" si="246"/>
        <v>1608</v>
      </c>
      <c r="U314" s="748">
        <f t="shared" si="247"/>
        <v>-1608</v>
      </c>
      <c r="V314" s="215">
        <v>11592.17</v>
      </c>
      <c r="W314" s="332">
        <f t="shared" si="250"/>
        <v>-9984.17</v>
      </c>
    </row>
    <row r="315" spans="1:23">
      <c r="A315" s="269" t="s">
        <v>1146</v>
      </c>
      <c r="B315" s="745" t="s">
        <v>460</v>
      </c>
      <c r="C315" s="734">
        <f>IFERROR(VLOOKUP(A315,'TB CY'!A:G,7,)+VLOOKUP(A315,'TB CY'!A:G,6,),0)</f>
        <v>2700</v>
      </c>
      <c r="D315" s="746"/>
      <c r="E315" s="746">
        <f>IFERROR(VLOOKUP(A315,'TB Other'!A:I,8,0),0)+IFERROR(VLOOKUP(A315,'TB Other'!A:I,9,0),0)</f>
        <v>0</v>
      </c>
      <c r="F315" s="746"/>
      <c r="G315" s="746">
        <f>IFERROR(VLOOKUP(A315,'TB Other'!A:E,4,),0)+IFERROR(VLOOKUP(A315,'TB Other'!A:E,5,),0)</f>
        <v>0</v>
      </c>
      <c r="H315" s="746"/>
      <c r="I315" s="746">
        <f>IFERROR(VLOOKUP(A315,'TB Other'!A:M,12,0),0)+IFERROR(VLOOKUP(A315,'TB Other'!A:M,13,0),0)</f>
        <v>100</v>
      </c>
      <c r="J315" s="746"/>
      <c r="K315" s="747">
        <f t="shared" si="245"/>
        <v>2800</v>
      </c>
      <c r="L315" s="734">
        <f>VLOOKUP(A315,'TB PY'!A:G,7,)+VLOOKUP(A315,'TB PY'!A:G,6,)</f>
        <v>1138</v>
      </c>
      <c r="M315" s="746"/>
      <c r="N315" s="746"/>
      <c r="O315" s="746"/>
      <c r="P315" s="746">
        <v>214</v>
      </c>
      <c r="Q315" s="746"/>
      <c r="R315" s="746"/>
      <c r="S315" s="746"/>
      <c r="T315" s="747">
        <f t="shared" si="246"/>
        <v>1352</v>
      </c>
      <c r="U315" s="748">
        <f t="shared" si="247"/>
        <v>1448</v>
      </c>
      <c r="V315" s="215">
        <v>17700</v>
      </c>
      <c r="W315" s="332">
        <f t="shared" si="250"/>
        <v>-16348</v>
      </c>
    </row>
    <row r="316" spans="1:23">
      <c r="A316" s="269" t="s">
        <v>1599</v>
      </c>
      <c r="B316" s="745" t="s">
        <v>460</v>
      </c>
      <c r="C316" s="734">
        <f>IFERROR(VLOOKUP(A316,'TB CY'!A:G,7,)+VLOOKUP(A316,'TB CY'!A:G,6,),0)</f>
        <v>0</v>
      </c>
      <c r="D316" s="746"/>
      <c r="E316" s="746">
        <f>IFERROR(VLOOKUP(A316,'TB Other'!A:I,8,0),0)+IFERROR(VLOOKUP(A316,'TB Other'!A:I,9,0),0)</f>
        <v>0</v>
      </c>
      <c r="F316" s="746"/>
      <c r="G316" s="746">
        <f>IFERROR(VLOOKUP(A316,'TB Other'!A:E,4,),0)+IFERROR(VLOOKUP(A316,'TB Other'!A:E,5,),0)</f>
        <v>100</v>
      </c>
      <c r="H316" s="746"/>
      <c r="I316" s="746">
        <f>IFERROR(VLOOKUP(A316,'TB Other'!A:M,12,0),0)+IFERROR(VLOOKUP(A316,'TB Other'!A:M,13,0),0)</f>
        <v>0</v>
      </c>
      <c r="J316" s="746"/>
      <c r="K316" s="747">
        <f t="shared" si="245"/>
        <v>100</v>
      </c>
      <c r="L316" s="734">
        <f>IFERROR(VLOOKUP(A316,'TB PY'!A:G,7,),0)+IFERROR(VLOOKUP(A316,'TB PY'!A:G,6,),0)</f>
        <v>0</v>
      </c>
      <c r="M316" s="746"/>
      <c r="N316" s="746"/>
      <c r="O316" s="746"/>
      <c r="P316" s="746">
        <v>214</v>
      </c>
      <c r="Q316" s="746"/>
      <c r="R316" s="746"/>
      <c r="S316" s="746"/>
      <c r="T316" s="747">
        <f t="shared" si="246"/>
        <v>214</v>
      </c>
      <c r="U316" s="748">
        <f t="shared" ref="U316" si="251">K316-T316</f>
        <v>-114</v>
      </c>
      <c r="V316" s="215">
        <v>17700</v>
      </c>
      <c r="W316" s="332">
        <f t="shared" ref="W316" si="252">T316-V316</f>
        <v>-17486</v>
      </c>
    </row>
    <row r="317" spans="1:23">
      <c r="A317" s="269" t="s">
        <v>205</v>
      </c>
      <c r="B317" s="745" t="s">
        <v>460</v>
      </c>
      <c r="C317" s="734">
        <f>IFERROR(VLOOKUP(A317,'TB CY'!A:G,7,)+VLOOKUP(A317,'TB CY'!A:G,6,),0)</f>
        <v>0</v>
      </c>
      <c r="D317" s="746"/>
      <c r="E317" s="746">
        <f>IFERROR(VLOOKUP(A317,'TB Other'!A:I,8,0),0)+IFERROR(VLOOKUP(A317,'TB Other'!A:I,9,0),0)</f>
        <v>0</v>
      </c>
      <c r="F317" s="746"/>
      <c r="G317" s="746">
        <f>IFERROR(VLOOKUP(A317,'TB Other'!A:E,4,),0)+IFERROR(VLOOKUP(A317,'TB Other'!A:E,5,),0)</f>
        <v>0</v>
      </c>
      <c r="H317" s="746"/>
      <c r="I317" s="746">
        <f>IFERROR(VLOOKUP(A317,'TB Other'!A:M,12,0),0)+IFERROR(VLOOKUP(A317,'TB Other'!A:M,13,0),0)</f>
        <v>0</v>
      </c>
      <c r="J317" s="746"/>
      <c r="K317" s="747">
        <f t="shared" si="245"/>
        <v>0</v>
      </c>
      <c r="L317" s="734">
        <f>IFERROR(VLOOKUP(A317,'TB PY'!A:G,7,),0)+IFERROR(VLOOKUP(A317,'TB PY'!A:G,6,),0)</f>
        <v>0</v>
      </c>
      <c r="M317" s="746"/>
      <c r="N317" s="746"/>
      <c r="O317" s="746"/>
      <c r="P317" s="746"/>
      <c r="Q317" s="746"/>
      <c r="R317" s="746"/>
      <c r="S317" s="746"/>
      <c r="T317" s="747">
        <f t="shared" si="246"/>
        <v>0</v>
      </c>
      <c r="U317" s="748">
        <f t="shared" si="247"/>
        <v>0</v>
      </c>
      <c r="V317" s="215">
        <v>7799</v>
      </c>
      <c r="W317" s="332">
        <f t="shared" si="250"/>
        <v>-7799</v>
      </c>
    </row>
    <row r="318" spans="1:23">
      <c r="A318" s="269" t="s">
        <v>531</v>
      </c>
      <c r="B318" s="745" t="s">
        <v>460</v>
      </c>
      <c r="C318" s="734">
        <f>IFERROR(VLOOKUP(A318,'TB CY'!A:G,7,)+VLOOKUP(A318,'TB CY'!A:G,6,),0)</f>
        <v>37294.480000000003</v>
      </c>
      <c r="D318" s="746"/>
      <c r="E318" s="746">
        <f>IFERROR(VLOOKUP(A318,'TB Other'!A:I,8,0),0)+IFERROR(VLOOKUP(A318,'TB Other'!A:I,9,0),0)</f>
        <v>0</v>
      </c>
      <c r="F318" s="746"/>
      <c r="G318" s="746">
        <f>IFERROR(VLOOKUP(A318,'TB Other'!A:E,4,),0)+IFERROR(VLOOKUP(A318,'TB Other'!A:E,5,),0)</f>
        <v>0</v>
      </c>
      <c r="H318" s="746"/>
      <c r="I318" s="746">
        <f>IFERROR(VLOOKUP(A318,'TB Other'!A:M,12,0),0)+IFERROR(VLOOKUP(A318,'TB Other'!A:M,13,0),0)</f>
        <v>0</v>
      </c>
      <c r="J318" s="746"/>
      <c r="K318" s="747">
        <f t="shared" si="245"/>
        <v>37294.480000000003</v>
      </c>
      <c r="L318" s="734">
        <f>VLOOKUP(A318,'TB PY'!A:G,7,)+VLOOKUP(A318,'TB PY'!A:G,6,)</f>
        <v>64103.13</v>
      </c>
      <c r="M318" s="746"/>
      <c r="N318" s="746"/>
      <c r="O318" s="746"/>
      <c r="P318" s="746"/>
      <c r="Q318" s="746"/>
      <c r="R318" s="746"/>
      <c r="S318" s="746"/>
      <c r="T318" s="747">
        <f t="shared" si="246"/>
        <v>64103.13</v>
      </c>
      <c r="U318" s="748">
        <f t="shared" si="247"/>
        <v>-26808.649999999994</v>
      </c>
      <c r="V318" s="215">
        <v>38140</v>
      </c>
      <c r="W318" s="332">
        <f t="shared" si="250"/>
        <v>25963.129999999997</v>
      </c>
    </row>
    <row r="319" spans="1:23">
      <c r="A319" s="269" t="s">
        <v>208</v>
      </c>
      <c r="B319" s="745" t="s">
        <v>460</v>
      </c>
      <c r="C319" s="734">
        <f>IFERROR(VLOOKUP(A319,'TB CY'!A:G,7,)+VLOOKUP(A319,'TB CY'!A:G,6,),0)</f>
        <v>319706.65000000002</v>
      </c>
      <c r="D319" s="746"/>
      <c r="E319" s="746">
        <f>IFERROR(VLOOKUP(A319,'TB Other'!A:I,8,0),0)+IFERROR(VLOOKUP(A319,'TB Other'!A:I,9,0),0)</f>
        <v>0</v>
      </c>
      <c r="F319" s="746"/>
      <c r="G319" s="746">
        <f>IFERROR(VLOOKUP(A319,'TB Other'!A:E,4,),0)+IFERROR(VLOOKUP(A319,'TB Other'!A:E,5,),0)</f>
        <v>0</v>
      </c>
      <c r="H319" s="746"/>
      <c r="I319" s="746">
        <f>IFERROR(VLOOKUP(A319,'TB Other'!A:M,12,0),0)+IFERROR(VLOOKUP(A319,'TB Other'!A:M,13,0),0)</f>
        <v>0</v>
      </c>
      <c r="J319" s="746">
        <v>15254</v>
      </c>
      <c r="K319" s="747">
        <f t="shared" si="245"/>
        <v>334960.65000000002</v>
      </c>
      <c r="L319" s="734">
        <f>VLOOKUP(A319,'TB PY'!A:G,7,)+VLOOKUP(A319,'TB PY'!A:G,6,)</f>
        <v>141454</v>
      </c>
      <c r="M319" s="746"/>
      <c r="N319" s="746"/>
      <c r="O319" s="746"/>
      <c r="P319" s="746">
        <v>9000</v>
      </c>
      <c r="Q319" s="746"/>
      <c r="R319" s="746"/>
      <c r="S319" s="746"/>
      <c r="T319" s="747">
        <f t="shared" si="246"/>
        <v>150454</v>
      </c>
      <c r="U319" s="748">
        <f t="shared" si="247"/>
        <v>184506.65000000002</v>
      </c>
      <c r="V319" s="215">
        <v>46758</v>
      </c>
      <c r="W319" s="332">
        <f t="shared" si="250"/>
        <v>103696</v>
      </c>
    </row>
    <row r="320" spans="1:23">
      <c r="A320" s="269" t="s">
        <v>214</v>
      </c>
      <c r="B320" s="745" t="s">
        <v>460</v>
      </c>
      <c r="C320" s="734">
        <f>IFERROR(VLOOKUP(A320,'TB CY'!A:G,7,)+VLOOKUP(A320,'TB CY'!A:G,6,),0)</f>
        <v>2500</v>
      </c>
      <c r="D320" s="746"/>
      <c r="E320" s="746">
        <f>IFERROR(VLOOKUP(A320,'TB Other'!A:I,8,0),0)+IFERROR(VLOOKUP(A320,'TB Other'!A:I,9,0),0)</f>
        <v>0</v>
      </c>
      <c r="F320" s="746"/>
      <c r="G320" s="746">
        <f>IFERROR(VLOOKUP(A320,'TB Other'!A:E,4,),0)+IFERROR(VLOOKUP(A320,'TB Other'!A:E,5,),0)</f>
        <v>0</v>
      </c>
      <c r="H320" s="746"/>
      <c r="I320" s="746">
        <f>IFERROR(VLOOKUP(A320,'TB Other'!A:M,12,0),0)+IFERROR(VLOOKUP(A320,'TB Other'!A:M,13,0),0)</f>
        <v>0</v>
      </c>
      <c r="J320" s="746"/>
      <c r="K320" s="747">
        <f t="shared" si="245"/>
        <v>2500</v>
      </c>
      <c r="L320" s="734">
        <f>VLOOKUP(A320,'TB PY'!A:G,7,)+VLOOKUP(A320,'TB PY'!A:G,6,)</f>
        <v>2500</v>
      </c>
      <c r="M320" s="746"/>
      <c r="N320" s="746"/>
      <c r="O320" s="746"/>
      <c r="P320" s="746"/>
      <c r="Q320" s="746"/>
      <c r="R320" s="746"/>
      <c r="S320" s="746"/>
      <c r="T320" s="747">
        <f t="shared" si="246"/>
        <v>2500</v>
      </c>
      <c r="U320" s="748">
        <f t="shared" si="247"/>
        <v>0</v>
      </c>
      <c r="V320" s="215">
        <v>2500</v>
      </c>
      <c r="W320" s="332">
        <f t="shared" si="250"/>
        <v>0</v>
      </c>
    </row>
    <row r="321" spans="1:23">
      <c r="A321" s="269" t="s">
        <v>533</v>
      </c>
      <c r="B321" s="745" t="s">
        <v>460</v>
      </c>
      <c r="C321" s="734">
        <f>IFERROR(VLOOKUP(A321,'TB CY'!A:G,7,)+VLOOKUP(A321,'TB CY'!A:G,6,),0)</f>
        <v>9623</v>
      </c>
      <c r="D321" s="746"/>
      <c r="E321" s="746">
        <f>IFERROR(VLOOKUP(A321,'TB Other'!A:I,8,0),0)+IFERROR(VLOOKUP(A321,'TB Other'!A:I,9,0),0)</f>
        <v>0</v>
      </c>
      <c r="F321" s="746"/>
      <c r="G321" s="746">
        <f>IFERROR(VLOOKUP(A321,'TB Other'!A:E,4,),0)+IFERROR(VLOOKUP(A321,'TB Other'!A:E,5,),0)</f>
        <v>0</v>
      </c>
      <c r="H321" s="746"/>
      <c r="I321" s="746">
        <f>IFERROR(VLOOKUP(A321,'TB Other'!A:M,12,0),0)+IFERROR(VLOOKUP(A321,'TB Other'!A:M,13,0),0)</f>
        <v>0</v>
      </c>
      <c r="J321" s="746"/>
      <c r="K321" s="747">
        <f t="shared" si="245"/>
        <v>9623</v>
      </c>
      <c r="L321" s="734">
        <f>VLOOKUP(A321,'TB PY'!A:G,7,)+VLOOKUP(A321,'TB PY'!A:G,6,)</f>
        <v>9066.25</v>
      </c>
      <c r="M321" s="746"/>
      <c r="N321" s="746"/>
      <c r="O321" s="746"/>
      <c r="P321" s="746"/>
      <c r="Q321" s="746"/>
      <c r="R321" s="746"/>
      <c r="S321" s="746"/>
      <c r="T321" s="747">
        <f t="shared" si="246"/>
        <v>9066.25</v>
      </c>
      <c r="U321" s="748">
        <f t="shared" si="247"/>
        <v>556.75</v>
      </c>
      <c r="V321" s="215">
        <v>9250</v>
      </c>
      <c r="W321" s="332">
        <f t="shared" si="250"/>
        <v>-183.75</v>
      </c>
    </row>
    <row r="322" spans="1:23">
      <c r="A322" s="269" t="s">
        <v>219</v>
      </c>
      <c r="B322" s="745" t="s">
        <v>460</v>
      </c>
      <c r="C322" s="734">
        <f>IFERROR(VLOOKUP(A322,'TB CY'!A:G,7,)+VLOOKUP(A322,'TB CY'!A:G,6,),0)</f>
        <v>-153.75</v>
      </c>
      <c r="D322" s="746"/>
      <c r="E322" s="746">
        <f>IFERROR(VLOOKUP(A322,'TB Other'!A:I,8,0),0)+IFERROR(VLOOKUP(A322,'TB Other'!A:I,9,0),0)</f>
        <v>2.92</v>
      </c>
      <c r="F322" s="746"/>
      <c r="G322" s="746">
        <f>IFERROR(VLOOKUP(A322,'TB Other'!A:E,4,),0)+IFERROR(VLOOKUP(A322,'TB Other'!A:E,5,),0)</f>
        <v>0</v>
      </c>
      <c r="H322" s="746"/>
      <c r="I322" s="746">
        <f>IFERROR(VLOOKUP(A322,'TB Other'!A:M,12,0),0)+IFERROR(VLOOKUP(A322,'TB Other'!A:M,13,0),0)</f>
        <v>-6.31</v>
      </c>
      <c r="J322" s="746"/>
      <c r="K322" s="747">
        <f t="shared" si="245"/>
        <v>-157.14000000000001</v>
      </c>
      <c r="L322" s="734">
        <f>VLOOKUP(A322,'TB PY'!A:G,7,)+VLOOKUP(A322,'TB PY'!A:G,6,)</f>
        <v>-3827.46</v>
      </c>
      <c r="M322" s="746"/>
      <c r="N322" s="746"/>
      <c r="O322" s="746"/>
      <c r="P322" s="746">
        <v>7</v>
      </c>
      <c r="Q322" s="746"/>
      <c r="R322" s="746"/>
      <c r="S322" s="746"/>
      <c r="T322" s="747">
        <f t="shared" si="246"/>
        <v>-3820.46</v>
      </c>
      <c r="U322" s="748">
        <f t="shared" si="247"/>
        <v>3663.32</v>
      </c>
      <c r="V322" s="215">
        <v>-26.240000000000002</v>
      </c>
      <c r="W322" s="332">
        <f t="shared" si="250"/>
        <v>-3794.2200000000003</v>
      </c>
    </row>
    <row r="323" spans="1:23">
      <c r="A323" s="269" t="s">
        <v>1552</v>
      </c>
      <c r="B323" s="745" t="s">
        <v>460</v>
      </c>
      <c r="C323" s="734">
        <f>IFERROR(VLOOKUP(A323,'TB CY'!A:G,7,)+VLOOKUP(A323,'TB CY'!A:G,6,),0)</f>
        <v>-206.05</v>
      </c>
      <c r="D323" s="746"/>
      <c r="E323" s="746">
        <f>IFERROR(VLOOKUP(A323,'TB Other'!A:I,8,0),0)+IFERROR(VLOOKUP(A323,'TB Other'!A:I,9,0),0)</f>
        <v>0.08</v>
      </c>
      <c r="F323" s="746"/>
      <c r="G323" s="746">
        <f>IFERROR(VLOOKUP(A323,'TB Other'!A:E,4,),0)+IFERROR(VLOOKUP(A323,'TB Other'!A:E,5,),0)</f>
        <v>-1.9</v>
      </c>
      <c r="H323" s="746"/>
      <c r="I323" s="746">
        <f>IFERROR(VLOOKUP(A323,'TB Other'!A:M,12,0),0)+IFERROR(VLOOKUP(A323,'TB Other'!A:M,13,0),0)</f>
        <v>0</v>
      </c>
      <c r="J323" s="746"/>
      <c r="K323" s="747">
        <f t="shared" si="245"/>
        <v>-207.87</v>
      </c>
      <c r="L323" s="734">
        <f>IFERROR(VLOOKUP(A323,'TB PY'!A:G,7,),0)+IFERROR(VLOOKUP(A323,'TB PY'!A:G,6,),0)</f>
        <v>0</v>
      </c>
      <c r="M323" s="746"/>
      <c r="N323" s="746"/>
      <c r="O323" s="746"/>
      <c r="P323" s="746"/>
      <c r="Q323" s="746"/>
      <c r="R323" s="746"/>
      <c r="S323" s="746"/>
      <c r="T323" s="747">
        <f t="shared" si="246"/>
        <v>0</v>
      </c>
      <c r="U323" s="748">
        <f t="shared" ref="U323" si="253">K323-T323</f>
        <v>-207.87</v>
      </c>
      <c r="V323" s="215">
        <v>-26.240000000000002</v>
      </c>
      <c r="W323" s="332">
        <f t="shared" ref="W323" si="254">T323-V323</f>
        <v>26.240000000000002</v>
      </c>
    </row>
    <row r="324" spans="1:23">
      <c r="A324" s="269" t="s">
        <v>1147</v>
      </c>
      <c r="B324" s="745" t="s">
        <v>460</v>
      </c>
      <c r="C324" s="734">
        <f>IFERROR(VLOOKUP(A324,'TB CY'!A:G,7,)+VLOOKUP(A324,'TB CY'!A:G,6,),0)</f>
        <v>0</v>
      </c>
      <c r="D324" s="746"/>
      <c r="E324" s="746">
        <f>IFERROR(VLOOKUP(A324,'TB Other'!A:I,8,0),0)+IFERROR(VLOOKUP(A324,'TB Other'!A:I,9,0),0)</f>
        <v>0</v>
      </c>
      <c r="F324" s="746"/>
      <c r="G324" s="746">
        <f>IFERROR(VLOOKUP(A324,'TB Other'!A:E,4,),0)+IFERROR(VLOOKUP(A324,'TB Other'!A:E,5,),0)</f>
        <v>0</v>
      </c>
      <c r="H324" s="746"/>
      <c r="I324" s="746">
        <f>IFERROR(VLOOKUP(A324,'TB Other'!A:M,12,0),0)+IFERROR(VLOOKUP(A324,'TB Other'!A:M,13,0),0)</f>
        <v>0</v>
      </c>
      <c r="J324" s="746"/>
      <c r="K324" s="747">
        <f t="shared" si="245"/>
        <v>0</v>
      </c>
      <c r="L324" s="734">
        <f>VLOOKUP(A324,'TB PY'!A:G,7,)+VLOOKUP(A324,'TB PY'!A:G,6,)</f>
        <v>5002.92</v>
      </c>
      <c r="M324" s="746"/>
      <c r="N324" s="746"/>
      <c r="O324" s="746"/>
      <c r="P324" s="746"/>
      <c r="Q324" s="746"/>
      <c r="R324" s="746"/>
      <c r="S324" s="746"/>
      <c r="T324" s="747">
        <f t="shared" si="246"/>
        <v>5002.92</v>
      </c>
      <c r="U324" s="748">
        <f t="shared" si="247"/>
        <v>-5002.92</v>
      </c>
      <c r="V324" s="215">
        <v>49.94</v>
      </c>
      <c r="W324" s="332">
        <f t="shared" si="250"/>
        <v>4952.9800000000005</v>
      </c>
    </row>
    <row r="325" spans="1:23">
      <c r="A325" s="269" t="s">
        <v>1148</v>
      </c>
      <c r="B325" s="745" t="s">
        <v>460</v>
      </c>
      <c r="C325" s="734">
        <f>IFERROR(VLOOKUP(A325,'TB CY'!A:G,7,)+VLOOKUP(A325,'TB CY'!A:G,6,),0)</f>
        <v>24618.71</v>
      </c>
      <c r="D325" s="746"/>
      <c r="E325" s="746">
        <f>IFERROR(VLOOKUP(A325,'TB Other'!A:I,8,0),0)+IFERROR(VLOOKUP(A325,'TB Other'!A:I,9,0),0)</f>
        <v>0</v>
      </c>
      <c r="F325" s="746"/>
      <c r="G325" s="746">
        <f>IFERROR(VLOOKUP(A325,'TB Other'!A:E,4,),0)+IFERROR(VLOOKUP(A325,'TB Other'!A:E,5,),0)</f>
        <v>0</v>
      </c>
      <c r="H325" s="746"/>
      <c r="I325" s="746">
        <f>IFERROR(VLOOKUP(A325,'TB Other'!A:M,12,0),0)+IFERROR(VLOOKUP(A325,'TB Other'!A:M,13,0),0)</f>
        <v>0</v>
      </c>
      <c r="J325" s="746"/>
      <c r="K325" s="747">
        <f t="shared" si="245"/>
        <v>24618.71</v>
      </c>
      <c r="L325" s="734">
        <f>VLOOKUP(A325,'TB PY'!A:G,7,)+VLOOKUP(A325,'TB PY'!A:G,6,)</f>
        <v>51193.72</v>
      </c>
      <c r="M325" s="746"/>
      <c r="N325" s="746"/>
      <c r="O325" s="746"/>
      <c r="P325" s="746"/>
      <c r="Q325" s="746"/>
      <c r="R325" s="746"/>
      <c r="S325" s="746"/>
      <c r="T325" s="747">
        <f t="shared" si="246"/>
        <v>51193.72</v>
      </c>
      <c r="U325" s="748">
        <f t="shared" si="247"/>
        <v>-26575.010000000002</v>
      </c>
      <c r="V325" s="215">
        <v>2682.58</v>
      </c>
      <c r="W325" s="332">
        <f t="shared" si="250"/>
        <v>48511.14</v>
      </c>
    </row>
    <row r="326" spans="1:23">
      <c r="A326" s="269" t="s">
        <v>1149</v>
      </c>
      <c r="B326" s="745" t="s">
        <v>460</v>
      </c>
      <c r="C326" s="734">
        <f>IFERROR(VLOOKUP(A326,'TB CY'!A:G,7,)+VLOOKUP(A326,'TB CY'!A:G,6,),0)</f>
        <v>0</v>
      </c>
      <c r="D326" s="746"/>
      <c r="E326" s="746">
        <f>IFERROR(VLOOKUP(A326,'TB Other'!A:I,8,0),0)+IFERROR(VLOOKUP(A326,'TB Other'!A:I,9,0),0)</f>
        <v>0</v>
      </c>
      <c r="F326" s="746"/>
      <c r="G326" s="746">
        <f>IFERROR(VLOOKUP(A326,'TB Other'!A:E,4,),0)+IFERROR(VLOOKUP(A326,'TB Other'!A:E,5,),0)</f>
        <v>0</v>
      </c>
      <c r="H326" s="746"/>
      <c r="I326" s="746">
        <f>IFERROR(VLOOKUP(A326,'TB Other'!A:M,12,0),0)+IFERROR(VLOOKUP(A326,'TB Other'!A:M,13,0),0)</f>
        <v>0</v>
      </c>
      <c r="J326" s="746"/>
      <c r="K326" s="747">
        <f t="shared" si="245"/>
        <v>0</v>
      </c>
      <c r="L326" s="734">
        <f>IFERROR(VLOOKUP(A326,'TB PY'!A:G,7,),0)+IFERROR(VLOOKUP(A326,'TB PY'!A:G,6,),0)</f>
        <v>0</v>
      </c>
      <c r="M326" s="746"/>
      <c r="N326" s="746"/>
      <c r="O326" s="746"/>
      <c r="P326" s="746"/>
      <c r="Q326" s="746"/>
      <c r="R326" s="746"/>
      <c r="S326" s="746"/>
      <c r="T326" s="747">
        <f t="shared" si="246"/>
        <v>0</v>
      </c>
      <c r="U326" s="748">
        <f t="shared" si="247"/>
        <v>0</v>
      </c>
      <c r="V326" s="215">
        <v>37000</v>
      </c>
      <c r="W326" s="332">
        <f t="shared" si="250"/>
        <v>-37000</v>
      </c>
    </row>
    <row r="327" spans="1:23">
      <c r="A327" s="269" t="s">
        <v>1150</v>
      </c>
      <c r="B327" s="745" t="s">
        <v>460</v>
      </c>
      <c r="C327" s="734">
        <f>IFERROR(VLOOKUP(A327,'TB CY'!A:G,7,)+VLOOKUP(A327,'TB CY'!A:G,6,),0)</f>
        <v>0</v>
      </c>
      <c r="D327" s="746"/>
      <c r="E327" s="746">
        <f>IFERROR(VLOOKUP(A327,'TB Other'!A:I,8,0),0)+IFERROR(VLOOKUP(A327,'TB Other'!A:I,9,0),0)</f>
        <v>0</v>
      </c>
      <c r="F327" s="746"/>
      <c r="G327" s="746">
        <f>IFERROR(VLOOKUP(A327,'TB Other'!A:E,4,),0)+IFERROR(VLOOKUP(A327,'TB Other'!A:E,5,),0)</f>
        <v>0</v>
      </c>
      <c r="H327" s="746"/>
      <c r="I327" s="746">
        <f>IFERROR(VLOOKUP(A327,'TB Other'!A:M,12,0),0)+IFERROR(VLOOKUP(A327,'TB Other'!A:M,13,0),0)</f>
        <v>0</v>
      </c>
      <c r="J327" s="746"/>
      <c r="K327" s="747">
        <f t="shared" si="245"/>
        <v>0</v>
      </c>
      <c r="L327" s="734">
        <f>IFERROR(VLOOKUP(A327,'TB PY'!A:G,7,),0)+IFERROR(VLOOKUP(A327,'TB PY'!A:G,6,),0)</f>
        <v>0</v>
      </c>
      <c r="M327" s="746"/>
      <c r="N327" s="746"/>
      <c r="O327" s="746"/>
      <c r="P327" s="746"/>
      <c r="Q327" s="746"/>
      <c r="R327" s="746"/>
      <c r="S327" s="746"/>
      <c r="T327" s="747">
        <f t="shared" si="246"/>
        <v>0</v>
      </c>
      <c r="U327" s="748">
        <f t="shared" si="247"/>
        <v>0</v>
      </c>
      <c r="V327" s="215">
        <v>2388</v>
      </c>
      <c r="W327" s="332">
        <f t="shared" si="250"/>
        <v>-2388</v>
      </c>
    </row>
    <row r="328" spans="1:23">
      <c r="A328" s="269" t="s">
        <v>1267</v>
      </c>
      <c r="B328" s="745" t="s">
        <v>460</v>
      </c>
      <c r="C328" s="734">
        <f>IFERROR(VLOOKUP(A328,'TB CY'!A:G,7,)+VLOOKUP(A328,'TB CY'!A:G,6,),0)</f>
        <v>100000</v>
      </c>
      <c r="D328" s="746"/>
      <c r="E328" s="746">
        <f>IFERROR(VLOOKUP(A328,'TB Other'!A:I,8,0),0)+IFERROR(VLOOKUP(A328,'TB Other'!A:I,9,0),0)</f>
        <v>0</v>
      </c>
      <c r="F328" s="746"/>
      <c r="G328" s="746">
        <f>IFERROR(VLOOKUP(A328,'TB Other'!A:E,4,),0)+IFERROR(VLOOKUP(A328,'TB Other'!A:E,5,),0)</f>
        <v>0</v>
      </c>
      <c r="H328" s="746"/>
      <c r="I328" s="746">
        <f>IFERROR(VLOOKUP(A328,'TB Other'!A:M,12,0),0)+IFERROR(VLOOKUP(A328,'TB Other'!A:M,13,0),0)</f>
        <v>0</v>
      </c>
      <c r="J328" s="746"/>
      <c r="K328" s="747">
        <f t="shared" si="245"/>
        <v>100000</v>
      </c>
      <c r="L328" s="734">
        <f>VLOOKUP(A328,'TB PY'!A:G,7,)+VLOOKUP(A328,'TB PY'!A:G,6,)</f>
        <v>60000</v>
      </c>
      <c r="M328" s="746"/>
      <c r="N328" s="746"/>
      <c r="O328" s="746"/>
      <c r="P328" s="746"/>
      <c r="Q328" s="746"/>
      <c r="R328" s="746"/>
      <c r="S328" s="746"/>
      <c r="T328" s="747">
        <f t="shared" si="246"/>
        <v>60000</v>
      </c>
      <c r="U328" s="748">
        <f t="shared" si="247"/>
        <v>40000</v>
      </c>
      <c r="V328" s="215">
        <v>50452</v>
      </c>
      <c r="W328" s="332">
        <f>T328-V328</f>
        <v>9548</v>
      </c>
    </row>
    <row r="329" spans="1:23">
      <c r="A329" s="269" t="s">
        <v>222</v>
      </c>
      <c r="B329" s="745" t="s">
        <v>460</v>
      </c>
      <c r="C329" s="734">
        <f>IFERROR(VLOOKUP(A329,'TB CY'!A:G,7,)+VLOOKUP(A329,'TB CY'!A:G,6,),0)</f>
        <v>2100</v>
      </c>
      <c r="D329" s="746"/>
      <c r="E329" s="746">
        <f>IFERROR(VLOOKUP(A329,'TB Other'!A:I,8,0),0)+IFERROR(VLOOKUP(A329,'TB Other'!A:I,9,0),0)</f>
        <v>0</v>
      </c>
      <c r="F329" s="746"/>
      <c r="G329" s="746">
        <f>IFERROR(VLOOKUP(A329,'TB Other'!A:E,4,),0)+IFERROR(VLOOKUP(A329,'TB Other'!A:E,5,),0)</f>
        <v>0</v>
      </c>
      <c r="H329" s="746"/>
      <c r="I329" s="746">
        <f>IFERROR(VLOOKUP(A329,'TB Other'!A:M,12,0),0)+IFERROR(VLOOKUP(A329,'TB Other'!A:M,13,0),0)</f>
        <v>0</v>
      </c>
      <c r="J329" s="746"/>
      <c r="K329" s="747">
        <f t="shared" si="245"/>
        <v>2100</v>
      </c>
      <c r="L329" s="734">
        <f>VLOOKUP(A329,'TB PY'!A:G,7,)+VLOOKUP(A329,'TB PY'!A:G,6,)</f>
        <v>24928</v>
      </c>
      <c r="M329" s="746"/>
      <c r="N329" s="746"/>
      <c r="O329" s="746"/>
      <c r="P329" s="746">
        <v>44124</v>
      </c>
      <c r="Q329" s="746"/>
      <c r="R329" s="746"/>
      <c r="S329" s="746"/>
      <c r="T329" s="747">
        <f t="shared" si="246"/>
        <v>69052</v>
      </c>
      <c r="U329" s="748">
        <f t="shared" si="247"/>
        <v>-66952</v>
      </c>
      <c r="V329" s="215">
        <v>50452</v>
      </c>
      <c r="W329" s="332">
        <f>T329-V329</f>
        <v>18600</v>
      </c>
    </row>
    <row r="330" spans="1:23">
      <c r="A330" s="269" t="s">
        <v>1324</v>
      </c>
      <c r="B330" s="745" t="s">
        <v>460</v>
      </c>
      <c r="C330" s="734">
        <f>IFERROR(VLOOKUP(A330,'TB CY'!A:G,7,)+VLOOKUP(A330,'TB CY'!A:G,6,),0)</f>
        <v>0</v>
      </c>
      <c r="D330" s="746"/>
      <c r="E330" s="746">
        <f>IFERROR(VLOOKUP(A330,'TB Other'!A:I,8,0),0)+IFERROR(VLOOKUP(A330,'TB Other'!A:I,9,0),0)</f>
        <v>0</v>
      </c>
      <c r="F330" s="746"/>
      <c r="G330" s="746">
        <f>IFERROR(VLOOKUP(A330,'TB Other'!A:E,4,),0)+IFERROR(VLOOKUP(A330,'TB Other'!A:E,5,),0)</f>
        <v>0</v>
      </c>
      <c r="H330" s="746"/>
      <c r="I330" s="746">
        <f>IFERROR(VLOOKUP(A330,'TB Other'!A:M,12,0),0)+IFERROR(VLOOKUP(A330,'TB Other'!A:M,13,0),0)</f>
        <v>0</v>
      </c>
      <c r="J330" s="746"/>
      <c r="K330" s="747">
        <f t="shared" si="245"/>
        <v>0</v>
      </c>
      <c r="L330" s="734">
        <f>IFERROR(VLOOKUP(A330,'TB PY'!A:G,7,),0)+IFERROR(VLOOKUP(A330,'TB PY'!A:G,6,),0)</f>
        <v>1200</v>
      </c>
      <c r="M330" s="746"/>
      <c r="N330" s="746"/>
      <c r="O330" s="746"/>
      <c r="P330" s="746"/>
      <c r="Q330" s="746"/>
      <c r="R330" s="746"/>
      <c r="S330" s="746"/>
      <c r="T330" s="747">
        <f t="shared" si="246"/>
        <v>1200</v>
      </c>
      <c r="U330" s="748">
        <f t="shared" si="247"/>
        <v>-1200</v>
      </c>
      <c r="V330" s="215">
        <v>50452</v>
      </c>
      <c r="W330" s="332">
        <f>T330-V330</f>
        <v>-49252</v>
      </c>
    </row>
    <row r="331" spans="1:23">
      <c r="A331" s="269" t="s">
        <v>1338</v>
      </c>
      <c r="B331" s="745" t="s">
        <v>460</v>
      </c>
      <c r="C331" s="734">
        <f>IFERROR(VLOOKUP(A331,'TB CY'!A:G,7,)+VLOOKUP(A331,'TB CY'!A:G,6,),0)</f>
        <v>0</v>
      </c>
      <c r="D331" s="746"/>
      <c r="E331" s="746">
        <f>IFERROR(VLOOKUP(A331,'TB Other'!A:I,8,0),0)+IFERROR(VLOOKUP(A331,'TB Other'!A:I,9,0),0)</f>
        <v>0</v>
      </c>
      <c r="F331" s="746"/>
      <c r="G331" s="746">
        <f>IFERROR(VLOOKUP(A331,'TB Other'!A:E,4,),0)+IFERROR(VLOOKUP(A331,'TB Other'!A:E,5,),0)</f>
        <v>0</v>
      </c>
      <c r="H331" s="746"/>
      <c r="I331" s="746">
        <f>IFERROR(VLOOKUP(A331,'TB Other'!A:M,12,0),0)+IFERROR(VLOOKUP(A331,'TB Other'!A:M,13,0),0)</f>
        <v>0</v>
      </c>
      <c r="J331" s="746"/>
      <c r="K331" s="747">
        <f t="shared" si="245"/>
        <v>0</v>
      </c>
      <c r="L331" s="734">
        <f>IFERROR(VLOOKUP(A331,'TB PY'!A:G,7,),0)+IFERROR(VLOOKUP(A331,'TB PY'!A:G,6,),0)</f>
        <v>0</v>
      </c>
      <c r="M331" s="746"/>
      <c r="N331" s="746"/>
      <c r="O331" s="746"/>
      <c r="P331" s="746">
        <v>500</v>
      </c>
      <c r="Q331" s="746"/>
      <c r="R331" s="746"/>
      <c r="S331" s="746"/>
      <c r="T331" s="747">
        <f t="shared" si="246"/>
        <v>500</v>
      </c>
      <c r="U331" s="748">
        <f t="shared" si="247"/>
        <v>-500</v>
      </c>
      <c r="V331" s="215">
        <v>50452</v>
      </c>
      <c r="W331" s="332">
        <f>T331-V331</f>
        <v>-49952</v>
      </c>
    </row>
    <row r="332" spans="1:23">
      <c r="A332" s="269" t="s">
        <v>1556</v>
      </c>
      <c r="B332" s="745" t="s">
        <v>460</v>
      </c>
      <c r="C332" s="734">
        <f>IFERROR(VLOOKUP(A332,'TB CY'!A:G,7,)+VLOOKUP(A332,'TB CY'!A:G,6,),0)</f>
        <v>58600</v>
      </c>
      <c r="D332" s="746"/>
      <c r="E332" s="746">
        <f>IFERROR(VLOOKUP(A332,'TB Other'!A:I,8,0),0)+IFERROR(VLOOKUP(A332,'TB Other'!A:I,9,0),0)</f>
        <v>0</v>
      </c>
      <c r="F332" s="746"/>
      <c r="G332" s="746">
        <f>IFERROR(VLOOKUP(A332,'TB Other'!A:E,4,),0)+IFERROR(VLOOKUP(A332,'TB Other'!A:E,5,),0)</f>
        <v>0</v>
      </c>
      <c r="H332" s="746"/>
      <c r="I332" s="746">
        <f>IFERROR(VLOOKUP(A332,'TB Other'!A:M,12,0),0)+IFERROR(VLOOKUP(A332,'TB Other'!A:M,13,0),0)</f>
        <v>0</v>
      </c>
      <c r="J332" s="746"/>
      <c r="K332" s="747">
        <f t="shared" si="245"/>
        <v>58600</v>
      </c>
      <c r="L332" s="734">
        <f>IFERROR(VLOOKUP(A332,'TB PY'!A:G,7,),0)+IFERROR(VLOOKUP(A332,'TB PY'!A:G,6,),0)</f>
        <v>0</v>
      </c>
      <c r="M332" s="746"/>
      <c r="N332" s="746"/>
      <c r="O332" s="746"/>
      <c r="P332" s="746"/>
      <c r="Q332" s="746"/>
      <c r="R332" s="746"/>
      <c r="S332" s="746"/>
      <c r="T332" s="747">
        <f t="shared" si="246"/>
        <v>0</v>
      </c>
      <c r="U332" s="748"/>
      <c r="W332" s="332"/>
    </row>
    <row r="333" spans="1:23">
      <c r="A333" s="269" t="s">
        <v>1551</v>
      </c>
      <c r="B333" s="745" t="s">
        <v>460</v>
      </c>
      <c r="C333" s="734">
        <f>IFERROR(VLOOKUP(A333,'TB CY'!A:G,7,)+VLOOKUP(A333,'TB CY'!A:G,6,),0)</f>
        <v>175000</v>
      </c>
      <c r="D333" s="746"/>
      <c r="E333" s="746">
        <f>IFERROR(VLOOKUP(A333,'TB Other'!A:I,8,0),0)+IFERROR(VLOOKUP(A333,'TB Other'!A:I,9,0),0)</f>
        <v>0</v>
      </c>
      <c r="F333" s="746"/>
      <c r="G333" s="746">
        <f>IFERROR(VLOOKUP(A333,'TB Other'!A:E,4,),0)+IFERROR(VLOOKUP(A333,'TB Other'!A:E,5,),0)</f>
        <v>0</v>
      </c>
      <c r="H333" s="746"/>
      <c r="I333" s="746">
        <f>IFERROR(VLOOKUP(A333,'TB Other'!A:M,12,0),0)+IFERROR(VLOOKUP(A333,'TB Other'!A:M,13,0),0)</f>
        <v>0</v>
      </c>
      <c r="J333" s="746"/>
      <c r="K333" s="747">
        <f t="shared" si="245"/>
        <v>175000</v>
      </c>
      <c r="L333" s="734">
        <f>IFERROR(VLOOKUP(A333,'TB PY'!A:G,7,),0)+IFERROR(VLOOKUP(A333,'TB PY'!A:G,6,),0)</f>
        <v>0</v>
      </c>
      <c r="M333" s="746"/>
      <c r="N333" s="746"/>
      <c r="O333" s="746"/>
      <c r="P333" s="746"/>
      <c r="Q333" s="746"/>
      <c r="R333" s="746"/>
      <c r="S333" s="746"/>
      <c r="T333" s="747">
        <f t="shared" si="246"/>
        <v>0</v>
      </c>
      <c r="U333" s="748">
        <f>K333-T333</f>
        <v>175000</v>
      </c>
      <c r="V333" s="215">
        <v>50452</v>
      </c>
      <c r="W333" s="332">
        <f t="shared" ref="W333" si="255">T333-V333</f>
        <v>-50452</v>
      </c>
    </row>
    <row r="334" spans="1:23" ht="16" thickBot="1">
      <c r="A334" s="269"/>
      <c r="B334" s="745"/>
      <c r="C334" s="734">
        <f>-9359-1753</f>
        <v>-11112</v>
      </c>
      <c r="D334" s="746">
        <v>86</v>
      </c>
      <c r="E334" s="746"/>
      <c r="F334" s="746">
        <v>-145</v>
      </c>
      <c r="G334" s="746"/>
      <c r="H334" s="746"/>
      <c r="I334" s="746"/>
      <c r="J334" s="746"/>
      <c r="K334" s="747">
        <f t="shared" ref="K334" si="256">SUM(C334:H334)</f>
        <v>-11171</v>
      </c>
      <c r="L334" s="734">
        <v>-645</v>
      </c>
      <c r="M334" s="746">
        <v>-86</v>
      </c>
      <c r="N334" s="746"/>
      <c r="O334" s="746"/>
      <c r="P334" s="746"/>
      <c r="Q334" s="746"/>
      <c r="R334" s="746"/>
      <c r="S334" s="746"/>
      <c r="T334" s="747">
        <f>SUM(L334:S334)</f>
        <v>-731</v>
      </c>
      <c r="U334" s="748">
        <f t="shared" si="247"/>
        <v>-10440</v>
      </c>
      <c r="V334" s="215" t="s">
        <v>1318</v>
      </c>
    </row>
    <row r="335" spans="1:23" ht="17" thickTop="1" thickBot="1">
      <c r="A335" s="749"/>
      <c r="B335" s="750" t="s">
        <v>51</v>
      </c>
      <c r="C335" s="751">
        <f t="shared" ref="C335:K335" si="257">SUM(C306:C334)</f>
        <v>5793910.8100000005</v>
      </c>
      <c r="D335" s="752">
        <f t="shared" si="257"/>
        <v>86</v>
      </c>
      <c r="E335" s="752">
        <f t="shared" si="257"/>
        <v>27237.759999999998</v>
      </c>
      <c r="F335" s="752">
        <f t="shared" si="257"/>
        <v>-145</v>
      </c>
      <c r="G335" s="752">
        <f t="shared" si="257"/>
        <v>11492.98</v>
      </c>
      <c r="H335" s="752">
        <f t="shared" si="257"/>
        <v>0</v>
      </c>
      <c r="I335" s="752">
        <f t="shared" ref="I335" si="258">SUM(I306:I334)</f>
        <v>93.69</v>
      </c>
      <c r="J335" s="752">
        <f t="shared" ref="J335" si="259">SUM(J306:J334)</f>
        <v>21004.720000000001</v>
      </c>
      <c r="K335" s="753">
        <f t="shared" si="257"/>
        <v>5853680.9600000009</v>
      </c>
      <c r="L335" s="751">
        <f>SUM(L306:L333)</f>
        <v>4815554.5999999996</v>
      </c>
      <c r="M335" s="752">
        <f t="shared" ref="M335:T335" si="260">SUM(M306:M334)</f>
        <v>-86</v>
      </c>
      <c r="N335" s="752">
        <f t="shared" si="260"/>
        <v>29378</v>
      </c>
      <c r="O335" s="752">
        <f t="shared" si="260"/>
        <v>0</v>
      </c>
      <c r="P335" s="752">
        <f t="shared" si="260"/>
        <v>136510</v>
      </c>
      <c r="Q335" s="752">
        <f t="shared" si="260"/>
        <v>0</v>
      </c>
      <c r="R335" s="752">
        <f t="shared" ref="R335" si="261">SUM(R306:R334)</f>
        <v>0</v>
      </c>
      <c r="S335" s="752">
        <f t="shared" ref="S335" si="262">SUM(S306:S334)</f>
        <v>0</v>
      </c>
      <c r="T335" s="754">
        <f t="shared" si="260"/>
        <v>4980711.5999999996</v>
      </c>
      <c r="U335" s="748">
        <f>K335-T335</f>
        <v>872969.36000000127</v>
      </c>
    </row>
    <row r="336" spans="1:23" ht="16" thickTop="1">
      <c r="B336" s="756"/>
      <c r="C336" s="734"/>
      <c r="D336" s="746"/>
      <c r="E336" s="746"/>
      <c r="F336" s="746"/>
      <c r="G336" s="746"/>
      <c r="H336" s="746"/>
      <c r="I336" s="746"/>
      <c r="J336" s="746"/>
      <c r="K336" s="747"/>
      <c r="L336" s="734"/>
      <c r="M336" s="746"/>
      <c r="N336" s="746"/>
      <c r="O336" s="746"/>
      <c r="P336" s="746"/>
      <c r="Q336" s="746"/>
      <c r="R336" s="746"/>
      <c r="S336" s="746"/>
      <c r="T336" s="747"/>
      <c r="U336" s="748"/>
    </row>
    <row r="337" spans="1:21">
      <c r="A337" s="269" t="s">
        <v>1354</v>
      </c>
      <c r="B337" s="745"/>
      <c r="C337" s="734"/>
      <c r="D337" s="746"/>
      <c r="E337" s="746"/>
      <c r="F337" s="746"/>
      <c r="G337" s="746"/>
      <c r="H337" s="746"/>
      <c r="I337" s="746"/>
      <c r="J337" s="746"/>
      <c r="K337" s="747"/>
      <c r="L337" s="734"/>
      <c r="M337" s="746"/>
      <c r="N337" s="746"/>
      <c r="O337" s="746"/>
      <c r="P337" s="746"/>
      <c r="Q337" s="746"/>
      <c r="R337" s="746"/>
      <c r="S337" s="746"/>
      <c r="T337" s="747"/>
    </row>
    <row r="338" spans="1:21">
      <c r="A338" s="269" t="s">
        <v>57</v>
      </c>
      <c r="B338" s="745" t="s">
        <v>460</v>
      </c>
      <c r="C338" s="734">
        <f>IFERROR(VLOOKUP(A338,'TB CY'!A:G,7,)+VLOOKUP(A338,'TB CY'!A:G,6,),0)+'Profit reco'!B19</f>
        <v>3531335</v>
      </c>
      <c r="D338" s="746"/>
      <c r="E338" s="746">
        <f>IFERROR(VLOOKUP(A338,'TB Other'!A:I,8,0),0)+IFERROR(VLOOKUP(A338,'TB Other'!A:I,9,0),0)</f>
        <v>0</v>
      </c>
      <c r="F338" s="746"/>
      <c r="G338" s="746">
        <f>IFERROR(VLOOKUP(A338,'TB Other'!A:E,4,),0)+IFERROR(VLOOKUP(A338,'TB Other'!A:E,5,),0)</f>
        <v>0</v>
      </c>
      <c r="H338" s="746"/>
      <c r="I338" s="746">
        <f>IFERROR(VLOOKUP(A338,'TB Other'!A:M,12,0),0)+IFERROR(VLOOKUP(A338,'TB Other'!A:M,13,0),0)</f>
        <v>0</v>
      </c>
      <c r="J338" s="746"/>
      <c r="K338" s="747">
        <f>SUM(C338:J338)</f>
        <v>3531335</v>
      </c>
      <c r="L338" s="734">
        <f>VLOOKUP(A338,'TB PY'!A:G,7,)+VLOOKUP(A338,'TB PY'!A:G,6,)</f>
        <v>2809589</v>
      </c>
      <c r="M338" s="746"/>
      <c r="N338" s="746"/>
      <c r="O338" s="746"/>
      <c r="P338" s="746"/>
      <c r="Q338" s="746"/>
      <c r="R338" s="746"/>
      <c r="S338" s="746"/>
      <c r="T338" s="747">
        <f>SUM(L338:S338)</f>
        <v>2809589</v>
      </c>
      <c r="U338" s="748"/>
    </row>
    <row r="339" spans="1:21" ht="16" thickBot="1">
      <c r="A339" s="269"/>
      <c r="B339" s="745"/>
      <c r="C339" s="734"/>
      <c r="D339" s="746"/>
      <c r="E339" s="746"/>
      <c r="F339" s="746"/>
      <c r="G339" s="746"/>
      <c r="H339" s="746"/>
      <c r="I339" s="746"/>
      <c r="J339" s="746"/>
      <c r="K339" s="747"/>
      <c r="L339" s="734"/>
      <c r="M339" s="746"/>
      <c r="N339" s="746"/>
      <c r="O339" s="746"/>
      <c r="P339" s="746"/>
      <c r="Q339" s="746"/>
      <c r="R339" s="746"/>
      <c r="S339" s="746"/>
      <c r="T339" s="747"/>
    </row>
    <row r="340" spans="1:21" ht="17" thickTop="1" thickBot="1">
      <c r="A340" s="749"/>
      <c r="B340" s="750" t="s">
        <v>51</v>
      </c>
      <c r="C340" s="751">
        <f t="shared" ref="C340:T340" si="263">SUM(C338:C339)</f>
        <v>3531335</v>
      </c>
      <c r="D340" s="752">
        <f t="shared" si="263"/>
        <v>0</v>
      </c>
      <c r="E340" s="752">
        <f t="shared" si="263"/>
        <v>0</v>
      </c>
      <c r="F340" s="752">
        <f t="shared" si="263"/>
        <v>0</v>
      </c>
      <c r="G340" s="752">
        <f t="shared" si="263"/>
        <v>0</v>
      </c>
      <c r="H340" s="752">
        <f t="shared" si="263"/>
        <v>0</v>
      </c>
      <c r="I340" s="752">
        <f t="shared" ref="I340:J340" si="264">SUM(I338:I339)</f>
        <v>0</v>
      </c>
      <c r="J340" s="752">
        <f t="shared" si="264"/>
        <v>0</v>
      </c>
      <c r="K340" s="754">
        <f t="shared" si="263"/>
        <v>3531335</v>
      </c>
      <c r="L340" s="751">
        <f t="shared" si="263"/>
        <v>2809589</v>
      </c>
      <c r="M340" s="752">
        <f t="shared" ref="M340:Q340" si="265">SUM(M338:M339)</f>
        <v>0</v>
      </c>
      <c r="N340" s="752">
        <f t="shared" si="265"/>
        <v>0</v>
      </c>
      <c r="O340" s="752">
        <f t="shared" si="265"/>
        <v>0</v>
      </c>
      <c r="P340" s="752">
        <f t="shared" si="265"/>
        <v>0</v>
      </c>
      <c r="Q340" s="752">
        <f t="shared" si="265"/>
        <v>0</v>
      </c>
      <c r="R340" s="752">
        <f t="shared" ref="R340:S340" si="266">SUM(R338:R339)</f>
        <v>0</v>
      </c>
      <c r="S340" s="752">
        <f t="shared" si="266"/>
        <v>0</v>
      </c>
      <c r="T340" s="754">
        <f t="shared" si="263"/>
        <v>2809589</v>
      </c>
      <c r="U340" s="748">
        <f>K340-T340</f>
        <v>721746</v>
      </c>
    </row>
    <row r="341" spans="1:21" ht="16" thickTop="1">
      <c r="B341" s="756"/>
      <c r="C341" s="734"/>
      <c r="D341" s="746"/>
      <c r="E341" s="746"/>
      <c r="F341" s="746"/>
      <c r="G341" s="746"/>
      <c r="H341" s="746"/>
      <c r="I341" s="746"/>
      <c r="J341" s="746"/>
      <c r="K341" s="747"/>
      <c r="L341" s="734"/>
      <c r="M341" s="746"/>
      <c r="N341" s="746"/>
      <c r="O341" s="746"/>
      <c r="P341" s="746"/>
      <c r="Q341" s="746"/>
      <c r="R341" s="746"/>
      <c r="S341" s="746"/>
      <c r="T341" s="747"/>
      <c r="U341" s="748"/>
    </row>
    <row r="342" spans="1:21">
      <c r="A342" s="269" t="s">
        <v>469</v>
      </c>
      <c r="B342" s="745"/>
      <c r="C342" s="734"/>
      <c r="D342" s="746"/>
      <c r="E342" s="746"/>
      <c r="F342" s="746"/>
      <c r="G342" s="746"/>
      <c r="H342" s="746"/>
      <c r="I342" s="746"/>
      <c r="J342" s="746"/>
      <c r="K342" s="747"/>
      <c r="L342" s="734"/>
      <c r="M342" s="746"/>
      <c r="N342" s="746"/>
      <c r="O342" s="746"/>
      <c r="P342" s="746"/>
      <c r="Q342" s="746"/>
      <c r="R342" s="746"/>
      <c r="S342" s="746"/>
      <c r="T342" s="747"/>
    </row>
    <row r="343" spans="1:21">
      <c r="A343" s="269" t="s">
        <v>1325</v>
      </c>
      <c r="B343" s="745" t="s">
        <v>460</v>
      </c>
      <c r="C343" s="734">
        <f>IFERROR(VLOOKUP(A343,'TB CY'!A:G,7,)+VLOOKUP(A343,'TB CY'!A:G,6,),0)</f>
        <v>0</v>
      </c>
      <c r="D343" s="746">
        <f>'AE 22_23'!C4</f>
        <v>42449</v>
      </c>
      <c r="E343" s="746">
        <f>IFERROR(VLOOKUP(A343,'TB Other'!A:I,8,0),0)+IFERROR(VLOOKUP(A343,'TB Other'!A:I,9,0),0)</f>
        <v>0</v>
      </c>
      <c r="F343" s="746"/>
      <c r="G343" s="746">
        <f>IFERROR(VLOOKUP(A343,'TB Other'!A:E,4,),0)+IFERROR(VLOOKUP(A343,'TB Other'!A:E,5,),0)</f>
        <v>0</v>
      </c>
      <c r="H343" s="746"/>
      <c r="I343" s="746">
        <f>IFERROR(VLOOKUP(A343,'TB Other'!A:M,12,0),0)+IFERROR(VLOOKUP(A343,'TB Other'!A:M,13,0),0)</f>
        <v>0</v>
      </c>
      <c r="J343" s="746"/>
      <c r="K343" s="747">
        <f>SUM(C343:J343)</f>
        <v>42449</v>
      </c>
      <c r="L343" s="734">
        <f>VLOOKUP(A343,'TB PY'!A:G,7,)+VLOOKUP(A343,'TB PY'!A:G,6,)</f>
        <v>-1661</v>
      </c>
      <c r="M343" s="746"/>
      <c r="N343" s="746"/>
      <c r="O343" s="746"/>
      <c r="P343" s="746"/>
      <c r="Q343" s="746"/>
      <c r="R343" s="746"/>
      <c r="S343" s="746"/>
      <c r="T343" s="747">
        <f>SUM(L343:S343)</f>
        <v>-1661</v>
      </c>
      <c r="U343" s="748"/>
    </row>
    <row r="344" spans="1:21" ht="16" thickBot="1">
      <c r="A344" s="269"/>
      <c r="B344" s="745"/>
      <c r="C344" s="734"/>
      <c r="D344" s="746"/>
      <c r="E344" s="746"/>
      <c r="F344" s="746"/>
      <c r="G344" s="746"/>
      <c r="H344" s="746"/>
      <c r="I344" s="746"/>
      <c r="J344" s="746"/>
      <c r="K344" s="747"/>
      <c r="L344" s="734"/>
      <c r="M344" s="746"/>
      <c r="N344" s="746"/>
      <c r="O344" s="746"/>
      <c r="P344" s="746"/>
      <c r="Q344" s="746"/>
      <c r="R344" s="746"/>
      <c r="S344" s="746"/>
      <c r="T344" s="747"/>
    </row>
    <row r="345" spans="1:21" ht="17" thickTop="1" thickBot="1">
      <c r="A345" s="749"/>
      <c r="B345" s="750" t="s">
        <v>51</v>
      </c>
      <c r="C345" s="751">
        <f t="shared" ref="C345:T345" si="267">SUM(C343:C344)</f>
        <v>0</v>
      </c>
      <c r="D345" s="752">
        <f t="shared" si="267"/>
        <v>42449</v>
      </c>
      <c r="E345" s="752">
        <f t="shared" si="267"/>
        <v>0</v>
      </c>
      <c r="F345" s="752">
        <f t="shared" si="267"/>
        <v>0</v>
      </c>
      <c r="G345" s="752">
        <f t="shared" si="267"/>
        <v>0</v>
      </c>
      <c r="H345" s="752">
        <f t="shared" si="267"/>
        <v>0</v>
      </c>
      <c r="I345" s="752">
        <f t="shared" ref="I345:J345" si="268">SUM(I343:I344)</f>
        <v>0</v>
      </c>
      <c r="J345" s="752">
        <f t="shared" si="268"/>
        <v>0</v>
      </c>
      <c r="K345" s="754">
        <f t="shared" si="267"/>
        <v>42449</v>
      </c>
      <c r="L345" s="751">
        <f t="shared" si="267"/>
        <v>-1661</v>
      </c>
      <c r="M345" s="752">
        <f t="shared" ref="M345:Q345" si="269">SUM(M343:M344)</f>
        <v>0</v>
      </c>
      <c r="N345" s="752">
        <f t="shared" si="269"/>
        <v>0</v>
      </c>
      <c r="O345" s="752">
        <f t="shared" si="269"/>
        <v>0</v>
      </c>
      <c r="P345" s="752">
        <f t="shared" si="269"/>
        <v>0</v>
      </c>
      <c r="Q345" s="752">
        <f t="shared" si="269"/>
        <v>0</v>
      </c>
      <c r="R345" s="752">
        <f t="shared" ref="R345:S345" si="270">SUM(R343:R344)</f>
        <v>0</v>
      </c>
      <c r="S345" s="752">
        <f t="shared" si="270"/>
        <v>0</v>
      </c>
      <c r="T345" s="754">
        <f t="shared" si="267"/>
        <v>-1661</v>
      </c>
      <c r="U345" s="748">
        <f>K345-T345</f>
        <v>44110</v>
      </c>
    </row>
    <row r="346" spans="1:21" ht="16" thickTop="1">
      <c r="B346" s="756"/>
      <c r="C346" s="734"/>
      <c r="D346" s="746"/>
      <c r="E346" s="746"/>
      <c r="F346" s="746"/>
      <c r="G346" s="746"/>
      <c r="H346" s="746"/>
      <c r="I346" s="746"/>
      <c r="J346" s="746"/>
      <c r="K346" s="747"/>
      <c r="L346" s="734"/>
      <c r="M346" s="746"/>
      <c r="N346" s="746"/>
      <c r="O346" s="746"/>
      <c r="P346" s="746"/>
      <c r="Q346" s="746"/>
      <c r="R346" s="746"/>
      <c r="S346" s="746"/>
      <c r="T346" s="747"/>
      <c r="U346" s="748"/>
    </row>
    <row r="347" spans="1:21">
      <c r="B347" s="756"/>
      <c r="C347" s="734"/>
      <c r="D347" s="746"/>
      <c r="E347" s="746"/>
      <c r="F347" s="746"/>
      <c r="G347" s="746"/>
      <c r="H347" s="746"/>
      <c r="I347" s="746"/>
      <c r="J347" s="746"/>
      <c r="K347" s="747"/>
      <c r="L347" s="734"/>
      <c r="M347" s="746"/>
      <c r="N347" s="746"/>
      <c r="O347" s="746"/>
      <c r="P347" s="746"/>
      <c r="Q347" s="746"/>
      <c r="R347" s="746"/>
      <c r="S347" s="746"/>
      <c r="T347" s="747"/>
      <c r="U347" s="748"/>
    </row>
    <row r="348" spans="1:21">
      <c r="B348" s="756"/>
      <c r="C348" s="734"/>
      <c r="D348" s="746"/>
      <c r="E348" s="746"/>
      <c r="F348" s="746"/>
      <c r="G348" s="746"/>
      <c r="H348" s="746"/>
      <c r="I348" s="746"/>
      <c r="J348" s="746"/>
      <c r="K348" s="747"/>
      <c r="L348" s="734"/>
      <c r="M348" s="746"/>
      <c r="N348" s="746"/>
      <c r="O348" s="746"/>
      <c r="P348" s="746"/>
      <c r="Q348" s="746"/>
      <c r="R348" s="746"/>
      <c r="S348" s="746"/>
      <c r="T348" s="747"/>
      <c r="U348" s="748"/>
    </row>
    <row r="349" spans="1:21">
      <c r="B349" s="756"/>
      <c r="C349" s="734"/>
      <c r="D349" s="746"/>
      <c r="E349" s="746"/>
      <c r="F349" s="746"/>
      <c r="G349" s="746"/>
      <c r="H349" s="746"/>
      <c r="I349" s="746"/>
      <c r="J349" s="746"/>
      <c r="K349" s="747"/>
      <c r="L349" s="734"/>
      <c r="M349" s="746"/>
      <c r="N349" s="746"/>
      <c r="O349" s="746"/>
      <c r="P349" s="746"/>
      <c r="Q349" s="746"/>
      <c r="R349" s="746"/>
      <c r="S349" s="746"/>
      <c r="T349" s="747"/>
      <c r="U349" s="748"/>
    </row>
    <row r="350" spans="1:21">
      <c r="B350" s="756"/>
      <c r="C350" s="734"/>
      <c r="D350" s="746"/>
      <c r="E350" s="746"/>
      <c r="F350" s="746"/>
      <c r="G350" s="746"/>
      <c r="H350" s="746"/>
      <c r="I350" s="746"/>
      <c r="J350" s="746"/>
      <c r="K350" s="747"/>
      <c r="L350" s="734"/>
      <c r="M350" s="746"/>
      <c r="N350" s="746"/>
      <c r="O350" s="746"/>
      <c r="P350" s="746"/>
      <c r="Q350" s="746"/>
      <c r="R350" s="746"/>
      <c r="S350" s="746"/>
      <c r="T350" s="747"/>
      <c r="U350" s="748"/>
    </row>
    <row r="351" spans="1:21">
      <c r="B351" s="756"/>
      <c r="C351" s="734"/>
      <c r="D351" s="746"/>
      <c r="E351" s="746"/>
      <c r="F351" s="746"/>
      <c r="G351" s="746"/>
      <c r="H351" s="746"/>
      <c r="I351" s="746"/>
      <c r="J351" s="746"/>
      <c r="K351" s="747"/>
      <c r="L351" s="734"/>
      <c r="M351" s="746"/>
      <c r="N351" s="746"/>
      <c r="O351" s="746"/>
      <c r="P351" s="746"/>
      <c r="Q351" s="746"/>
      <c r="R351" s="746"/>
      <c r="S351" s="746"/>
      <c r="T351" s="747"/>
      <c r="U351" s="748"/>
    </row>
    <row r="352" spans="1:21">
      <c r="B352" s="756"/>
      <c r="C352" s="734"/>
      <c r="D352" s="746"/>
      <c r="E352" s="746"/>
      <c r="F352" s="746"/>
      <c r="G352" s="746"/>
      <c r="H352" s="746"/>
      <c r="I352" s="746"/>
      <c r="J352" s="746"/>
      <c r="K352" s="747"/>
      <c r="L352" s="734"/>
      <c r="M352" s="746"/>
      <c r="N352" s="746"/>
      <c r="O352" s="746"/>
      <c r="P352" s="746"/>
      <c r="Q352" s="746"/>
      <c r="R352" s="746"/>
      <c r="S352" s="746"/>
      <c r="T352" s="747"/>
      <c r="U352" s="748"/>
    </row>
    <row r="353" spans="1:21">
      <c r="B353" s="756"/>
      <c r="C353" s="734"/>
      <c r="D353" s="746"/>
      <c r="E353" s="746"/>
      <c r="F353" s="746"/>
      <c r="G353" s="746"/>
      <c r="H353" s="746"/>
      <c r="I353" s="746"/>
      <c r="J353" s="746"/>
      <c r="K353" s="747"/>
      <c r="L353" s="734"/>
      <c r="M353" s="746"/>
      <c r="N353" s="746"/>
      <c r="O353" s="746"/>
      <c r="P353" s="746"/>
      <c r="Q353" s="746"/>
      <c r="R353" s="746"/>
      <c r="S353" s="746"/>
      <c r="T353" s="747"/>
      <c r="U353" s="748"/>
    </row>
    <row r="354" spans="1:21">
      <c r="B354" s="756"/>
      <c r="C354" s="734"/>
      <c r="D354" s="746"/>
      <c r="E354" s="746"/>
      <c r="F354" s="746"/>
      <c r="G354" s="746"/>
      <c r="H354" s="746"/>
      <c r="I354" s="746"/>
      <c r="J354" s="746"/>
      <c r="K354" s="747"/>
      <c r="L354" s="734"/>
      <c r="M354" s="746"/>
      <c r="N354" s="746"/>
      <c r="O354" s="746"/>
      <c r="P354" s="746"/>
      <c r="Q354" s="746"/>
      <c r="R354" s="746"/>
      <c r="S354" s="746"/>
      <c r="T354" s="747"/>
      <c r="U354" s="748"/>
    </row>
    <row r="355" spans="1:21">
      <c r="B355" s="756"/>
      <c r="C355" s="734"/>
      <c r="D355" s="746"/>
      <c r="E355" s="746"/>
      <c r="F355" s="746"/>
      <c r="G355" s="746"/>
      <c r="H355" s="746"/>
      <c r="I355" s="746"/>
      <c r="J355" s="746"/>
      <c r="K355" s="747"/>
      <c r="L355" s="734"/>
      <c r="M355" s="746"/>
      <c r="N355" s="746"/>
      <c r="O355" s="746"/>
      <c r="P355" s="746"/>
      <c r="Q355" s="746"/>
      <c r="R355" s="746"/>
      <c r="S355" s="746"/>
      <c r="T355" s="747"/>
      <c r="U355" s="748"/>
    </row>
    <row r="356" spans="1:21">
      <c r="B356" s="756"/>
      <c r="C356" s="734"/>
      <c r="D356" s="746"/>
      <c r="E356" s="746"/>
      <c r="F356" s="746"/>
      <c r="G356" s="746"/>
      <c r="H356" s="746"/>
      <c r="I356" s="746"/>
      <c r="J356" s="746"/>
      <c r="K356" s="747"/>
      <c r="L356" s="734"/>
      <c r="M356" s="746"/>
      <c r="N356" s="746"/>
      <c r="O356" s="746"/>
      <c r="P356" s="746"/>
      <c r="Q356" s="746"/>
      <c r="R356" s="746"/>
      <c r="S356" s="746"/>
      <c r="T356" s="747"/>
      <c r="U356" s="748"/>
    </row>
    <row r="357" spans="1:21">
      <c r="B357" s="756"/>
      <c r="C357" s="734"/>
      <c r="D357" s="746"/>
      <c r="E357" s="746"/>
      <c r="F357" s="746"/>
      <c r="G357" s="746"/>
      <c r="H357" s="746"/>
      <c r="I357" s="746"/>
      <c r="J357" s="746"/>
      <c r="K357" s="747"/>
      <c r="L357" s="734"/>
      <c r="M357" s="746"/>
      <c r="N357" s="746"/>
      <c r="O357" s="746"/>
      <c r="P357" s="746"/>
      <c r="Q357" s="746"/>
      <c r="R357" s="746"/>
      <c r="S357" s="746"/>
      <c r="T357" s="747"/>
      <c r="U357" s="748"/>
    </row>
    <row r="358" spans="1:21">
      <c r="B358" s="756"/>
      <c r="C358" s="734"/>
      <c r="D358" s="746"/>
      <c r="E358" s="746"/>
      <c r="F358" s="746"/>
      <c r="G358" s="746"/>
      <c r="H358" s="746"/>
      <c r="I358" s="746"/>
      <c r="J358" s="746"/>
      <c r="K358" s="747"/>
      <c r="L358" s="734"/>
      <c r="M358" s="746"/>
      <c r="N358" s="746"/>
      <c r="O358" s="746"/>
      <c r="P358" s="746"/>
      <c r="Q358" s="746"/>
      <c r="R358" s="746"/>
      <c r="S358" s="746"/>
      <c r="T358" s="747"/>
      <c r="U358" s="748"/>
    </row>
    <row r="359" spans="1:21">
      <c r="B359" s="756"/>
      <c r="C359" s="734"/>
      <c r="D359" s="746"/>
      <c r="E359" s="746"/>
      <c r="F359" s="746"/>
      <c r="G359" s="746"/>
      <c r="H359" s="746"/>
      <c r="I359" s="746"/>
      <c r="J359" s="746"/>
      <c r="K359" s="747"/>
      <c r="L359" s="734"/>
      <c r="M359" s="746"/>
      <c r="N359" s="746"/>
      <c r="O359" s="746"/>
      <c r="P359" s="746"/>
      <c r="Q359" s="746"/>
      <c r="R359" s="746"/>
      <c r="S359" s="746"/>
      <c r="T359" s="747"/>
      <c r="U359" s="748"/>
    </row>
    <row r="360" spans="1:21">
      <c r="B360" s="756"/>
      <c r="C360" s="734"/>
      <c r="D360" s="746"/>
      <c r="E360" s="746"/>
      <c r="F360" s="746"/>
      <c r="G360" s="746"/>
      <c r="H360" s="746"/>
      <c r="I360" s="746"/>
      <c r="J360" s="746"/>
      <c r="K360" s="747"/>
      <c r="L360" s="734"/>
      <c r="M360" s="746"/>
      <c r="N360" s="746"/>
      <c r="O360" s="746"/>
      <c r="P360" s="746"/>
      <c r="Q360" s="746"/>
      <c r="R360" s="746"/>
      <c r="S360" s="746"/>
      <c r="T360" s="747"/>
      <c r="U360" s="748"/>
    </row>
    <row r="361" spans="1:21">
      <c r="B361" s="756"/>
      <c r="C361" s="734"/>
      <c r="D361" s="746"/>
      <c r="E361" s="746"/>
      <c r="F361" s="746"/>
      <c r="G361" s="746"/>
      <c r="H361" s="746"/>
      <c r="I361" s="746"/>
      <c r="J361" s="746"/>
      <c r="K361" s="747"/>
      <c r="L361" s="734"/>
      <c r="M361" s="746"/>
      <c r="N361" s="746"/>
      <c r="O361" s="746"/>
      <c r="P361" s="746"/>
      <c r="Q361" s="746"/>
      <c r="R361" s="746"/>
      <c r="S361" s="746"/>
      <c r="T361" s="747"/>
      <c r="U361" s="748"/>
    </row>
    <row r="362" spans="1:21">
      <c r="A362" s="269"/>
      <c r="B362" s="745"/>
      <c r="C362" s="734"/>
      <c r="D362" s="746"/>
      <c r="E362" s="746"/>
      <c r="F362" s="746"/>
      <c r="G362" s="746"/>
      <c r="H362" s="746"/>
      <c r="I362" s="746"/>
      <c r="J362" s="746"/>
      <c r="K362" s="747"/>
      <c r="L362" s="734"/>
      <c r="M362" s="746"/>
      <c r="N362" s="746"/>
      <c r="O362" s="746"/>
      <c r="P362" s="746"/>
      <c r="Q362" s="746"/>
      <c r="R362" s="746"/>
      <c r="S362" s="746"/>
      <c r="T362" s="747"/>
    </row>
    <row r="363" spans="1:21" ht="23.25" customHeight="1"/>
    <row r="364" spans="1:21" s="217" customFormat="1" ht="12.75" customHeight="1">
      <c r="A364" s="760" t="s">
        <v>1351</v>
      </c>
      <c r="C364" s="334">
        <f t="shared" ref="C364:J364" si="271">+C10+C20+C25+C35+C40+C55+C59+C64</f>
        <v>66566759.589999996</v>
      </c>
      <c r="D364" s="334">
        <f t="shared" si="271"/>
        <v>37166</v>
      </c>
      <c r="E364" s="334">
        <f t="shared" si="271"/>
        <v>160933.93000000002</v>
      </c>
      <c r="F364" s="334">
        <f t="shared" si="271"/>
        <v>-125415.76</v>
      </c>
      <c r="G364" s="334">
        <f t="shared" si="271"/>
        <v>91394.09</v>
      </c>
      <c r="H364" s="334">
        <f t="shared" si="271"/>
        <v>-95909.75</v>
      </c>
      <c r="I364" s="334">
        <f t="shared" si="271"/>
        <v>406946.2</v>
      </c>
      <c r="J364" s="334">
        <f t="shared" si="271"/>
        <v>49836.650000000009</v>
      </c>
      <c r="K364" s="747">
        <f>SUBTOTAL(9,C364:J364)</f>
        <v>67091710.950000003</v>
      </c>
      <c r="L364" s="334">
        <f t="shared" ref="L364:S364" si="272">+L10+L20+L25+L35+L40+L55+L59+L64</f>
        <v>62276388.740000002</v>
      </c>
      <c r="M364" s="334">
        <f t="shared" si="272"/>
        <v>40000</v>
      </c>
      <c r="N364" s="334">
        <f t="shared" si="272"/>
        <v>316788</v>
      </c>
      <c r="O364" s="334">
        <f t="shared" si="272"/>
        <v>-196417</v>
      </c>
      <c r="P364" s="334">
        <f t="shared" si="272"/>
        <v>3810060</v>
      </c>
      <c r="Q364" s="334">
        <f t="shared" si="272"/>
        <v>-9378</v>
      </c>
      <c r="R364" s="334">
        <f t="shared" si="272"/>
        <v>0</v>
      </c>
      <c r="S364" s="334">
        <f t="shared" si="272"/>
        <v>0</v>
      </c>
      <c r="T364" s="747">
        <f>SUBTOTAL(9,L364:S364)</f>
        <v>66237441.740000002</v>
      </c>
      <c r="U364" s="748"/>
    </row>
    <row r="365" spans="1:21" s="217" customFormat="1" ht="16">
      <c r="A365" s="760" t="s">
        <v>1352</v>
      </c>
      <c r="C365" s="334">
        <f t="shared" ref="C365:J365" si="273">+C87+C96+C113+C121+C126+C131+C135+C141+C148+C152++C157+C168+C174+C179+C183+C187+C192+C198+C204+C209+C213+C220+C224+C232+C239+C243+C247+C251+C256+C266+C270+C277+C281+C286+C290+C294+C335+0+C340+C345+C304+C261</f>
        <v>135851418.88</v>
      </c>
      <c r="D365" s="334">
        <f t="shared" si="273"/>
        <v>668910.33333333349</v>
      </c>
      <c r="E365" s="334">
        <f t="shared" si="273"/>
        <v>609309.6</v>
      </c>
      <c r="F365" s="334">
        <f t="shared" si="273"/>
        <v>-499752.76</v>
      </c>
      <c r="G365" s="334">
        <f t="shared" si="273"/>
        <v>-492509.76</v>
      </c>
      <c r="H365" s="334">
        <f t="shared" si="273"/>
        <v>-110322.08333333333</v>
      </c>
      <c r="I365" s="334">
        <f t="shared" si="273"/>
        <v>650600.92000000004</v>
      </c>
      <c r="J365" s="334">
        <f t="shared" si="273"/>
        <v>-264875.69000000006</v>
      </c>
      <c r="K365" s="747">
        <f t="shared" ref="K365:K367" si="274">SUBTOTAL(9,C365:J365)</f>
        <v>136412779.44</v>
      </c>
      <c r="L365" s="334">
        <f t="shared" ref="L365:S365" si="275">+L87+L96+L113+L121+L126+L131+L135+L141+L148+L152++L157+L168+L174+L179+L183+L187+L192+L198+L204+L209+L213+L220+L224+L232+L239+L243+L247+L251+L256+L266+L270+L277+L281+L286+L290+L294+L335+0+L340+L345+L304+L261</f>
        <v>122195271.07958904</v>
      </c>
      <c r="M365" s="334">
        <f t="shared" si="275"/>
        <v>612327</v>
      </c>
      <c r="N365" s="334">
        <f t="shared" si="275"/>
        <v>332627</v>
      </c>
      <c r="O365" s="334">
        <f t="shared" si="275"/>
        <v>-201412</v>
      </c>
      <c r="P365" s="334">
        <f t="shared" si="275"/>
        <v>4881707</v>
      </c>
      <c r="Q365" s="334">
        <f t="shared" si="275"/>
        <v>-9378</v>
      </c>
      <c r="R365" s="334">
        <f t="shared" si="275"/>
        <v>0</v>
      </c>
      <c r="S365" s="334">
        <f t="shared" si="275"/>
        <v>0</v>
      </c>
      <c r="T365" s="747">
        <f t="shared" ref="T365" si="276">SUBTOTAL(9,L365:S365)</f>
        <v>127811142.07958904</v>
      </c>
      <c r="U365" s="748"/>
    </row>
    <row r="366" spans="1:21" s="217" customFormat="1" ht="16">
      <c r="A366" s="760" t="s">
        <v>1353</v>
      </c>
      <c r="C366" s="334">
        <f>+C364-C365</f>
        <v>-69284659.289999992</v>
      </c>
      <c r="D366" s="334">
        <f t="shared" ref="D366:H366" si="277">+D364-D365</f>
        <v>-631744.33333333349</v>
      </c>
      <c r="E366" s="334">
        <f t="shared" si="277"/>
        <v>-448375.66999999993</v>
      </c>
      <c r="F366" s="334">
        <f t="shared" si="277"/>
        <v>374337</v>
      </c>
      <c r="G366" s="334">
        <f t="shared" si="277"/>
        <v>583903.85</v>
      </c>
      <c r="H366" s="334">
        <f t="shared" si="277"/>
        <v>14412.333333333328</v>
      </c>
      <c r="I366" s="334">
        <f t="shared" ref="I366" si="278">+I364-I365</f>
        <v>-243654.72000000003</v>
      </c>
      <c r="J366" s="334">
        <f t="shared" ref="J366" si="279">+J364-J365</f>
        <v>314712.34000000008</v>
      </c>
      <c r="K366" s="747">
        <f>K364-K365</f>
        <v>-69321068.489999995</v>
      </c>
      <c r="L366" s="334">
        <f>+L364-L365</f>
        <v>-59918882.339589037</v>
      </c>
      <c r="M366" s="334">
        <f t="shared" ref="M366:T366" si="280">+M364-M365</f>
        <v>-572327</v>
      </c>
      <c r="N366" s="334">
        <f t="shared" si="280"/>
        <v>-15839</v>
      </c>
      <c r="O366" s="334">
        <f t="shared" si="280"/>
        <v>4995</v>
      </c>
      <c r="P366" s="334">
        <f t="shared" si="280"/>
        <v>-1071647</v>
      </c>
      <c r="Q366" s="334">
        <f t="shared" si="280"/>
        <v>0</v>
      </c>
      <c r="R366" s="334">
        <f t="shared" ref="R366:S366" si="281">+R364-R365</f>
        <v>0</v>
      </c>
      <c r="S366" s="334">
        <f t="shared" si="281"/>
        <v>0</v>
      </c>
      <c r="T366" s="747">
        <f t="shared" si="280"/>
        <v>-61573700.339589037</v>
      </c>
      <c r="U366" s="748"/>
    </row>
    <row r="367" spans="1:21" s="217" customFormat="1">
      <c r="A367" s="760"/>
      <c r="C367" s="334">
        <v>-69908947</v>
      </c>
      <c r="D367" s="334">
        <f>D366</f>
        <v>-631744.33333333349</v>
      </c>
      <c r="E367" s="334">
        <v>-448376</v>
      </c>
      <c r="F367" s="334">
        <f>F366</f>
        <v>374337</v>
      </c>
      <c r="G367" s="334">
        <v>583903</v>
      </c>
      <c r="H367" s="334">
        <f>H366</f>
        <v>14412.333333333328</v>
      </c>
      <c r="I367" s="334">
        <v>-243654</v>
      </c>
      <c r="J367" s="334">
        <f>J366</f>
        <v>314712.34000000008</v>
      </c>
      <c r="K367" s="747">
        <f t="shared" si="274"/>
        <v>-69945356.659999996</v>
      </c>
      <c r="L367" s="334">
        <v>-59907919.829999991</v>
      </c>
      <c r="M367" s="334">
        <v>2414927.4904109589</v>
      </c>
      <c r="N367" s="334">
        <v>-15839</v>
      </c>
      <c r="O367" s="334">
        <v>4995</v>
      </c>
      <c r="P367" s="334">
        <v>-1071433</v>
      </c>
      <c r="Q367" s="334">
        <v>0</v>
      </c>
      <c r="R367" s="334"/>
      <c r="S367" s="334"/>
      <c r="T367" s="747">
        <f>SUBTOTAL(9,L367:S367)</f>
        <v>-58575269.33958903</v>
      </c>
      <c r="U367" s="748"/>
    </row>
    <row r="368" spans="1:21" s="217" customFormat="1">
      <c r="A368" s="760"/>
      <c r="C368" s="334">
        <f t="shared" ref="C368:H368" si="282">+C366-C367</f>
        <v>624287.71000000834</v>
      </c>
      <c r="D368" s="334">
        <f t="shared" si="282"/>
        <v>0</v>
      </c>
      <c r="E368" s="334">
        <f t="shared" si="282"/>
        <v>0.33000000007450581</v>
      </c>
      <c r="F368" s="334">
        <f t="shared" si="282"/>
        <v>0</v>
      </c>
      <c r="G368" s="334">
        <f t="shared" si="282"/>
        <v>0.84999999997671694</v>
      </c>
      <c r="H368" s="334">
        <f t="shared" si="282"/>
        <v>0</v>
      </c>
      <c r="I368" s="334">
        <f t="shared" ref="I368" si="283">+I366-I367</f>
        <v>-0.72000000003026798</v>
      </c>
      <c r="J368" s="334">
        <f t="shared" ref="J368" si="284">+J366-J367</f>
        <v>0</v>
      </c>
      <c r="K368" s="747">
        <f>K366-K367</f>
        <v>624288.17000000179</v>
      </c>
      <c r="L368" s="334">
        <f t="shared" ref="L368:Q368" si="285">+L366-L367</f>
        <v>-10962.50958904624</v>
      </c>
      <c r="M368" s="334">
        <f t="shared" si="285"/>
        <v>-2987254.4904109589</v>
      </c>
      <c r="N368" s="334">
        <f t="shared" si="285"/>
        <v>0</v>
      </c>
      <c r="O368" s="334">
        <f t="shared" si="285"/>
        <v>0</v>
      </c>
      <c r="P368" s="334">
        <f t="shared" si="285"/>
        <v>-214</v>
      </c>
      <c r="Q368" s="334">
        <f t="shared" si="285"/>
        <v>0</v>
      </c>
      <c r="R368" s="334">
        <f t="shared" ref="R368:S368" si="286">+R366-R367</f>
        <v>0</v>
      </c>
      <c r="S368" s="334">
        <f t="shared" si="286"/>
        <v>0</v>
      </c>
      <c r="T368" s="747">
        <f>SUBTOTAL(9,L368:Q368)</f>
        <v>-2998431.0000000051</v>
      </c>
      <c r="U368" s="748">
        <f>C366+J366</f>
        <v>-68969946.949999988</v>
      </c>
    </row>
    <row r="369" spans="1:21" s="217" customFormat="1">
      <c r="A369" s="760"/>
      <c r="C369" s="334"/>
      <c r="D369" s="334"/>
      <c r="E369" s="334"/>
      <c r="F369" s="334"/>
      <c r="G369" s="334"/>
      <c r="H369" s="334"/>
      <c r="I369" s="334"/>
      <c r="J369" s="334"/>
      <c r="K369" s="334"/>
      <c r="L369" s="334"/>
      <c r="M369" s="334"/>
      <c r="N369" s="334"/>
      <c r="O369" s="334"/>
      <c r="P369" s="334"/>
      <c r="Q369" s="334"/>
      <c r="R369" s="334"/>
      <c r="S369" s="334"/>
      <c r="T369" s="334"/>
      <c r="U369" s="217">
        <v>65915417</v>
      </c>
    </row>
    <row r="370" spans="1:21" s="217" customFormat="1">
      <c r="A370" s="760"/>
      <c r="C370" s="334"/>
      <c r="D370" s="334"/>
      <c r="E370" s="334"/>
      <c r="F370" s="334"/>
      <c r="G370" s="334"/>
      <c r="H370" s="334"/>
      <c r="I370" s="334"/>
      <c r="J370" s="334"/>
      <c r="K370" s="334"/>
      <c r="L370" s="334"/>
      <c r="M370" s="334"/>
      <c r="N370" s="334"/>
      <c r="O370" s="334"/>
      <c r="P370" s="334"/>
      <c r="Q370" s="334"/>
      <c r="R370" s="334"/>
      <c r="S370" s="334"/>
      <c r="T370" s="334"/>
      <c r="U370" s="217">
        <f>SUM(U368:U369)</f>
        <v>-3054529.9499999881</v>
      </c>
    </row>
  </sheetData>
  <autoFilter ref="A5:Y362" xr:uid="{CD997045-84DB-47A0-9CFF-DDDE53DE6BA6}"/>
  <mergeCells count="2">
    <mergeCell ref="C4:K4"/>
    <mergeCell ref="L4:T4"/>
  </mergeCells>
  <conditionalFormatting sqref="A1:A1048576">
    <cfRule type="duplicateValues" dxfId="3" priority="1"/>
    <cfRule type="duplicateValues" dxfId="2" priority="2"/>
  </conditionalFormatting>
  <hyperlinks>
    <hyperlink ref="A79" r:id="rId1" xr:uid="{CBC1B007-DA8C-441B-BF2C-D95FCE376776}"/>
    <hyperlink ref="A81" r:id="rId2" display="Purchase@0%" xr:uid="{F33251A1-CACA-498D-BCE4-D6B7A4B73CFD}"/>
    <hyperlink ref="A85" r:id="rId3" display="Purchase@0%" xr:uid="{5BDD8889-7EAB-4F9E-817C-04C87ACDAD3A}"/>
    <hyperlink ref="A82" r:id="rId4" display="Purchase@0%" xr:uid="{806EE4EE-9ABF-458E-9A4A-CFCFDB6F2517}"/>
    <hyperlink ref="A84" r:id="rId5" display="Purchase@0%" xr:uid="{35D3F286-1F1E-47BF-BE54-3232F90C67F7}"/>
    <hyperlink ref="A83" r:id="rId6" display="Purchase@0%" xr:uid="{C2D63C0B-B7F7-4A29-9BEE-E67E86A15422}"/>
  </hyperlinks>
  <pageMargins left="0.7" right="0.7" top="0.75" bottom="0.75" header="0.3" footer="0.3"/>
  <pageSetup paperSize="9" orientation="portrait" r:id="rId7"/>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E8ACC-1C30-46CF-BE44-2A8CEABF6180}">
  <dimension ref="A1:L193"/>
  <sheetViews>
    <sheetView workbookViewId="0">
      <pane xSplit="3" ySplit="10" topLeftCell="D33" activePane="bottomRight" state="frozen"/>
      <selection activeCell="B25" sqref="B25"/>
      <selection pane="topRight" activeCell="B25" sqref="B25"/>
      <selection pane="bottomLeft" activeCell="B25" sqref="B25"/>
      <selection pane="bottomRight" activeCell="B25" sqref="B25"/>
    </sheetView>
  </sheetViews>
  <sheetFormatPr baseColWidth="10" defaultColWidth="9.1640625" defaultRowHeight="15"/>
  <cols>
    <col min="1" max="1" width="49.83203125" style="215" bestFit="1" customWidth="1"/>
    <col min="2" max="3" width="12.5" style="215" bestFit="1" customWidth="1"/>
    <col min="4" max="5" width="9.1640625" style="215"/>
    <col min="6" max="6" width="10.6640625" style="215" bestFit="1" customWidth="1"/>
    <col min="7" max="7" width="12.6640625" style="215" bestFit="1" customWidth="1"/>
    <col min="8" max="8" width="9.33203125" style="215" bestFit="1" customWidth="1"/>
    <col min="9" max="9" width="12" style="215" bestFit="1" customWidth="1"/>
    <col min="10" max="11" width="9.33203125" style="215" bestFit="1" customWidth="1"/>
    <col min="12" max="12" width="11.6640625" style="215" bestFit="1" customWidth="1"/>
    <col min="13" max="16384" width="9.1640625" style="215"/>
  </cols>
  <sheetData>
    <row r="1" spans="1:11" ht="16">
      <c r="A1" s="1051" t="s">
        <v>544</v>
      </c>
      <c r="B1" s="1051"/>
      <c r="C1" s="1051"/>
    </row>
    <row r="2" spans="1:11">
      <c r="A2" s="1052" t="s">
        <v>96</v>
      </c>
      <c r="B2" s="1052"/>
      <c r="C2" s="1052"/>
      <c r="G2" s="215">
        <v>188986</v>
      </c>
      <c r="I2" s="215" t="s">
        <v>1578</v>
      </c>
    </row>
    <row r="3" spans="1:11">
      <c r="A3" s="1052" t="s">
        <v>1251</v>
      </c>
      <c r="B3" s="1052"/>
      <c r="C3" s="1052"/>
      <c r="G3" s="215">
        <v>1661</v>
      </c>
    </row>
    <row r="4" spans="1:11">
      <c r="A4" s="1053" t="s">
        <v>1252</v>
      </c>
      <c r="B4" s="1053"/>
      <c r="C4" s="1053"/>
      <c r="H4" s="215">
        <v>190647</v>
      </c>
    </row>
    <row r="5" spans="1:11" ht="16">
      <c r="A5" s="1054" t="s">
        <v>98</v>
      </c>
      <c r="B5" s="1054"/>
      <c r="C5" s="1054"/>
    </row>
    <row r="6" spans="1:11">
      <c r="A6" s="1052" t="s">
        <v>1515</v>
      </c>
      <c r="B6" s="1052"/>
      <c r="C6" s="1052"/>
    </row>
    <row r="7" spans="1:11" ht="15" customHeight="1">
      <c r="A7" s="662" t="s">
        <v>99</v>
      </c>
      <c r="B7" s="1045" t="s">
        <v>545</v>
      </c>
      <c r="C7" s="1046"/>
    </row>
    <row r="8" spans="1:11" ht="15" customHeight="1">
      <c r="A8" s="667" t="s">
        <v>0</v>
      </c>
      <c r="B8" s="1047" t="s">
        <v>1515</v>
      </c>
      <c r="C8" s="1048"/>
    </row>
    <row r="9" spans="1:11">
      <c r="A9" s="667" t="s">
        <v>99</v>
      </c>
      <c r="B9" s="1049" t="s">
        <v>100</v>
      </c>
      <c r="C9" s="1050"/>
      <c r="D9" s="677" t="s">
        <v>77</v>
      </c>
      <c r="E9" s="677"/>
      <c r="F9" s="677" t="s">
        <v>1036</v>
      </c>
      <c r="G9" s="677"/>
    </row>
    <row r="10" spans="1:11">
      <c r="A10" s="675" t="s">
        <v>99</v>
      </c>
      <c r="B10" s="676" t="s">
        <v>101</v>
      </c>
      <c r="C10" s="676" t="s">
        <v>102</v>
      </c>
      <c r="D10" s="710" t="s">
        <v>101</v>
      </c>
      <c r="E10" s="710" t="s">
        <v>102</v>
      </c>
      <c r="F10" s="710" t="s">
        <v>101</v>
      </c>
      <c r="G10" s="710" t="s">
        <v>102</v>
      </c>
      <c r="H10" s="215">
        <v>0</v>
      </c>
      <c r="I10" s="215" t="s">
        <v>1561</v>
      </c>
      <c r="J10" s="215">
        <v>0</v>
      </c>
      <c r="K10" s="215" t="s">
        <v>464</v>
      </c>
    </row>
    <row r="11" spans="1:11">
      <c r="A11" s="677" t="s">
        <v>103</v>
      </c>
      <c r="B11" s="679">
        <v>42201187.479999997</v>
      </c>
      <c r="C11" s="679">
        <v>241728641</v>
      </c>
    </row>
    <row r="12" spans="1:11">
      <c r="A12" s="682" t="s">
        <v>561</v>
      </c>
      <c r="B12" s="689">
        <v>91155</v>
      </c>
      <c r="C12" s="689">
        <v>177283108</v>
      </c>
      <c r="G12" s="711">
        <f>+C12-B12+E12-D12</f>
        <v>177191953</v>
      </c>
      <c r="I12" s="215" t="str">
        <f>VLOOKUP(A12,'BS Grouping'!A:A,1,)</f>
        <v>Reserves &amp; Surplus</v>
      </c>
    </row>
    <row r="13" spans="1:11">
      <c r="A13" s="682" t="s">
        <v>372</v>
      </c>
      <c r="B13" s="689">
        <v>42110032.479999997</v>
      </c>
      <c r="C13" s="694"/>
      <c r="G13" s="711">
        <f t="shared" ref="G13:G15" si="0">+C13-B13+E13-D13</f>
        <v>-42110032.479999997</v>
      </c>
      <c r="I13" s="215" t="str">
        <f>VLOOKUP(A13,'BS Grouping'!A:A,1,)</f>
        <v>Other Equity</v>
      </c>
    </row>
    <row r="14" spans="1:11">
      <c r="A14" s="692" t="s">
        <v>104</v>
      </c>
      <c r="B14" s="691"/>
      <c r="C14" s="660">
        <v>59945140</v>
      </c>
      <c r="G14" s="711">
        <f t="shared" si="0"/>
        <v>59945140</v>
      </c>
      <c r="I14" s="215" t="str">
        <f>VLOOKUP(A14,'BS Grouping'!A:A,1,)</f>
        <v>Equity Share Capital</v>
      </c>
    </row>
    <row r="15" spans="1:11">
      <c r="A15" s="692" t="s">
        <v>1130</v>
      </c>
      <c r="B15" s="691"/>
      <c r="C15" s="660">
        <v>4500393</v>
      </c>
      <c r="G15" s="711">
        <f t="shared" si="0"/>
        <v>4500393</v>
      </c>
      <c r="I15" s="215" t="str">
        <f>VLOOKUP(A15,'BS Grouping'!A:A,1,)</f>
        <v>General Reserve</v>
      </c>
    </row>
    <row r="16" spans="1:11">
      <c r="A16" s="677" t="s">
        <v>105</v>
      </c>
      <c r="B16" s="696"/>
      <c r="C16" s="703">
        <v>14709607.189999999</v>
      </c>
      <c r="I16" s="215" t="e">
        <f>VLOOKUP(A16,'BS Grouping'!A:A,1,)</f>
        <v>#N/A</v>
      </c>
    </row>
    <row r="17" spans="1:9">
      <c r="A17" s="682" t="s">
        <v>106</v>
      </c>
      <c r="B17" s="727"/>
      <c r="C17" s="712">
        <v>8952052.5</v>
      </c>
      <c r="I17" s="215" t="e">
        <f>VLOOKUP(A17,'BS Grouping'!A:A,1,)</f>
        <v>#N/A</v>
      </c>
    </row>
    <row r="18" spans="1:9">
      <c r="A18" s="713" t="s">
        <v>1516</v>
      </c>
      <c r="B18" s="694"/>
      <c r="C18" s="689">
        <v>8952052.5</v>
      </c>
      <c r="G18" s="711">
        <f t="shared" ref="G18:G36" si="1">+C18-B18+E18-D18</f>
        <v>8952052.5</v>
      </c>
      <c r="I18" s="215" t="str">
        <f>VLOOKUP(A18,'BS Grouping'!A:A,1,)</f>
        <v>HDFC O/D 6905</v>
      </c>
    </row>
    <row r="19" spans="1:9">
      <c r="A19" s="692" t="s">
        <v>1517</v>
      </c>
      <c r="B19" s="691"/>
      <c r="C19" s="660">
        <v>5757554.6900000004</v>
      </c>
      <c r="G19" s="711">
        <f t="shared" si="1"/>
        <v>5757554.6900000004</v>
      </c>
      <c r="I19" s="215" t="str">
        <f>VLOOKUP(A19,'BS Grouping'!A:A,1,)</f>
        <v>Kudos Finance Ltd - Getvantage</v>
      </c>
    </row>
    <row r="20" spans="1:9">
      <c r="A20" s="677" t="s">
        <v>110</v>
      </c>
      <c r="B20" s="703">
        <v>25047053.780000001</v>
      </c>
      <c r="C20" s="703">
        <v>56182173.219999999</v>
      </c>
      <c r="G20" s="711">
        <f t="shared" si="1"/>
        <v>31135119.439999998</v>
      </c>
      <c r="I20" s="215" t="e">
        <f>VLOOKUP(A20,'BS Grouping'!A:A,1,)</f>
        <v>#N/A</v>
      </c>
    </row>
    <row r="21" spans="1:9">
      <c r="A21" s="682" t="s">
        <v>111</v>
      </c>
      <c r="B21" s="689">
        <v>24882055.859999999</v>
      </c>
      <c r="C21" s="689">
        <v>2097593.9</v>
      </c>
      <c r="F21" s="215">
        <f>+B21+D21-C21-E21</f>
        <v>22784461.960000001</v>
      </c>
      <c r="G21" s="711"/>
      <c r="I21" s="215" t="str">
        <f>VLOOKUP(A21,'BS Grouping'!A:A,1,)</f>
        <v>Duties &amp; Taxes</v>
      </c>
    </row>
    <row r="22" spans="1:9">
      <c r="A22" s="682" t="s">
        <v>115</v>
      </c>
      <c r="B22" s="689">
        <v>164997.5</v>
      </c>
      <c r="C22" s="689">
        <v>49066772.32</v>
      </c>
      <c r="G22" s="711">
        <f t="shared" si="1"/>
        <v>48901774.82</v>
      </c>
      <c r="I22" s="215" t="str">
        <f>VLOOKUP(A22,'BS Grouping'!A:A,1,)</f>
        <v>Sundry Creditors</v>
      </c>
    </row>
    <row r="23" spans="1:9">
      <c r="A23" s="692" t="s">
        <v>118</v>
      </c>
      <c r="B23" s="691"/>
      <c r="C23" s="660">
        <v>458087</v>
      </c>
      <c r="G23" s="711">
        <f t="shared" si="1"/>
        <v>458087</v>
      </c>
      <c r="I23" s="215" t="str">
        <f>VLOOKUP(A23,'BS Grouping'!A:A,1,)</f>
        <v>Bonus Payable</v>
      </c>
    </row>
    <row r="24" spans="1:9">
      <c r="A24" s="692" t="s">
        <v>121</v>
      </c>
      <c r="B24" s="691"/>
      <c r="C24" s="660">
        <v>1517</v>
      </c>
      <c r="G24" s="711">
        <f t="shared" si="1"/>
        <v>1517</v>
      </c>
      <c r="I24" s="215" t="str">
        <f>VLOOKUP(A24,'BS Grouping'!A:A,1,)</f>
        <v>Corporate Credit Card No 4718 6501 0001 4304</v>
      </c>
    </row>
    <row r="25" spans="1:9">
      <c r="A25" s="692" t="s">
        <v>122</v>
      </c>
      <c r="B25" s="691"/>
      <c r="C25" s="660">
        <v>2302</v>
      </c>
      <c r="G25" s="711">
        <f t="shared" si="1"/>
        <v>2302</v>
      </c>
      <c r="I25" s="215" t="str">
        <f>VLOOKUP(A25,'BS Grouping'!A:A,1,)</f>
        <v>Deposit Linked Insurance @ 0.50%</v>
      </c>
    </row>
    <row r="26" spans="1:9">
      <c r="A26" s="692" t="s">
        <v>1518</v>
      </c>
      <c r="B26" s="660">
        <v>0.42</v>
      </c>
      <c r="C26" s="691"/>
      <c r="G26" s="711">
        <f t="shared" si="1"/>
        <v>-0.42</v>
      </c>
      <c r="I26" s="215" t="e">
        <f>VLOOKUP(A26,'BS Grouping'!A:A,1,)</f>
        <v>#N/A</v>
      </c>
    </row>
    <row r="27" spans="1:9">
      <c r="A27" s="692" t="s">
        <v>1255</v>
      </c>
      <c r="B27" s="691"/>
      <c r="C27" s="660">
        <v>687</v>
      </c>
      <c r="G27" s="711">
        <f t="shared" si="1"/>
        <v>687</v>
      </c>
      <c r="I27" s="215" t="str">
        <f>VLOOKUP(A27,'BS Grouping'!A:A,1,)</f>
        <v>ESIC 0.75%</v>
      </c>
    </row>
    <row r="28" spans="1:9">
      <c r="A28" s="692" t="s">
        <v>117</v>
      </c>
      <c r="B28" s="691"/>
      <c r="C28" s="660">
        <v>242136</v>
      </c>
      <c r="G28" s="711">
        <f t="shared" si="1"/>
        <v>242136</v>
      </c>
      <c r="I28" s="215" t="str">
        <f>VLOOKUP(A28,'BS Grouping'!A:A,1,)</f>
        <v>Outstanding Expenses</v>
      </c>
    </row>
    <row r="29" spans="1:9">
      <c r="A29" s="692" t="s">
        <v>548</v>
      </c>
      <c r="B29" s="691"/>
      <c r="C29" s="660">
        <v>2838</v>
      </c>
      <c r="G29" s="711">
        <f t="shared" si="1"/>
        <v>2838</v>
      </c>
      <c r="I29" s="215" t="str">
        <f>VLOOKUP(A29,'BS Grouping'!A:A,1,)</f>
        <v>PF Admin Charges @ 0.50%</v>
      </c>
    </row>
    <row r="30" spans="1:9">
      <c r="A30" s="692" t="s">
        <v>125</v>
      </c>
      <c r="B30" s="691"/>
      <c r="C30" s="660">
        <v>67457</v>
      </c>
      <c r="G30" s="711">
        <f t="shared" si="1"/>
        <v>67457</v>
      </c>
      <c r="I30" s="215" t="str">
        <f>VLOOKUP(A30,'BS Grouping'!A:A,1,)</f>
        <v>PF Employees Contribution @ 12%</v>
      </c>
    </row>
    <row r="31" spans="1:9">
      <c r="A31" s="692" t="s">
        <v>126</v>
      </c>
      <c r="B31" s="691"/>
      <c r="C31" s="660">
        <v>67457</v>
      </c>
      <c r="G31" s="711">
        <f t="shared" si="1"/>
        <v>67457</v>
      </c>
      <c r="I31" s="215" t="str">
        <f>VLOOKUP(A31,'BS Grouping'!A:A,1,)</f>
        <v>PF Payable</v>
      </c>
    </row>
    <row r="32" spans="1:9">
      <c r="A32" s="692" t="s">
        <v>127</v>
      </c>
      <c r="B32" s="691"/>
      <c r="C32" s="660">
        <v>477450</v>
      </c>
      <c r="G32" s="711">
        <f t="shared" si="1"/>
        <v>477450</v>
      </c>
      <c r="I32" s="215" t="str">
        <f>VLOOKUP(A32,'BS Grouping'!A:A,1,)</f>
        <v>Provision for Gratuity</v>
      </c>
    </row>
    <row r="33" spans="1:12">
      <c r="A33" s="692" t="s">
        <v>129</v>
      </c>
      <c r="B33" s="691"/>
      <c r="C33" s="660">
        <v>1312847</v>
      </c>
      <c r="G33" s="711">
        <f t="shared" si="1"/>
        <v>1312847</v>
      </c>
      <c r="I33" s="215" t="str">
        <f>VLOOKUP(A33,'BS Grouping'!A:A,1,)</f>
        <v>Provision for Leave Benefits</v>
      </c>
    </row>
    <row r="34" spans="1:12">
      <c r="A34" s="692" t="s">
        <v>1519</v>
      </c>
      <c r="B34" s="691"/>
      <c r="C34" s="660">
        <v>876273</v>
      </c>
      <c r="F34" s="714"/>
      <c r="G34" s="711">
        <f t="shared" si="1"/>
        <v>876273</v>
      </c>
      <c r="I34" s="215" t="str">
        <f>VLOOKUP(A34,'BS Grouping'!A:A,1,)</f>
        <v>ROU Lease Liability</v>
      </c>
    </row>
    <row r="35" spans="1:12">
      <c r="A35" s="692" t="s">
        <v>1028</v>
      </c>
      <c r="B35" s="691"/>
      <c r="C35" s="660">
        <v>1472312</v>
      </c>
      <c r="G35" s="711">
        <f t="shared" si="1"/>
        <v>1472312</v>
      </c>
      <c r="I35" s="215" t="str">
        <f>VLOOKUP(A35,'BS Grouping'!A:A,1,)</f>
        <v>Salary Payable</v>
      </c>
    </row>
    <row r="36" spans="1:12">
      <c r="A36" s="692" t="s">
        <v>1520</v>
      </c>
      <c r="B36" s="691"/>
      <c r="C36" s="660">
        <v>36444</v>
      </c>
      <c r="G36" s="711">
        <f t="shared" si="1"/>
        <v>36444</v>
      </c>
      <c r="I36" s="215" t="str">
        <f>VLOOKUP(A36,'BS Grouping'!A:A,1,)</f>
        <v>Stipend Payable</v>
      </c>
    </row>
    <row r="37" spans="1:12">
      <c r="A37" s="677" t="s">
        <v>131</v>
      </c>
      <c r="B37" s="703">
        <v>22922259.539999999</v>
      </c>
      <c r="C37" s="703">
        <v>3899970.62</v>
      </c>
      <c r="F37" s="215">
        <f>+B37+D37-C37-E37</f>
        <v>19022288.919999998</v>
      </c>
      <c r="I37" s="215" t="str">
        <f>VLOOKUP(A37,'BS Grouping'!A:A,1,)</f>
        <v>Fixed Assets</v>
      </c>
      <c r="L37" s="728">
        <f>B37-C37</f>
        <v>19022288.919999998</v>
      </c>
    </row>
    <row r="38" spans="1:12">
      <c r="A38" s="682" t="s">
        <v>132</v>
      </c>
      <c r="B38" s="689">
        <v>27337</v>
      </c>
      <c r="C38" s="694"/>
      <c r="F38" s="215">
        <f t="shared" ref="F38:F41" si="2">+B38+D38-C38-E38</f>
        <v>27337</v>
      </c>
      <c r="I38" s="215" t="e">
        <f>VLOOKUP(A38,'BS Grouping'!A:A,1,)</f>
        <v>#N/A</v>
      </c>
      <c r="L38" s="215">
        <f>PL!D17-Notes!C463</f>
        <v>3551492</v>
      </c>
    </row>
    <row r="39" spans="1:12">
      <c r="A39" s="682" t="s">
        <v>86</v>
      </c>
      <c r="B39" s="689">
        <v>1777725.61</v>
      </c>
      <c r="C39" s="694"/>
      <c r="F39" s="215">
        <f t="shared" si="2"/>
        <v>1777725.61</v>
      </c>
      <c r="I39" s="215" t="e">
        <f>VLOOKUP(A39,'BS Grouping'!A:A,1,)</f>
        <v>#N/A</v>
      </c>
    </row>
    <row r="40" spans="1:12">
      <c r="A40" s="682" t="s">
        <v>1521</v>
      </c>
      <c r="B40" s="689">
        <v>19336431.969999999</v>
      </c>
      <c r="C40" s="689">
        <v>569569</v>
      </c>
      <c r="F40" s="215">
        <f t="shared" si="2"/>
        <v>18766862.969999999</v>
      </c>
      <c r="I40" s="215" t="e">
        <f>VLOOKUP(A40,'BS Grouping'!A:A,1,)</f>
        <v>#N/A</v>
      </c>
    </row>
    <row r="41" spans="1:12">
      <c r="A41" s="682" t="s">
        <v>1522</v>
      </c>
      <c r="B41" s="689">
        <v>638207.96</v>
      </c>
      <c r="C41" s="689">
        <v>20722.62</v>
      </c>
      <c r="F41" s="215">
        <f t="shared" si="2"/>
        <v>617485.34</v>
      </c>
      <c r="I41" s="215" t="e">
        <f>VLOOKUP(A41,'BS Grouping'!A:A,1,)</f>
        <v>#N/A</v>
      </c>
    </row>
    <row r="42" spans="1:12">
      <c r="A42" s="692" t="s">
        <v>1523</v>
      </c>
      <c r="B42" s="691"/>
      <c r="C42" s="660">
        <v>3309679</v>
      </c>
      <c r="F42" s="215">
        <f t="shared" ref="F42:F76" si="3">+B42+D42-C42-E42</f>
        <v>-3309679</v>
      </c>
      <c r="I42" s="215" t="e">
        <f>VLOOKUP(A42,'BS Grouping'!A:A,1,)</f>
        <v>#N/A</v>
      </c>
    </row>
    <row r="43" spans="1:12">
      <c r="A43" s="692" t="s">
        <v>1524</v>
      </c>
      <c r="B43" s="660">
        <v>13420</v>
      </c>
      <c r="C43" s="691"/>
      <c r="F43" s="215">
        <f t="shared" si="3"/>
        <v>13420</v>
      </c>
      <c r="I43" s="215" t="e">
        <f>VLOOKUP(A43,'BS Grouping'!A:A,1,)</f>
        <v>#N/A</v>
      </c>
    </row>
    <row r="44" spans="1:12">
      <c r="A44" s="692" t="s">
        <v>1525</v>
      </c>
      <c r="B44" s="660">
        <v>157348</v>
      </c>
      <c r="C44" s="691"/>
      <c r="F44" s="215">
        <f t="shared" si="3"/>
        <v>157348</v>
      </c>
      <c r="I44" s="215" t="e">
        <f>VLOOKUP(A44,'BS Grouping'!A:A,1,)</f>
        <v>#N/A</v>
      </c>
    </row>
    <row r="45" spans="1:12">
      <c r="A45" s="692" t="s">
        <v>132</v>
      </c>
      <c r="B45" s="660">
        <v>940311</v>
      </c>
      <c r="C45" s="691"/>
      <c r="F45" s="215">
        <f t="shared" si="3"/>
        <v>940311</v>
      </c>
      <c r="I45" s="215" t="e">
        <f>VLOOKUP(A45,'BS Grouping'!A:A,1,)</f>
        <v>#N/A</v>
      </c>
    </row>
    <row r="46" spans="1:12">
      <c r="A46" s="707" t="s">
        <v>1526</v>
      </c>
      <c r="B46" s="660">
        <v>31478</v>
      </c>
      <c r="C46" s="691"/>
      <c r="F46" s="215">
        <f t="shared" si="3"/>
        <v>31478</v>
      </c>
      <c r="I46" s="215" t="e">
        <f>VLOOKUP(A46,'BS Grouping'!A:A,1,)</f>
        <v>#N/A</v>
      </c>
    </row>
    <row r="47" spans="1:12">
      <c r="A47" s="677" t="s">
        <v>1527</v>
      </c>
      <c r="B47" s="703">
        <v>40000</v>
      </c>
      <c r="C47" s="696"/>
      <c r="F47" s="215">
        <f t="shared" si="3"/>
        <v>40000</v>
      </c>
      <c r="I47" s="215" t="str">
        <f>VLOOKUP(A47,'BS Grouping'!A:A,1,)</f>
        <v>Investments</v>
      </c>
    </row>
    <row r="48" spans="1:12">
      <c r="A48" s="692" t="s">
        <v>1528</v>
      </c>
      <c r="B48" s="660">
        <v>40000</v>
      </c>
      <c r="C48" s="691"/>
      <c r="F48" s="215">
        <f t="shared" si="3"/>
        <v>40000</v>
      </c>
      <c r="I48" s="215" t="str">
        <f>VLOOKUP(A48,'BS Grouping'!A:A,1,)</f>
        <v>Investment In Boofotel</v>
      </c>
    </row>
    <row r="49" spans="1:9">
      <c r="A49" s="677" t="s">
        <v>133</v>
      </c>
      <c r="B49" s="703">
        <v>40171090.659999996</v>
      </c>
      <c r="C49" s="703">
        <v>716553.21</v>
      </c>
      <c r="F49" s="215">
        <f t="shared" si="3"/>
        <v>39454537.449999996</v>
      </c>
      <c r="I49" s="215" t="e">
        <f>VLOOKUP(A49,'BS Grouping'!A:A,1,)</f>
        <v>#N/A</v>
      </c>
    </row>
    <row r="50" spans="1:9">
      <c r="A50" s="682" t="s">
        <v>134</v>
      </c>
      <c r="B50" s="689">
        <v>26585645.309999999</v>
      </c>
      <c r="C50" s="694"/>
      <c r="F50" s="215">
        <f t="shared" si="3"/>
        <v>26585645.309999999</v>
      </c>
      <c r="I50" s="215" t="e">
        <f>VLOOKUP(A50,'BS Grouping'!A:A,1,)</f>
        <v>#N/A</v>
      </c>
    </row>
    <row r="51" spans="1:9">
      <c r="A51" s="682" t="s">
        <v>137</v>
      </c>
      <c r="B51" s="689">
        <v>161383.46</v>
      </c>
      <c r="C51" s="694"/>
      <c r="F51" s="215">
        <f t="shared" si="3"/>
        <v>161383.46</v>
      </c>
      <c r="I51" s="215" t="e">
        <f>VLOOKUP(A51,'BS Grouping'!A:A,1,)</f>
        <v>#N/A</v>
      </c>
    </row>
    <row r="52" spans="1:9">
      <c r="A52" s="682" t="s">
        <v>142</v>
      </c>
      <c r="B52" s="689">
        <v>25000</v>
      </c>
      <c r="C52" s="694"/>
      <c r="F52" s="215">
        <f t="shared" si="3"/>
        <v>25000</v>
      </c>
      <c r="I52" s="215" t="str">
        <f>VLOOKUP(A52,'BS Grouping'!A:A,1,)</f>
        <v>MVAT Deposit</v>
      </c>
    </row>
    <row r="53" spans="1:9">
      <c r="A53" s="682" t="s">
        <v>138</v>
      </c>
      <c r="B53" s="689">
        <v>136383.46</v>
      </c>
      <c r="C53" s="694"/>
      <c r="F53" s="215">
        <f t="shared" si="3"/>
        <v>136383.46</v>
      </c>
      <c r="I53" s="215" t="str">
        <f>VLOOKUP(A53,'BS Grouping'!A:A,1,)</f>
        <v>Security Deposit</v>
      </c>
    </row>
    <row r="54" spans="1:9">
      <c r="A54" s="682" t="s">
        <v>139</v>
      </c>
      <c r="B54" s="689">
        <v>1575121.38</v>
      </c>
      <c r="C54" s="694"/>
      <c r="F54" s="215">
        <f t="shared" si="3"/>
        <v>1575121.38</v>
      </c>
      <c r="I54" s="215" t="e">
        <f>VLOOKUP(A54,'BS Grouping'!A:A,1,)</f>
        <v>#N/A</v>
      </c>
    </row>
    <row r="55" spans="1:9">
      <c r="A55" s="682" t="s">
        <v>549</v>
      </c>
      <c r="B55" s="689">
        <v>127251.53</v>
      </c>
      <c r="C55" s="694"/>
      <c r="F55" s="215">
        <f t="shared" si="3"/>
        <v>127251.53</v>
      </c>
      <c r="I55" s="215" t="str">
        <f>VLOOKUP(A55,'BS Grouping'!A:A,1,)</f>
        <v>Advance Income Tax</v>
      </c>
    </row>
    <row r="56" spans="1:9">
      <c r="A56" s="682" t="s">
        <v>140</v>
      </c>
      <c r="B56" s="689"/>
      <c r="C56" s="694"/>
      <c r="F56" s="215">
        <f t="shared" si="3"/>
        <v>0</v>
      </c>
      <c r="I56" s="215" t="str">
        <f>VLOOKUP(A56,'BS Grouping'!A:A,1,)</f>
        <v>Loans &amp; Advances to Employees</v>
      </c>
    </row>
    <row r="57" spans="1:9">
      <c r="A57" s="682" t="s">
        <v>141</v>
      </c>
      <c r="B57" s="689">
        <v>882050.61</v>
      </c>
      <c r="C57" s="694"/>
      <c r="F57" s="215">
        <f t="shared" si="3"/>
        <v>882050.61</v>
      </c>
      <c r="I57" s="215" t="str">
        <f>VLOOKUP(A57,'BS Grouping'!A:A,1,)</f>
        <v>Advance for Expenses</v>
      </c>
    </row>
    <row r="58" spans="1:9">
      <c r="A58" s="682" t="s">
        <v>1131</v>
      </c>
      <c r="B58" s="689">
        <v>30.49</v>
      </c>
      <c r="C58" s="694"/>
      <c r="F58" s="215">
        <f t="shared" si="3"/>
        <v>30.49</v>
      </c>
      <c r="I58" s="215" t="str">
        <f>VLOOKUP(A58,'BS Grouping'!A:A,1,)</f>
        <v>Flipkart Tds</v>
      </c>
    </row>
    <row r="59" spans="1:9">
      <c r="A59" s="682" t="s">
        <v>143</v>
      </c>
      <c r="B59" s="689">
        <v>532840.94999999995</v>
      </c>
      <c r="C59" s="694"/>
      <c r="F59" s="215">
        <f t="shared" si="3"/>
        <v>532840.94999999995</v>
      </c>
      <c r="I59" s="215" t="str">
        <f>VLOOKUP(A59,'BS Grouping'!A:A,1,)</f>
        <v>Prepaid expenses</v>
      </c>
    </row>
    <row r="60" spans="1:9">
      <c r="A60" s="682" t="s">
        <v>1132</v>
      </c>
      <c r="B60" s="689">
        <v>73.11</v>
      </c>
      <c r="C60" s="694"/>
      <c r="F60" s="215">
        <f t="shared" si="3"/>
        <v>73.11</v>
      </c>
      <c r="I60" s="215" t="str">
        <f>VLOOKUP(A60,'BS Grouping'!A:A,1,)</f>
        <v>TCS (GST) FY 20-21</v>
      </c>
    </row>
    <row r="61" spans="1:9">
      <c r="A61" s="682" t="s">
        <v>1579</v>
      </c>
      <c r="B61" s="689">
        <v>32874.69</v>
      </c>
      <c r="C61" s="694"/>
      <c r="F61" s="215">
        <f t="shared" si="3"/>
        <v>32874.69</v>
      </c>
      <c r="I61" s="215" t="str">
        <f>VLOOKUP(A61,'BS Grouping'!A:A,1,)</f>
        <v>TCS (GST) FY 22-23</v>
      </c>
    </row>
    <row r="62" spans="1:9">
      <c r="A62" s="682" t="s">
        <v>144</v>
      </c>
      <c r="B62" s="689">
        <v>2599896.89</v>
      </c>
      <c r="C62" s="689">
        <v>64490.46</v>
      </c>
      <c r="F62" s="215">
        <f t="shared" si="3"/>
        <v>2535406.4300000002</v>
      </c>
      <c r="I62" s="215" t="str">
        <f>VLOOKUP(A62,'BS Grouping'!A:A,1,)</f>
        <v>Sundry Debtors</v>
      </c>
    </row>
    <row r="63" spans="1:9" s="338" customFormat="1">
      <c r="A63" s="729" t="s">
        <v>147</v>
      </c>
      <c r="B63" s="715">
        <v>43169.82</v>
      </c>
      <c r="C63" s="715">
        <v>652062.75</v>
      </c>
      <c r="F63" s="338">
        <f t="shared" si="3"/>
        <v>-608892.93000000005</v>
      </c>
      <c r="I63" s="338" t="e">
        <f>VLOOKUP(A63,'BS Grouping'!A:A,1,)</f>
        <v>#N/A</v>
      </c>
    </row>
    <row r="64" spans="1:9">
      <c r="A64" s="682" t="s">
        <v>148</v>
      </c>
      <c r="B64" s="689">
        <v>11768.42</v>
      </c>
      <c r="C64" s="689"/>
      <c r="F64" s="215">
        <f t="shared" si="3"/>
        <v>11768.42</v>
      </c>
      <c r="I64" s="215" t="str">
        <f>VLOOKUP(A64,'BS Grouping'!A:A,1,)</f>
        <v>Cash-in-Hand</v>
      </c>
    </row>
    <row r="65" spans="1:11">
      <c r="A65" s="682" t="s">
        <v>1256</v>
      </c>
      <c r="B65" s="689"/>
      <c r="C65" s="689">
        <v>652062.75</v>
      </c>
      <c r="F65" s="215">
        <f t="shared" si="3"/>
        <v>-652062.75</v>
      </c>
      <c r="I65" s="215" t="str">
        <f>VLOOKUP(A65,'BS Grouping'!A:A,1,)</f>
        <v>HDFC Bank CA</v>
      </c>
    </row>
    <row r="66" spans="1:11">
      <c r="A66" s="682" t="s">
        <v>1133</v>
      </c>
      <c r="B66" s="689">
        <v>31401.4</v>
      </c>
      <c r="C66" s="689"/>
      <c r="F66" s="215">
        <f t="shared" si="3"/>
        <v>31401.4</v>
      </c>
      <c r="I66" s="215" t="str">
        <f>VLOOKUP(A66,'BS Grouping'!A:A,1,)</f>
        <v>Union Bank of India - 510101005905914</v>
      </c>
    </row>
    <row r="67" spans="1:11">
      <c r="A67" s="692" t="s">
        <v>1529</v>
      </c>
      <c r="B67" s="660">
        <v>41320</v>
      </c>
      <c r="C67" s="691"/>
      <c r="F67" s="215">
        <f t="shared" si="3"/>
        <v>41320</v>
      </c>
      <c r="I67" s="215" t="str">
        <f>VLOOKUP(A67,'BS Grouping'!A:A,1,)</f>
        <v>Deferred Rent Expense (Ind-AS Asset)</v>
      </c>
    </row>
    <row r="68" spans="1:11">
      <c r="A68" s="692" t="s">
        <v>151</v>
      </c>
      <c r="B68" s="660">
        <v>8165446</v>
      </c>
      <c r="C68" s="691"/>
      <c r="F68" s="215">
        <f t="shared" si="3"/>
        <v>8165446</v>
      </c>
      <c r="I68" s="215" t="str">
        <f>VLOOKUP(A68,'BS Grouping'!A:A,1,)</f>
        <v>Deferred Tax Asset</v>
      </c>
    </row>
    <row r="69" spans="1:11">
      <c r="A69" s="692" t="s">
        <v>154</v>
      </c>
      <c r="B69" s="660">
        <v>100000</v>
      </c>
      <c r="C69" s="691"/>
      <c r="F69" s="215">
        <f t="shared" si="3"/>
        <v>100000</v>
      </c>
      <c r="I69" s="215" t="str">
        <f>VLOOKUP(A69,'BS Grouping'!A:A,1,)</f>
        <v>FD with HDFC Bank</v>
      </c>
    </row>
    <row r="70" spans="1:11">
      <c r="A70" s="692" t="s">
        <v>156</v>
      </c>
      <c r="B70" s="660">
        <v>3679</v>
      </c>
      <c r="C70" s="691"/>
      <c r="F70" s="215">
        <f t="shared" si="3"/>
        <v>3679</v>
      </c>
      <c r="I70" s="215" t="str">
        <f>VLOOKUP(A70,'BS Grouping'!A:A,1,)</f>
        <v>Interest accrued but not due</v>
      </c>
    </row>
    <row r="71" spans="1:11">
      <c r="A71" s="692" t="s">
        <v>1530</v>
      </c>
      <c r="B71" s="660">
        <v>872850</v>
      </c>
      <c r="C71" s="691"/>
      <c r="F71" s="215">
        <f t="shared" si="3"/>
        <v>872850</v>
      </c>
      <c r="I71" s="215" t="str">
        <f>VLOOKUP(A71,'BS Grouping'!A:A,1,)</f>
        <v>ROU Asset</v>
      </c>
    </row>
    <row r="72" spans="1:11">
      <c r="A72" s="692" t="s">
        <v>157</v>
      </c>
      <c r="B72" s="660">
        <v>22578.799999999999</v>
      </c>
      <c r="C72" s="691"/>
      <c r="F72" s="215">
        <f t="shared" si="3"/>
        <v>22578.799999999999</v>
      </c>
      <c r="I72" s="215" t="str">
        <f>VLOOKUP(A72,'BS Grouping'!A:A,1,)</f>
        <v>Tax Paid on RCM</v>
      </c>
    </row>
    <row r="73" spans="1:11">
      <c r="A73" s="677" t="s">
        <v>551</v>
      </c>
      <c r="B73" s="703">
        <v>2954975.01</v>
      </c>
      <c r="C73" s="696"/>
      <c r="F73" s="215">
        <f t="shared" si="3"/>
        <v>2954975.01</v>
      </c>
      <c r="I73" s="215" t="e">
        <f>VLOOKUP(A73,'BS Grouping'!A:A,1,)</f>
        <v>#N/A</v>
      </c>
    </row>
    <row r="74" spans="1:11">
      <c r="A74" s="692" t="s">
        <v>553</v>
      </c>
      <c r="B74" s="660">
        <v>953094.25</v>
      </c>
      <c r="C74" s="691"/>
      <c r="F74" s="215">
        <f t="shared" si="3"/>
        <v>953094.25</v>
      </c>
      <c r="I74" s="215" t="str">
        <f>VLOOKUP(A74,'BS Grouping'!A:A,1,)</f>
        <v>Branch Account -  Bangalore</v>
      </c>
    </row>
    <row r="75" spans="1:11">
      <c r="A75" s="692" t="s">
        <v>1135</v>
      </c>
      <c r="B75" s="660">
        <v>1381731.76</v>
      </c>
      <c r="C75" s="691"/>
      <c r="F75" s="215">
        <f t="shared" si="3"/>
        <v>1381731.76</v>
      </c>
      <c r="I75" s="215" t="str">
        <f>VLOOKUP(A75,'BS Grouping'!A:A,1,)</f>
        <v>Branch Account - Delhi</v>
      </c>
    </row>
    <row r="76" spans="1:11">
      <c r="A76" s="692" t="s">
        <v>1531</v>
      </c>
      <c r="B76" s="660">
        <v>620149</v>
      </c>
      <c r="C76" s="691"/>
      <c r="F76" s="215">
        <f t="shared" si="3"/>
        <v>620149</v>
      </c>
      <c r="I76" s="215" t="str">
        <f>VLOOKUP(A76,'BS Grouping'!A:A,1,)</f>
        <v>Branch Account- Haryana</v>
      </c>
    </row>
    <row r="77" spans="1:11">
      <c r="A77" s="677" t="s">
        <v>158</v>
      </c>
      <c r="B77" s="696"/>
      <c r="C77" s="703">
        <v>63860391.359999999</v>
      </c>
      <c r="G77" s="215">
        <f>+C77-B77+E77-D77</f>
        <v>63860391.359999999</v>
      </c>
      <c r="I77" s="215" t="str">
        <f>VLOOKUP(A77,'PL Grouping'!A:A,1,)</f>
        <v>Sales Accounts</v>
      </c>
      <c r="K77" s="215" t="str">
        <f>VLOOKUP(A77,'PL Grouping'!A:A,1,)</f>
        <v>Sales Accounts</v>
      </c>
    </row>
    <row r="78" spans="1:11">
      <c r="A78" s="730" t="s">
        <v>1532</v>
      </c>
      <c r="B78" s="691"/>
      <c r="C78" s="660">
        <v>556499.5</v>
      </c>
      <c r="G78" s="215">
        <f t="shared" ref="G78:G84" si="4">+C78-B78+E78-D78</f>
        <v>556499.5</v>
      </c>
      <c r="K78" s="215" t="e">
        <f>VLOOKUP(A78,'PL Grouping'!A:A,1,)</f>
        <v>#N/A</v>
      </c>
    </row>
    <row r="79" spans="1:11">
      <c r="A79" s="692" t="s">
        <v>1533</v>
      </c>
      <c r="B79" s="691"/>
      <c r="C79" s="660">
        <v>87793.95</v>
      </c>
      <c r="G79" s="215">
        <f t="shared" si="4"/>
        <v>87793.95</v>
      </c>
      <c r="K79" s="215" t="e">
        <f>VLOOKUP(A79,'PL Grouping'!A:A,1,)</f>
        <v>#N/A</v>
      </c>
    </row>
    <row r="80" spans="1:11">
      <c r="A80" s="692" t="s">
        <v>1534</v>
      </c>
      <c r="B80" s="691"/>
      <c r="C80" s="660">
        <v>319.81</v>
      </c>
      <c r="G80" s="215">
        <f t="shared" si="4"/>
        <v>319.81</v>
      </c>
      <c r="K80" s="215" t="e">
        <f>VLOOKUP(A80,'PL Grouping'!A:A,1,)</f>
        <v>#N/A</v>
      </c>
    </row>
    <row r="81" spans="1:11">
      <c r="A81" s="692" t="s">
        <v>1535</v>
      </c>
      <c r="B81" s="691"/>
      <c r="C81" s="660">
        <v>45110.15</v>
      </c>
      <c r="G81" s="215">
        <f t="shared" si="4"/>
        <v>45110.15</v>
      </c>
      <c r="K81" s="215" t="e">
        <f>VLOOKUP(A81,'PL Grouping'!A:A,1,)</f>
        <v>#N/A</v>
      </c>
    </row>
    <row r="82" spans="1:11">
      <c r="A82" s="692" t="s">
        <v>1536</v>
      </c>
      <c r="B82" s="691"/>
      <c r="C82" s="660">
        <v>45546.48</v>
      </c>
      <c r="G82" s="215">
        <f t="shared" si="4"/>
        <v>45546.48</v>
      </c>
      <c r="K82" s="215" t="e">
        <f>VLOOKUP(A82,'PL Grouping'!A:A,1,)</f>
        <v>#N/A</v>
      </c>
    </row>
    <row r="83" spans="1:11">
      <c r="A83" s="692" t="s">
        <v>1537</v>
      </c>
      <c r="B83" s="691"/>
      <c r="C83" s="660">
        <v>49085722.109999999</v>
      </c>
      <c r="G83" s="215">
        <f t="shared" si="4"/>
        <v>49085722.109999999</v>
      </c>
      <c r="K83" s="215" t="e">
        <f>VLOOKUP(A83,'PL Grouping'!A:A,1,)</f>
        <v>#N/A</v>
      </c>
    </row>
    <row r="84" spans="1:11">
      <c r="A84" s="692" t="s">
        <v>1538</v>
      </c>
      <c r="B84" s="691"/>
      <c r="C84" s="660">
        <v>14039399.359999999</v>
      </c>
      <c r="G84" s="215">
        <f t="shared" si="4"/>
        <v>14039399.359999999</v>
      </c>
      <c r="K84" s="215" t="e">
        <f>VLOOKUP(A84,'PL Grouping'!A:A,1,)</f>
        <v>#N/A</v>
      </c>
    </row>
    <row r="85" spans="1:11">
      <c r="A85" s="677" t="s">
        <v>159</v>
      </c>
      <c r="B85" s="703">
        <v>48545835.609999999</v>
      </c>
      <c r="C85" s="696"/>
      <c r="F85" s="215">
        <f t="shared" ref="F85:F97" si="5">+B85+D85-C85-E85</f>
        <v>48545835.609999999</v>
      </c>
      <c r="I85" s="215">
        <f>VLOOKUP(A85,'TB PY'!A:C,2,)</f>
        <v>55369864.469999999</v>
      </c>
      <c r="K85" s="215" t="e">
        <f>VLOOKUP(A85,'PL Grouping'!A:A,1,)</f>
        <v>#N/A</v>
      </c>
    </row>
    <row r="86" spans="1:11">
      <c r="A86" s="692" t="s">
        <v>1258</v>
      </c>
      <c r="B86" s="660">
        <v>10953.46</v>
      </c>
      <c r="C86" s="691"/>
      <c r="F86" s="215">
        <f t="shared" si="5"/>
        <v>10953.46</v>
      </c>
      <c r="I86" s="215">
        <f>VLOOKUP(A86,'TB PY'!A:C,2,)</f>
        <v>51883.26</v>
      </c>
      <c r="K86" s="215" t="str">
        <f>VLOOKUP(A86,'PL Grouping'!A:A,1,)</f>
        <v>Branch purchase</v>
      </c>
    </row>
    <row r="87" spans="1:11">
      <c r="A87" s="692" t="s">
        <v>1539</v>
      </c>
      <c r="B87" s="660">
        <v>1370119.63</v>
      </c>
      <c r="C87" s="691"/>
      <c r="F87" s="215">
        <f t="shared" si="5"/>
        <v>1370119.63</v>
      </c>
      <c r="K87" s="215" t="str">
        <f>VLOOKUP(A87,'PL Grouping'!A:A,1,)</f>
        <v>Clearing &amp; Forwarding Charges (Import)</v>
      </c>
    </row>
    <row r="88" spans="1:11">
      <c r="A88" s="692" t="s">
        <v>160</v>
      </c>
      <c r="B88" s="660">
        <v>2453557.9900000002</v>
      </c>
      <c r="C88" s="691"/>
      <c r="F88" s="215">
        <f t="shared" si="5"/>
        <v>2453557.9900000002</v>
      </c>
      <c r="I88" s="215">
        <f>VLOOKUP(A88,'TB PY'!A:C,2,)</f>
        <v>832926</v>
      </c>
      <c r="K88" s="215" t="str">
        <f>VLOOKUP(A88,'PL Grouping'!A:A,1,)</f>
        <v>Custom Duty</v>
      </c>
    </row>
    <row r="89" spans="1:11">
      <c r="A89" s="692" t="s">
        <v>1540</v>
      </c>
      <c r="B89" s="660">
        <v>1545796.27</v>
      </c>
      <c r="C89" s="691"/>
      <c r="F89" s="215">
        <f t="shared" si="5"/>
        <v>1545796.27</v>
      </c>
      <c r="K89" s="215" t="str">
        <f>VLOOKUP(A89,'PL Grouping'!A:A,1,)</f>
        <v>Purchase Account - Packing Material</v>
      </c>
    </row>
    <row r="90" spans="1:11">
      <c r="A90" s="692" t="s">
        <v>161</v>
      </c>
      <c r="B90" s="660">
        <v>10522979.710000001</v>
      </c>
      <c r="C90" s="691"/>
      <c r="F90" s="215">
        <f t="shared" si="5"/>
        <v>10522979.710000001</v>
      </c>
      <c r="I90" s="215">
        <f>VLOOKUP(A90,'TB PY'!A:C,2,)</f>
        <v>2065760.19</v>
      </c>
      <c r="K90" s="215" t="str">
        <f>VLOOKUP(A90,'PL Grouping'!A:A,1,)</f>
        <v>Purchase Import</v>
      </c>
    </row>
    <row r="91" spans="1:11">
      <c r="A91" s="692" t="s">
        <v>162</v>
      </c>
      <c r="B91" s="660">
        <v>13931208.890000001</v>
      </c>
      <c r="C91" s="691"/>
      <c r="F91" s="215">
        <f t="shared" si="5"/>
        <v>13931208.890000001</v>
      </c>
      <c r="I91" s="215">
        <f>VLOOKUP(A91,'TB PY'!A:C,2,)</f>
        <v>20092177.41</v>
      </c>
      <c r="K91" s="215" t="str">
        <f>VLOOKUP(A91,'PL Grouping'!A:A,1,)</f>
        <v>Purchase Interstate</v>
      </c>
    </row>
    <row r="92" spans="1:11">
      <c r="A92" s="692" t="s">
        <v>1137</v>
      </c>
      <c r="B92" s="660">
        <v>47490.02</v>
      </c>
      <c r="C92" s="691"/>
      <c r="F92" s="215">
        <f t="shared" si="5"/>
        <v>47490.02</v>
      </c>
      <c r="I92" s="215">
        <f>VLOOKUP(A92,'TB PY'!A:C,2,)</f>
        <v>585480.65</v>
      </c>
      <c r="K92" s="215" t="str">
        <f>VLOOKUP(A92,'PL Grouping'!A:A,1,)</f>
        <v>Purchase Interstate@12%</v>
      </c>
    </row>
    <row r="93" spans="1:11">
      <c r="A93" s="692" t="s">
        <v>1541</v>
      </c>
      <c r="B93" s="660">
        <v>11271.13</v>
      </c>
      <c r="C93" s="691"/>
      <c r="F93" s="215">
        <f t="shared" si="5"/>
        <v>11271.13</v>
      </c>
      <c r="K93" s="215" t="str">
        <f>VLOOKUP(A93,'PL Grouping'!A:A,1,)</f>
        <v>Purchase Interstate@28%</v>
      </c>
    </row>
    <row r="94" spans="1:11">
      <c r="A94" s="692" t="s">
        <v>1138</v>
      </c>
      <c r="B94" s="660">
        <v>43662.67</v>
      </c>
      <c r="C94" s="691"/>
      <c r="F94" s="215">
        <f t="shared" si="5"/>
        <v>43662.67</v>
      </c>
      <c r="I94" s="215">
        <f>VLOOKUP(A94,'TB PY'!A:C,2,)</f>
        <v>88766.78</v>
      </c>
      <c r="K94" s="215" t="str">
        <f>VLOOKUP(A94,'PL Grouping'!A:A,1,)</f>
        <v>Purchase Interstate@5%</v>
      </c>
    </row>
    <row r="95" spans="1:11">
      <c r="A95" s="692" t="s">
        <v>163</v>
      </c>
      <c r="B95" s="660">
        <v>18509809.600000001</v>
      </c>
      <c r="C95" s="691"/>
      <c r="F95" s="215">
        <f t="shared" si="5"/>
        <v>18509809.600000001</v>
      </c>
      <c r="I95" s="215">
        <f>VLOOKUP(A95,'TB PY'!A:C,2,)</f>
        <v>31036133.289999999</v>
      </c>
      <c r="K95" s="215" t="str">
        <f>VLOOKUP(A95,'PL Grouping'!A:A,1,)</f>
        <v>Purchase  Local</v>
      </c>
    </row>
    <row r="96" spans="1:11">
      <c r="A96" s="692" t="s">
        <v>1139</v>
      </c>
      <c r="B96" s="660">
        <v>91236.24</v>
      </c>
      <c r="C96" s="691"/>
      <c r="F96" s="215">
        <f t="shared" si="5"/>
        <v>91236.24</v>
      </c>
      <c r="I96" s="215">
        <f>VLOOKUP(A96,'TB PY'!A:C,2,)</f>
        <v>164959.57</v>
      </c>
      <c r="K96" s="215" t="str">
        <f>VLOOKUP(A96,'PL Grouping'!A:A,1,)</f>
        <v>Purchase Local@12%</v>
      </c>
    </row>
    <row r="97" spans="1:11">
      <c r="A97" s="692" t="s">
        <v>1542</v>
      </c>
      <c r="B97" s="660">
        <v>7750</v>
      </c>
      <c r="C97" s="691"/>
      <c r="F97" s="215">
        <f t="shared" si="5"/>
        <v>7750</v>
      </c>
      <c r="K97" s="215" t="str">
        <f>VLOOKUP(A97,'PL Grouping'!A:A,1,)</f>
        <v>Transportation Expenses (Import)</v>
      </c>
    </row>
    <row r="98" spans="1:11">
      <c r="A98" s="677" t="s">
        <v>164</v>
      </c>
      <c r="B98" s="703">
        <v>233448.05</v>
      </c>
      <c r="C98" s="703">
        <v>4745.72</v>
      </c>
      <c r="I98" s="215">
        <f>VLOOKUP(A98,'TB PY'!A:C,2,)</f>
        <v>2320933.8199999998</v>
      </c>
      <c r="K98" s="215" t="e">
        <f>VLOOKUP(A98,'PL Grouping'!A:A,1,)</f>
        <v>#N/A</v>
      </c>
    </row>
    <row r="99" spans="1:11">
      <c r="A99" s="692" t="s">
        <v>1543</v>
      </c>
      <c r="B99" s="660">
        <v>6056</v>
      </c>
      <c r="C99" s="691"/>
      <c r="F99" s="215">
        <f t="shared" ref="F99:F103" si="6">+B99+D99-C99-E99</f>
        <v>6056</v>
      </c>
      <c r="K99" s="215" t="str">
        <f>VLOOKUP(A99,'PL Grouping'!A:A,1,)</f>
        <v>Freight</v>
      </c>
    </row>
    <row r="100" spans="1:11">
      <c r="A100" s="692" t="s">
        <v>453</v>
      </c>
      <c r="B100" s="660">
        <v>91631.05</v>
      </c>
      <c r="C100" s="691"/>
      <c r="F100" s="215">
        <f t="shared" si="6"/>
        <v>91631.05</v>
      </c>
      <c r="I100" s="215">
        <f>VLOOKUP(A100,'TB PY'!A:C,2,)</f>
        <v>94879.48</v>
      </c>
      <c r="K100" s="215" t="str">
        <f>VLOOKUP(A100,'PL Grouping'!A:A,1,)</f>
        <v>Freight Charges</v>
      </c>
    </row>
    <row r="101" spans="1:11">
      <c r="A101" s="692" t="s">
        <v>524</v>
      </c>
      <c r="B101" s="660">
        <v>130041</v>
      </c>
      <c r="C101" s="691"/>
      <c r="F101" s="215">
        <f t="shared" si="6"/>
        <v>130041</v>
      </c>
      <c r="I101" s="215">
        <f>VLOOKUP(A101,'TB PY'!A:C,2,)</f>
        <v>104616</v>
      </c>
      <c r="K101" s="215" t="str">
        <f>VLOOKUP(A101,'PL Grouping'!A:A,1,)</f>
        <v>Leave encashment</v>
      </c>
    </row>
    <row r="102" spans="1:11">
      <c r="A102" s="692" t="s">
        <v>165</v>
      </c>
      <c r="B102" s="691"/>
      <c r="C102" s="660">
        <v>4745.72</v>
      </c>
      <c r="G102" s="215">
        <f>+C102-B102+E102-D102</f>
        <v>4745.72</v>
      </c>
      <c r="I102" s="215">
        <f>VLOOKUP(A102,'TB PY'!A:C,2,)</f>
        <v>2121438.34</v>
      </c>
      <c r="K102" s="215" t="str">
        <f>VLOOKUP(A102,'PL Grouping'!A:A,1,)</f>
        <v>Packing Material</v>
      </c>
    </row>
    <row r="103" spans="1:11">
      <c r="A103" s="692" t="s">
        <v>1544</v>
      </c>
      <c r="B103" s="660">
        <v>5720</v>
      </c>
      <c r="C103" s="691"/>
      <c r="F103" s="215">
        <f t="shared" si="6"/>
        <v>5720</v>
      </c>
      <c r="K103" s="215" t="str">
        <f>VLOOKUP(A103,'PL Grouping'!A:A,1,)</f>
        <v>Printing &amp; Labelling</v>
      </c>
    </row>
    <row r="104" spans="1:11">
      <c r="A104" s="677" t="s">
        <v>166</v>
      </c>
      <c r="B104" s="696"/>
      <c r="C104" s="703">
        <v>2730300.23</v>
      </c>
      <c r="F104" s="215">
        <f>+B104+D104-C104-E104</f>
        <v>-2730300.23</v>
      </c>
      <c r="G104" s="215">
        <f t="shared" ref="G104:G114" si="7">+C104-B104+E104-D104</f>
        <v>2730300.23</v>
      </c>
      <c r="I104" s="215">
        <f>VLOOKUP(A104,'TB PY'!A:C,2,)</f>
        <v>895000</v>
      </c>
      <c r="K104" s="215" t="e">
        <f>VLOOKUP(A104,'PL Grouping'!A:A,1,)</f>
        <v>#N/A</v>
      </c>
    </row>
    <row r="105" spans="1:11">
      <c r="A105" s="692" t="s">
        <v>1031</v>
      </c>
      <c r="B105" s="691"/>
      <c r="C105" s="660">
        <v>480535</v>
      </c>
      <c r="G105" s="215">
        <f t="shared" si="7"/>
        <v>480535</v>
      </c>
      <c r="I105" s="215">
        <f>VLOOKUP(A105,'TB PY'!A:C,2,)</f>
        <v>0</v>
      </c>
      <c r="K105" s="215" t="str">
        <f>VLOOKUP(A105,'PL Grouping'!A:A,1,)</f>
        <v>Business Support Service Charges</v>
      </c>
    </row>
    <row r="106" spans="1:11">
      <c r="A106" s="692" t="s">
        <v>167</v>
      </c>
      <c r="B106" s="691"/>
      <c r="C106" s="660">
        <v>999.46</v>
      </c>
      <c r="G106" s="215">
        <f t="shared" si="7"/>
        <v>999.46</v>
      </c>
      <c r="I106" s="215">
        <f>VLOOKUP(A106,'TB PY'!A:C,2,)</f>
        <v>0</v>
      </c>
      <c r="K106" s="215" t="str">
        <f>VLOOKUP(A106,'PL Grouping'!A:A,1,)</f>
        <v>Discount Recieved</v>
      </c>
    </row>
    <row r="107" spans="1:11">
      <c r="A107" s="692" t="s">
        <v>168</v>
      </c>
      <c r="B107" s="691"/>
      <c r="C107" s="660">
        <v>5186</v>
      </c>
      <c r="G107" s="215">
        <f t="shared" si="7"/>
        <v>5186</v>
      </c>
      <c r="I107" s="215">
        <f>VLOOKUP(A107,'TB PY'!A:C,2,)</f>
        <v>0</v>
      </c>
      <c r="K107" s="215" t="str">
        <f>VLOOKUP(A107,'PL Grouping'!A:A,1,)</f>
        <v>Interest on FD</v>
      </c>
    </row>
    <row r="108" spans="1:11">
      <c r="A108" s="692" t="s">
        <v>454</v>
      </c>
      <c r="B108" s="691"/>
      <c r="C108" s="660">
        <v>2797</v>
      </c>
      <c r="G108" s="215">
        <f t="shared" si="7"/>
        <v>2797</v>
      </c>
      <c r="I108" s="215">
        <f>VLOOKUP(A108,'TB PY'!A:C,2,)</f>
        <v>0</v>
      </c>
      <c r="K108" s="215" t="str">
        <f>VLOOKUP(A108,'PL Grouping'!A:A,1,)</f>
        <v>Interest on Income Tax Refund</v>
      </c>
    </row>
    <row r="109" spans="1:11">
      <c r="A109" s="692" t="s">
        <v>1263</v>
      </c>
      <c r="B109" s="691"/>
      <c r="C109" s="660">
        <v>1548651.95</v>
      </c>
      <c r="G109" s="215">
        <f t="shared" si="7"/>
        <v>1548651.95</v>
      </c>
      <c r="I109" s="215">
        <f>VLOOKUP(A109,'TB PY'!A:C,2,)</f>
        <v>0</v>
      </c>
      <c r="K109" s="215" t="str">
        <f>VLOOKUP(A109,'PL Grouping'!A:A,1,)</f>
        <v>Marketing Activities ( Advertisement )</v>
      </c>
    </row>
    <row r="110" spans="1:11">
      <c r="A110" s="692" t="s">
        <v>1545</v>
      </c>
      <c r="B110" s="691"/>
      <c r="C110" s="660">
        <v>19500</v>
      </c>
      <c r="G110" s="215">
        <f t="shared" si="7"/>
        <v>19500</v>
      </c>
      <c r="K110" s="215" t="str">
        <f>VLOOKUP(A110,'PL Grouping'!A:A,1,)</f>
        <v>Marketing Charges</v>
      </c>
    </row>
    <row r="111" spans="1:11">
      <c r="A111" s="692" t="s">
        <v>525</v>
      </c>
      <c r="B111" s="691"/>
      <c r="C111" s="660">
        <v>14892.02</v>
      </c>
      <c r="G111" s="215">
        <f t="shared" si="7"/>
        <v>14892.02</v>
      </c>
      <c r="I111" s="215">
        <f>VLOOKUP(A111,'TB PY'!A:C,2,)</f>
        <v>0</v>
      </c>
      <c r="K111" s="215" t="str">
        <f>VLOOKUP(A111,'PL Grouping'!A:A,1,)</f>
        <v>Miscellenous  Income</v>
      </c>
    </row>
    <row r="112" spans="1:11">
      <c r="A112" s="692" t="s">
        <v>457</v>
      </c>
      <c r="B112" s="691"/>
      <c r="C112" s="660">
        <v>644327.68999999994</v>
      </c>
      <c r="G112" s="215">
        <f t="shared" si="7"/>
        <v>644327.68999999994</v>
      </c>
      <c r="I112" s="215">
        <f>VLOOKUP(A112,'TB PY'!A:C,2,)</f>
        <v>0</v>
      </c>
      <c r="K112" s="215" t="str">
        <f>VLOOKUP(A112,'PL Grouping'!A:A,1,)</f>
        <v>Shipping Charges</v>
      </c>
    </row>
    <row r="113" spans="1:11">
      <c r="A113" s="692" t="s">
        <v>526</v>
      </c>
      <c r="B113" s="691"/>
      <c r="C113" s="660">
        <v>13411.11</v>
      </c>
      <c r="G113" s="215">
        <f t="shared" si="7"/>
        <v>13411.11</v>
      </c>
      <c r="I113" s="215">
        <f>VLOOKUP(A113,'TB PY'!A:C,2,)</f>
        <v>0</v>
      </c>
      <c r="K113" s="215" t="str">
        <f>VLOOKUP(A113,'PL Grouping'!A:A,1,)</f>
        <v>Sundry Advances / Credit Balance Written Off</v>
      </c>
    </row>
    <row r="114" spans="1:11">
      <c r="A114" s="677" t="s">
        <v>170</v>
      </c>
      <c r="B114" s="703">
        <v>84117064.049999997</v>
      </c>
      <c r="C114" s="703">
        <v>359.8</v>
      </c>
      <c r="F114" s="215">
        <f t="shared" ref="F114:F175" si="8">+B114+D114-C114-E114</f>
        <v>84116704.25</v>
      </c>
      <c r="G114" s="215">
        <f t="shared" si="7"/>
        <v>-84116704.25</v>
      </c>
      <c r="I114" s="215">
        <f>VLOOKUP(A114,'TB PY'!A:C,2,)</f>
        <v>75253153.390000001</v>
      </c>
      <c r="K114" s="215" t="e">
        <f>VLOOKUP(A114,'PL Grouping'!A:A,1,)</f>
        <v>#N/A</v>
      </c>
    </row>
    <row r="115" spans="1:11">
      <c r="A115" s="725" t="s">
        <v>171</v>
      </c>
      <c r="B115" s="689">
        <v>18602828</v>
      </c>
      <c r="C115" s="694"/>
      <c r="F115" s="215">
        <f t="shared" si="8"/>
        <v>18602828</v>
      </c>
      <c r="I115" s="215">
        <f>VLOOKUP(A115,'TB PY'!A:C,2,)</f>
        <v>14431152</v>
      </c>
      <c r="K115" s="215" t="e">
        <f>VLOOKUP(A115,'PL Grouping'!A:A,1,)</f>
        <v>#N/A</v>
      </c>
    </row>
    <row r="116" spans="1:11">
      <c r="A116" s="725" t="s">
        <v>172</v>
      </c>
      <c r="B116" s="689">
        <v>6862368</v>
      </c>
      <c r="C116" s="694"/>
      <c r="F116" s="215">
        <f t="shared" si="8"/>
        <v>6862368</v>
      </c>
      <c r="K116" s="215" t="str">
        <f>VLOOKUP(A116,'PL Grouping'!A:A,1,)</f>
        <v>Basic Salary</v>
      </c>
    </row>
    <row r="117" spans="1:11">
      <c r="A117" s="725" t="s">
        <v>173</v>
      </c>
      <c r="B117" s="689">
        <v>1315769</v>
      </c>
      <c r="C117" s="694"/>
      <c r="F117" s="215">
        <f t="shared" si="8"/>
        <v>1315769</v>
      </c>
      <c r="K117" s="215" t="str">
        <f>VLOOKUP(A117,'PL Grouping'!A:A,1,)</f>
        <v>Conveyance Allowance</v>
      </c>
    </row>
    <row r="118" spans="1:11">
      <c r="A118" s="725" t="s">
        <v>174</v>
      </c>
      <c r="B118" s="689">
        <v>2700980</v>
      </c>
      <c r="C118" s="694"/>
      <c r="F118" s="215">
        <f t="shared" si="8"/>
        <v>2700980</v>
      </c>
      <c r="K118" s="215" t="str">
        <f>VLOOKUP(A118,'PL Grouping'!A:A,1,)</f>
        <v>House Rent Allowance</v>
      </c>
    </row>
    <row r="119" spans="1:11">
      <c r="A119" s="725" t="s">
        <v>176</v>
      </c>
      <c r="B119" s="689">
        <v>316701</v>
      </c>
      <c r="C119" s="694"/>
      <c r="F119" s="215">
        <f t="shared" si="8"/>
        <v>316701</v>
      </c>
      <c r="K119" s="215" t="str">
        <f>VLOOKUP(A119,'PL Grouping'!A:A,1,)</f>
        <v>Leave Travel Allowance</v>
      </c>
    </row>
    <row r="120" spans="1:11">
      <c r="A120" s="725" t="s">
        <v>177</v>
      </c>
      <c r="B120" s="689">
        <v>437324</v>
      </c>
      <c r="C120" s="694"/>
      <c r="F120" s="215">
        <f t="shared" si="8"/>
        <v>437324</v>
      </c>
      <c r="K120" s="215" t="str">
        <f>VLOOKUP(A120,'PL Grouping'!A:A,1,)</f>
        <v>Medical Allowance</v>
      </c>
    </row>
    <row r="121" spans="1:11">
      <c r="A121" s="725" t="s">
        <v>178</v>
      </c>
      <c r="B121" s="689">
        <v>1632173</v>
      </c>
      <c r="C121" s="694"/>
      <c r="F121" s="215">
        <f t="shared" si="8"/>
        <v>1632173</v>
      </c>
      <c r="K121" s="215" t="str">
        <f>VLOOKUP(A121,'PL Grouping'!A:A,1,)</f>
        <v>Other Allowance</v>
      </c>
    </row>
    <row r="122" spans="1:11">
      <c r="A122" s="725" t="s">
        <v>179</v>
      </c>
      <c r="B122" s="689">
        <v>2483267</v>
      </c>
      <c r="C122" s="694"/>
      <c r="F122" s="215">
        <f t="shared" si="8"/>
        <v>2483267</v>
      </c>
      <c r="K122" s="215" t="str">
        <f>VLOOKUP(A122,'PL Grouping'!A:A,1,)</f>
        <v>Special Allowance</v>
      </c>
    </row>
    <row r="123" spans="1:11">
      <c r="A123" s="725" t="s">
        <v>180</v>
      </c>
      <c r="B123" s="689">
        <v>1972030</v>
      </c>
      <c r="C123" s="694"/>
      <c r="F123" s="215">
        <f t="shared" si="8"/>
        <v>1972030</v>
      </c>
      <c r="K123" s="215" t="str">
        <f>VLOOKUP(A123,'PL Grouping'!A:A,1,)</f>
        <v>Supplementary Allowance</v>
      </c>
    </row>
    <row r="124" spans="1:11">
      <c r="A124" s="725" t="s">
        <v>181</v>
      </c>
      <c r="B124" s="689">
        <v>492977</v>
      </c>
      <c r="C124" s="694"/>
      <c r="F124" s="215">
        <f t="shared" si="8"/>
        <v>492977</v>
      </c>
      <c r="K124" s="215" t="str">
        <f>VLOOKUP(A124,'PL Grouping'!A:A,1,)</f>
        <v>Telephone Allowance</v>
      </c>
    </row>
    <row r="125" spans="1:11">
      <c r="A125" s="725" t="s">
        <v>182</v>
      </c>
      <c r="B125" s="689">
        <v>389239</v>
      </c>
      <c r="C125" s="694"/>
      <c r="F125" s="215">
        <f t="shared" si="8"/>
        <v>389239</v>
      </c>
      <c r="K125" s="215" t="str">
        <f>VLOOKUP(A125,'PL Grouping'!A:A,1,)</f>
        <v>Variable Incentives</v>
      </c>
    </row>
    <row r="126" spans="1:11">
      <c r="A126" s="692" t="s">
        <v>183</v>
      </c>
      <c r="B126" s="660">
        <v>521197.7</v>
      </c>
      <c r="C126" s="691"/>
      <c r="F126" s="215">
        <f t="shared" si="8"/>
        <v>521197.7</v>
      </c>
      <c r="I126" s="215">
        <f>VLOOKUP(A126,'TB PY'!A:C,2,)</f>
        <v>300000</v>
      </c>
      <c r="K126" s="215" t="str">
        <f>VLOOKUP(A126,'PL Grouping'!A:A,1,)</f>
        <v>Administrative Expenses</v>
      </c>
    </row>
    <row r="127" spans="1:11">
      <c r="A127" s="692" t="s">
        <v>184</v>
      </c>
      <c r="B127" s="660">
        <v>21949754.260000002</v>
      </c>
      <c r="C127" s="691"/>
      <c r="F127" s="215">
        <f t="shared" si="8"/>
        <v>21949754.260000002</v>
      </c>
      <c r="I127" s="215">
        <f>VLOOKUP(A127,'TB PY'!A:C,2,)</f>
        <v>22350389</v>
      </c>
      <c r="K127" s="215" t="str">
        <f>VLOOKUP(A127,'PL Grouping'!A:A,1,)</f>
        <v>Advertisement Expenses</v>
      </c>
    </row>
    <row r="128" spans="1:11">
      <c r="A128" s="692" t="s">
        <v>528</v>
      </c>
      <c r="B128" s="660">
        <v>23672</v>
      </c>
      <c r="C128" s="691"/>
      <c r="F128" s="215">
        <f t="shared" si="8"/>
        <v>23672</v>
      </c>
      <c r="I128" s="215">
        <f>VLOOKUP(A128,'TB PY'!A:C,2,)</f>
        <v>22500</v>
      </c>
      <c r="K128" s="215" t="str">
        <f>VLOOKUP(A128,'PL Grouping'!A:A,1,)</f>
        <v>Annual Maintenance Expenses</v>
      </c>
    </row>
    <row r="129" spans="1:11">
      <c r="A129" s="692" t="s">
        <v>185</v>
      </c>
      <c r="B129" s="660">
        <v>247500</v>
      </c>
      <c r="C129" s="691"/>
      <c r="F129" s="215">
        <f t="shared" si="8"/>
        <v>247500</v>
      </c>
      <c r="I129" s="215">
        <f>VLOOKUP(A129,'TB PY'!A:C,2,)</f>
        <v>121000</v>
      </c>
      <c r="K129" s="215" t="str">
        <f>VLOOKUP(A129,'PL Grouping'!A:A,1,)</f>
        <v>Audit Fees</v>
      </c>
    </row>
    <row r="130" spans="1:11">
      <c r="A130" s="692" t="s">
        <v>186</v>
      </c>
      <c r="B130" s="660">
        <v>8354</v>
      </c>
      <c r="C130" s="691"/>
      <c r="F130" s="215">
        <f t="shared" si="8"/>
        <v>8354</v>
      </c>
      <c r="I130" s="215">
        <f>VLOOKUP(A130,'TB PY'!A:C,2,)</f>
        <v>0</v>
      </c>
      <c r="K130" s="215" t="str">
        <f>VLOOKUP(A130,'PL Grouping'!A:A,1,)</f>
        <v>Auditor Out Of Pocket Expenses</v>
      </c>
    </row>
    <row r="131" spans="1:11">
      <c r="A131" s="692" t="s">
        <v>1264</v>
      </c>
      <c r="B131" s="660">
        <v>30420.05</v>
      </c>
      <c r="C131" s="691"/>
      <c r="F131" s="215">
        <f t="shared" si="8"/>
        <v>30420.05</v>
      </c>
      <c r="I131" s="215">
        <f>VLOOKUP(A131,'TB PY'!A:C,2,)</f>
        <v>11800</v>
      </c>
      <c r="K131" s="215" t="str">
        <f>VLOOKUP(A131,'PL Grouping'!A:A,1,)</f>
        <v>Axis Bank Credit Card Charges</v>
      </c>
    </row>
    <row r="132" spans="1:11">
      <c r="A132" s="692" t="s">
        <v>1041</v>
      </c>
      <c r="B132" s="660">
        <v>46478.1</v>
      </c>
      <c r="C132" s="691"/>
      <c r="F132" s="215">
        <f t="shared" si="8"/>
        <v>46478.1</v>
      </c>
      <c r="I132" s="215">
        <f>VLOOKUP(A132,'TB PY'!A:C,2,)</f>
        <v>0</v>
      </c>
      <c r="K132" s="215" t="str">
        <f>VLOOKUP(A132,'PL Grouping'!A:A,1,)</f>
        <v>Bad Debts</v>
      </c>
    </row>
    <row r="133" spans="1:11">
      <c r="A133" s="692" t="s">
        <v>187</v>
      </c>
      <c r="B133" s="660">
        <v>33996.720000000001</v>
      </c>
      <c r="C133" s="691"/>
      <c r="F133" s="215">
        <f t="shared" si="8"/>
        <v>33996.720000000001</v>
      </c>
      <c r="I133" s="215">
        <f>VLOOKUP(A133,'TB PY'!A:C,2,)</f>
        <v>20323.82</v>
      </c>
      <c r="K133" s="215" t="str">
        <f>VLOOKUP(A133,'PL Grouping'!A:A,1,)</f>
        <v>Bank Charges</v>
      </c>
    </row>
    <row r="134" spans="1:11">
      <c r="A134" s="707" t="s">
        <v>188</v>
      </c>
      <c r="B134" s="660">
        <v>437075</v>
      </c>
      <c r="C134" s="691"/>
      <c r="F134" s="215">
        <f t="shared" si="8"/>
        <v>437075</v>
      </c>
      <c r="I134" s="215">
        <f>VLOOKUP(A134,'TB PY'!A:C,2,)</f>
        <v>351236</v>
      </c>
      <c r="K134" s="215" t="str">
        <f>VLOOKUP(A134,'PL Grouping'!A:A,1,)</f>
        <v>Bonus</v>
      </c>
    </row>
    <row r="135" spans="1:11">
      <c r="A135" s="692" t="s">
        <v>189</v>
      </c>
      <c r="B135" s="660">
        <v>604877</v>
      </c>
      <c r="C135" s="691"/>
      <c r="F135" s="215">
        <f t="shared" si="8"/>
        <v>604877</v>
      </c>
      <c r="I135" s="215">
        <f>VLOOKUP(A135,'TB PY'!A:C,2,)</f>
        <v>298328</v>
      </c>
      <c r="K135" s="215" t="str">
        <f>VLOOKUP(A135,'PL Grouping'!A:A,1,)</f>
        <v>Brand Registeration</v>
      </c>
    </row>
    <row r="136" spans="1:11">
      <c r="A136" s="692" t="s">
        <v>190</v>
      </c>
      <c r="B136" s="660">
        <v>26266.16</v>
      </c>
      <c r="C136" s="691"/>
      <c r="F136" s="215">
        <f t="shared" si="8"/>
        <v>26266.16</v>
      </c>
      <c r="K136" s="215" t="str">
        <f>VLOOKUP(A136,'PL Grouping'!A:A,1,)</f>
        <v>Business Promotion Expenses</v>
      </c>
    </row>
    <row r="137" spans="1:11">
      <c r="A137" s="692" t="s">
        <v>1145</v>
      </c>
      <c r="B137" s="660">
        <v>56370.71</v>
      </c>
      <c r="C137" s="691"/>
      <c r="F137" s="215">
        <f t="shared" si="8"/>
        <v>56370.71</v>
      </c>
      <c r="I137" s="215">
        <f>VLOOKUP(A137,'TB PY'!A:C,2,)</f>
        <v>244921.23</v>
      </c>
      <c r="K137" s="215" t="str">
        <f>VLOOKUP(A137,'PL Grouping'!A:A,1,)</f>
        <v>Citibank Card Late Charges</v>
      </c>
    </row>
    <row r="138" spans="1:11">
      <c r="A138" s="692" t="s">
        <v>191</v>
      </c>
      <c r="B138" s="660">
        <v>249971.22</v>
      </c>
      <c r="C138" s="691"/>
      <c r="F138" s="215">
        <f t="shared" si="8"/>
        <v>249971.22</v>
      </c>
      <c r="I138" s="215">
        <f>VLOOKUP(A138,'TB PY'!A:C,2,)</f>
        <v>710353.42</v>
      </c>
      <c r="K138" s="215" t="str">
        <f>VLOOKUP(A138,'PL Grouping'!A:A,1,)</f>
        <v>Clearing &amp; Forwarding Charges</v>
      </c>
    </row>
    <row r="139" spans="1:11">
      <c r="A139" s="692" t="s">
        <v>192</v>
      </c>
      <c r="B139" s="660">
        <v>4770520.6500000004</v>
      </c>
      <c r="C139" s="691"/>
      <c r="F139" s="215">
        <f t="shared" si="8"/>
        <v>4770520.6500000004</v>
      </c>
      <c r="I139" s="215">
        <f>VLOOKUP(A139,'TB PY'!A:C,2,)</f>
        <v>4107789.95</v>
      </c>
      <c r="K139" s="215" t="str">
        <f>VLOOKUP(A139,'PL Grouping'!A:A,1,)</f>
        <v>Commission</v>
      </c>
    </row>
    <row r="140" spans="1:11">
      <c r="A140" s="692" t="s">
        <v>193</v>
      </c>
      <c r="B140" s="660">
        <v>141121.35</v>
      </c>
      <c r="C140" s="691"/>
      <c r="F140" s="215">
        <f t="shared" si="8"/>
        <v>141121.35</v>
      </c>
      <c r="I140" s="215">
        <f>VLOOKUP(A140,'TB PY'!A:C,2,)</f>
        <v>78640.789999999994</v>
      </c>
      <c r="K140" s="215" t="str">
        <f>VLOOKUP(A140,'PL Grouping'!A:A,1,)</f>
        <v>Computer Expenses</v>
      </c>
    </row>
    <row r="141" spans="1:11">
      <c r="A141" s="692" t="s">
        <v>194</v>
      </c>
      <c r="B141" s="660">
        <v>219679.82</v>
      </c>
      <c r="C141" s="691"/>
      <c r="F141" s="215">
        <f t="shared" si="8"/>
        <v>219679.82</v>
      </c>
      <c r="I141" s="215">
        <f>VLOOKUP(A141,'TB PY'!A:C,2,)</f>
        <v>346784.46</v>
      </c>
      <c r="K141" s="215" t="str">
        <f>VLOOKUP(A141,'PL Grouping'!A:A,1,)</f>
        <v>Conveyance Expenses</v>
      </c>
    </row>
    <row r="142" spans="1:11">
      <c r="A142" s="692" t="s">
        <v>456</v>
      </c>
      <c r="B142" s="660">
        <v>6800</v>
      </c>
      <c r="C142" s="691"/>
      <c r="F142" s="215">
        <f t="shared" si="8"/>
        <v>6800</v>
      </c>
      <c r="I142" s="215">
        <f>VLOOKUP(A142,'TB PY'!A:C,2,)</f>
        <v>145774</v>
      </c>
      <c r="K142" s="215" t="str">
        <f>VLOOKUP(A142,'PL Grouping'!A:A,1,)</f>
        <v>Donation</v>
      </c>
    </row>
    <row r="143" spans="1:11">
      <c r="A143" s="692" t="s">
        <v>196</v>
      </c>
      <c r="B143" s="660">
        <v>32947</v>
      </c>
      <c r="C143" s="691"/>
      <c r="F143" s="215">
        <f t="shared" si="8"/>
        <v>32947</v>
      </c>
      <c r="I143" s="215">
        <f>VLOOKUP(A143,'TB PY'!A:C,2,)</f>
        <v>29482</v>
      </c>
      <c r="K143" s="215" t="str">
        <f>VLOOKUP(A143,'PL Grouping'!A:A,1,)</f>
        <v>Electricity Charges</v>
      </c>
    </row>
    <row r="144" spans="1:11">
      <c r="A144" s="692" t="s">
        <v>1266</v>
      </c>
      <c r="B144" s="660">
        <v>26029</v>
      </c>
      <c r="C144" s="691"/>
      <c r="F144" s="215">
        <f t="shared" si="8"/>
        <v>26029</v>
      </c>
      <c r="I144" s="215">
        <f>VLOOKUP(A144,'TB PY'!A:C,2,)</f>
        <v>1639</v>
      </c>
      <c r="K144" s="215" t="str">
        <f>VLOOKUP(A144,'PL Grouping'!A:A,1,)</f>
        <v>Esic 3.25%</v>
      </c>
    </row>
    <row r="145" spans="1:11">
      <c r="A145" s="692" t="s">
        <v>1546</v>
      </c>
      <c r="B145" s="660">
        <v>124818.6</v>
      </c>
      <c r="C145" s="691"/>
      <c r="F145" s="215">
        <f t="shared" si="8"/>
        <v>124818.6</v>
      </c>
      <c r="K145" s="215" t="str">
        <f>VLOOKUP(A145,'PL Grouping'!A:A,1,)</f>
        <v>Exchnge Rate Loss</v>
      </c>
    </row>
    <row r="146" spans="1:11">
      <c r="A146" s="692" t="s">
        <v>199</v>
      </c>
      <c r="B146" s="660">
        <v>433270</v>
      </c>
      <c r="C146" s="691"/>
      <c r="F146" s="215">
        <f t="shared" si="8"/>
        <v>433270</v>
      </c>
      <c r="I146" s="215">
        <f>VLOOKUP(A146,'TB PY'!A:C,2,)</f>
        <v>355405</v>
      </c>
      <c r="K146" s="215" t="str">
        <f>VLOOKUP(A146,'PL Grouping'!A:A,1,)</f>
        <v>Family Pension @ 8.33%</v>
      </c>
    </row>
    <row r="147" spans="1:11">
      <c r="A147" s="692" t="s">
        <v>529</v>
      </c>
      <c r="B147" s="660">
        <v>24789.18</v>
      </c>
      <c r="C147" s="691"/>
      <c r="F147" s="215">
        <f t="shared" si="8"/>
        <v>24789.18</v>
      </c>
      <c r="I147" s="215">
        <f>VLOOKUP(A147,'TB PY'!A:C,2,)</f>
        <v>21955.59</v>
      </c>
      <c r="K147" s="215" t="str">
        <f>VLOOKUP(A147,'PL Grouping'!A:A,1,)</f>
        <v>Finance/Interest Charges (Credit Card)</v>
      </c>
    </row>
    <row r="148" spans="1:11">
      <c r="A148" s="692" t="s">
        <v>1267</v>
      </c>
      <c r="B148" s="660">
        <v>100000</v>
      </c>
      <c r="C148" s="691"/>
      <c r="F148" s="215">
        <f t="shared" si="8"/>
        <v>100000</v>
      </c>
      <c r="I148" s="215">
        <f>VLOOKUP(A148,'TB PY'!A:C,2,)</f>
        <v>60000</v>
      </c>
      <c r="K148" s="215" t="str">
        <f>VLOOKUP(A148,'PL Grouping'!A:A,1,)</f>
        <v>Fine and Penalties</v>
      </c>
    </row>
    <row r="149" spans="1:11">
      <c r="A149" s="692" t="s">
        <v>1146</v>
      </c>
      <c r="B149" s="660">
        <v>2700</v>
      </c>
      <c r="C149" s="691"/>
      <c r="F149" s="215">
        <f t="shared" si="8"/>
        <v>2700</v>
      </c>
      <c r="I149" s="215">
        <f>VLOOKUP(A149,'TB PY'!A:C,2,)</f>
        <v>1138</v>
      </c>
      <c r="K149" s="215" t="str">
        <f>VLOOKUP(A149,'PL Grouping'!A:A,1,)</f>
        <v>GST Late Fees</v>
      </c>
    </row>
    <row r="150" spans="1:11">
      <c r="A150" s="692" t="s">
        <v>530</v>
      </c>
      <c r="B150" s="660">
        <v>236119.33</v>
      </c>
      <c r="C150" s="691"/>
      <c r="F150" s="215">
        <f t="shared" si="8"/>
        <v>236119.33</v>
      </c>
      <c r="I150" s="215">
        <f>VLOOKUP(A150,'TB PY'!A:C,2,)</f>
        <v>546931.93000000005</v>
      </c>
      <c r="K150" s="215" t="str">
        <f>VLOOKUP(A150,'PL Grouping'!A:A,1,)</f>
        <v>Hdfc Credit Card Charges</v>
      </c>
    </row>
    <row r="151" spans="1:11">
      <c r="A151" s="692" t="s">
        <v>1547</v>
      </c>
      <c r="B151" s="660">
        <v>10080</v>
      </c>
      <c r="C151" s="691"/>
      <c r="F151" s="215">
        <f t="shared" si="8"/>
        <v>10080</v>
      </c>
      <c r="K151" s="215" t="str">
        <f>VLOOKUP(A151,'PL Grouping'!A:A,1,)</f>
        <v>Hotel Charges</v>
      </c>
    </row>
    <row r="152" spans="1:11">
      <c r="A152" s="692" t="s">
        <v>200</v>
      </c>
      <c r="B152" s="660">
        <v>90277</v>
      </c>
      <c r="C152" s="691"/>
      <c r="F152" s="215">
        <f t="shared" si="8"/>
        <v>90277</v>
      </c>
      <c r="I152" s="215">
        <f>VLOOKUP(A152,'TB PY'!A:C,2,)</f>
        <v>29262</v>
      </c>
      <c r="K152" s="215" t="str">
        <f>VLOOKUP(A152,'PL Grouping'!A:A,1,)</f>
        <v>Insurance Premium</v>
      </c>
    </row>
    <row r="153" spans="1:11">
      <c r="A153" s="692" t="s">
        <v>202</v>
      </c>
      <c r="B153" s="660">
        <v>297208</v>
      </c>
      <c r="C153" s="691"/>
      <c r="F153" s="215">
        <f t="shared" si="8"/>
        <v>297208</v>
      </c>
      <c r="I153" s="215">
        <f>VLOOKUP(A153,'TB PY'!A:C,2,)</f>
        <v>1891187</v>
      </c>
      <c r="K153" s="215" t="str">
        <f>VLOOKUP(A153,'PL Grouping'!A:A,1,)</f>
        <v>Interest on OD</v>
      </c>
    </row>
    <row r="154" spans="1:11">
      <c r="A154" s="692" t="s">
        <v>203</v>
      </c>
      <c r="B154" s="660">
        <v>7126</v>
      </c>
      <c r="C154" s="691"/>
      <c r="F154" s="215">
        <f t="shared" si="8"/>
        <v>7126</v>
      </c>
      <c r="I154" s="215">
        <f>VLOOKUP(A154,'TB PY'!A:C,2,)</f>
        <v>43067</v>
      </c>
      <c r="K154" s="215" t="str">
        <f>VLOOKUP(A154,'PL Grouping'!A:A,1,)</f>
        <v>Interest on TDS</v>
      </c>
    </row>
    <row r="155" spans="1:11">
      <c r="A155" s="692" t="s">
        <v>206</v>
      </c>
      <c r="B155" s="660">
        <v>9504234</v>
      </c>
      <c r="C155" s="691"/>
      <c r="F155" s="215">
        <f t="shared" si="8"/>
        <v>9504234</v>
      </c>
      <c r="I155" s="215">
        <f>VLOOKUP(A155,'TB PY'!A:C,2,)</f>
        <v>4593972.2</v>
      </c>
      <c r="K155" s="215" t="str">
        <f>VLOOKUP(A155,'PL Grouping'!A:A,1,)</f>
        <v>Legal &amp; Professional Charges</v>
      </c>
    </row>
    <row r="156" spans="1:11">
      <c r="A156" s="692" t="s">
        <v>1548</v>
      </c>
      <c r="B156" s="660">
        <v>23114</v>
      </c>
      <c r="C156" s="691"/>
      <c r="F156" s="215">
        <f t="shared" si="8"/>
        <v>23114</v>
      </c>
      <c r="K156" s="215" t="str">
        <f>VLOOKUP(A156,'PL Grouping'!A:A,1,)</f>
        <v>Loading/Unloading Charges</v>
      </c>
    </row>
    <row r="157" spans="1:11">
      <c r="A157" s="692" t="s">
        <v>1549</v>
      </c>
      <c r="B157" s="660">
        <v>127033.78</v>
      </c>
      <c r="C157" s="691"/>
      <c r="F157" s="215">
        <f t="shared" si="8"/>
        <v>127033.78</v>
      </c>
      <c r="K157" s="215" t="str">
        <f>VLOOKUP(A157,'PL Grouping'!A:A,1,)</f>
        <v>Loss on Sale of Assets</v>
      </c>
    </row>
    <row r="158" spans="1:11">
      <c r="A158" s="692" t="s">
        <v>207</v>
      </c>
      <c r="B158" s="660">
        <v>4697028.92</v>
      </c>
      <c r="C158" s="691"/>
      <c r="F158" s="215">
        <f t="shared" si="8"/>
        <v>4697028.92</v>
      </c>
      <c r="I158" s="215">
        <f>VLOOKUP(A158,'TB PY'!A:C,2,)</f>
        <v>701277.26</v>
      </c>
      <c r="K158" s="215" t="str">
        <f>VLOOKUP(A158,'PL Grouping'!A:A,1,)</f>
        <v>Marketing Expenses</v>
      </c>
    </row>
    <row r="159" spans="1:11">
      <c r="A159" s="692" t="s">
        <v>531</v>
      </c>
      <c r="B159" s="660">
        <v>37294.480000000003</v>
      </c>
      <c r="C159" s="691"/>
      <c r="F159" s="215">
        <f t="shared" si="8"/>
        <v>37294.480000000003</v>
      </c>
      <c r="I159" s="215">
        <f>VLOOKUP(A159,'TB PY'!A:C,2,)</f>
        <v>64103.13</v>
      </c>
      <c r="K159" s="215" t="str">
        <f>VLOOKUP(A159,'PL Grouping'!A:A,1,)</f>
        <v>Miscellenous Expenses</v>
      </c>
    </row>
    <row r="160" spans="1:11">
      <c r="A160" s="692" t="s">
        <v>208</v>
      </c>
      <c r="B160" s="660">
        <v>319706.65000000002</v>
      </c>
      <c r="C160" s="691"/>
      <c r="F160" s="215">
        <f t="shared" si="8"/>
        <v>319706.65000000002</v>
      </c>
      <c r="I160" s="215">
        <f>VLOOKUP(A160,'TB PY'!A:C,2,)</f>
        <v>141454</v>
      </c>
      <c r="K160" s="215" t="str">
        <f>VLOOKUP(A160,'PL Grouping'!A:A,1,)</f>
        <v>Office Expenses</v>
      </c>
    </row>
    <row r="161" spans="1:11">
      <c r="A161" s="692" t="s">
        <v>209</v>
      </c>
      <c r="B161" s="660">
        <v>65400</v>
      </c>
      <c r="C161" s="691"/>
      <c r="F161" s="215">
        <f t="shared" si="8"/>
        <v>65400</v>
      </c>
      <c r="I161" s="215">
        <f>VLOOKUP(A161,'TB PY'!A:C,2,)</f>
        <v>60000</v>
      </c>
      <c r="K161" s="215" t="str">
        <f>VLOOKUP(A161,'PL Grouping'!A:A,1,)</f>
        <v>Other Service Charges</v>
      </c>
    </row>
    <row r="162" spans="1:11">
      <c r="A162" s="692" t="s">
        <v>210</v>
      </c>
      <c r="B162" s="660">
        <v>117632.57</v>
      </c>
      <c r="C162" s="691"/>
      <c r="F162" s="215">
        <f t="shared" si="8"/>
        <v>117632.57</v>
      </c>
      <c r="I162" s="215">
        <f>VLOOKUP(A162,'TB PY'!A:C,2,)</f>
        <v>119841.91</v>
      </c>
      <c r="K162" s="215" t="str">
        <f>VLOOKUP(A162,'PL Grouping'!A:A,1,)</f>
        <v>Paytm Commission</v>
      </c>
    </row>
    <row r="163" spans="1:11">
      <c r="A163" s="692" t="s">
        <v>211</v>
      </c>
      <c r="B163" s="660">
        <v>63190</v>
      </c>
      <c r="C163" s="691"/>
      <c r="F163" s="215">
        <f t="shared" si="8"/>
        <v>63190</v>
      </c>
      <c r="I163" s="215">
        <f>VLOOKUP(A163,'TB PY'!A:C,2,)</f>
        <v>46503</v>
      </c>
      <c r="K163" s="215" t="str">
        <f>VLOOKUP(A163,'PL Grouping'!A:A,1,)</f>
        <v>PF Administrative Expenses</v>
      </c>
    </row>
    <row r="164" spans="1:11">
      <c r="A164" s="692" t="s">
        <v>212</v>
      </c>
      <c r="B164" s="660">
        <v>398536</v>
      </c>
      <c r="C164" s="691"/>
      <c r="F164" s="215">
        <f t="shared" si="8"/>
        <v>398536</v>
      </c>
      <c r="I164" s="215">
        <f>VLOOKUP(A164,'TB PY'!A:C,2,)</f>
        <v>237921</v>
      </c>
      <c r="K164" s="215" t="str">
        <f>VLOOKUP(A164,'PL Grouping'!A:A,1,)</f>
        <v>PF Employers Contribution @ 3.67%</v>
      </c>
    </row>
    <row r="165" spans="1:11">
      <c r="A165" s="692" t="s">
        <v>213</v>
      </c>
      <c r="B165" s="660">
        <v>5977919.8200000003</v>
      </c>
      <c r="C165" s="691"/>
      <c r="F165" s="215">
        <f t="shared" si="8"/>
        <v>5977919.8200000003</v>
      </c>
      <c r="I165" s="215">
        <f>VLOOKUP(A165,'TB PY'!A:C,2,)</f>
        <v>7405525.8499999996</v>
      </c>
      <c r="K165" s="215" t="str">
        <f>VLOOKUP(A165,'PL Grouping'!A:A,1,)</f>
        <v>Postage &amp; Courier</v>
      </c>
    </row>
    <row r="166" spans="1:11">
      <c r="A166" s="692" t="s">
        <v>532</v>
      </c>
      <c r="B166" s="660">
        <v>121164.44</v>
      </c>
      <c r="C166" s="691"/>
      <c r="F166" s="215">
        <f t="shared" si="8"/>
        <v>121164.44</v>
      </c>
      <c r="I166" s="215">
        <f>VLOOKUP(A166,'TB PY'!A:C,2,)</f>
        <v>70995.839999999997</v>
      </c>
      <c r="K166" s="215" t="str">
        <f>VLOOKUP(A166,'PL Grouping'!A:A,1,)</f>
        <v>Printing &amp; Stationery - Expenses</v>
      </c>
    </row>
    <row r="167" spans="1:11">
      <c r="A167" s="692" t="s">
        <v>214</v>
      </c>
      <c r="B167" s="660">
        <v>2500</v>
      </c>
      <c r="C167" s="691"/>
      <c r="F167" s="215">
        <f t="shared" si="8"/>
        <v>2500</v>
      </c>
      <c r="I167" s="215">
        <f>VLOOKUP(A167,'TB PY'!A:C,2,)</f>
        <v>2500</v>
      </c>
      <c r="K167" s="215" t="str">
        <f>VLOOKUP(A167,'PL Grouping'!A:A,1,)</f>
        <v>Profession Tax- Company</v>
      </c>
    </row>
    <row r="168" spans="1:11">
      <c r="A168" s="692" t="s">
        <v>1033</v>
      </c>
      <c r="B168" s="660">
        <v>322080.94</v>
      </c>
      <c r="C168" s="691"/>
      <c r="F168" s="215">
        <f t="shared" si="8"/>
        <v>322080.94</v>
      </c>
      <c r="I168" s="215">
        <f>VLOOKUP(A168,'TB PY'!A:C,2,)</f>
        <v>388157.57</v>
      </c>
      <c r="K168" s="215" t="str">
        <f>VLOOKUP(A168,'PL Grouping'!A:A,1,)</f>
        <v>Razorpay's Service Fees</v>
      </c>
    </row>
    <row r="169" spans="1:11">
      <c r="A169" s="692" t="s">
        <v>1550</v>
      </c>
      <c r="B169" s="660">
        <v>83741.899999999994</v>
      </c>
      <c r="C169" s="691"/>
      <c r="F169" s="215">
        <f t="shared" si="8"/>
        <v>83741.899999999994</v>
      </c>
      <c r="K169" s="215" t="str">
        <f>VLOOKUP(A169,'PL Grouping'!A:A,1,)</f>
        <v>Recruitment Charges</v>
      </c>
    </row>
    <row r="170" spans="1:11">
      <c r="A170" s="692" t="s">
        <v>1551</v>
      </c>
      <c r="B170" s="660">
        <v>175000</v>
      </c>
      <c r="C170" s="691"/>
      <c r="F170" s="215">
        <f t="shared" si="8"/>
        <v>175000</v>
      </c>
      <c r="K170" s="215" t="str">
        <f>VLOOKUP(A170,'PL Grouping'!A:A,1,)</f>
        <v>Recycling and Disposal of Plastic Waste</v>
      </c>
    </row>
    <row r="171" spans="1:11">
      <c r="A171" s="692" t="s">
        <v>215</v>
      </c>
      <c r="B171" s="660">
        <v>7507</v>
      </c>
      <c r="C171" s="691"/>
      <c r="F171" s="215">
        <f t="shared" si="8"/>
        <v>7507</v>
      </c>
      <c r="I171" s="215">
        <f>VLOOKUP(A171,'TB PY'!A:C,2,)</f>
        <v>8007</v>
      </c>
      <c r="K171" s="215" t="str">
        <f>VLOOKUP(A171,'PL Grouping'!A:A,1,)</f>
        <v>Registration Fees</v>
      </c>
    </row>
    <row r="172" spans="1:11">
      <c r="A172" s="692" t="s">
        <v>533</v>
      </c>
      <c r="B172" s="660">
        <v>9623</v>
      </c>
      <c r="C172" s="691"/>
      <c r="F172" s="215">
        <f t="shared" si="8"/>
        <v>9623</v>
      </c>
      <c r="I172" s="215">
        <f>VLOOKUP(A172,'TB PY'!A:C,2,)</f>
        <v>9066.25</v>
      </c>
      <c r="K172" s="215" t="str">
        <f>VLOOKUP(A172,'PL Grouping'!A:A,1,)</f>
        <v>Renewal Fees</v>
      </c>
    </row>
    <row r="173" spans="1:11">
      <c r="A173" s="707" t="s">
        <v>216</v>
      </c>
      <c r="B173" s="660">
        <v>2588226.06</v>
      </c>
      <c r="C173" s="691"/>
      <c r="F173" s="215">
        <f t="shared" si="8"/>
        <v>2588226.06</v>
      </c>
      <c r="I173" s="215">
        <f>VLOOKUP(A173,'TB PY'!A:C,2,)</f>
        <v>3306712.03</v>
      </c>
      <c r="K173" s="215" t="str">
        <f>VLOOKUP(A173,'PL Grouping'!A:A,1,)</f>
        <v>Rent</v>
      </c>
    </row>
    <row r="174" spans="1:11">
      <c r="A174" s="692" t="s">
        <v>534</v>
      </c>
      <c r="B174" s="660">
        <v>523637.36</v>
      </c>
      <c r="C174" s="691"/>
      <c r="F174" s="215">
        <f t="shared" si="8"/>
        <v>523637.36</v>
      </c>
      <c r="I174" s="215">
        <f>VLOOKUP(A174,'TB PY'!A:C,2,)</f>
        <v>702700</v>
      </c>
      <c r="K174" s="215" t="str">
        <f>VLOOKUP(A174,'PL Grouping'!A:A,1,)</f>
        <v>Repairs &amp; Maintainance</v>
      </c>
    </row>
    <row r="175" spans="1:11">
      <c r="A175" s="692" t="s">
        <v>218</v>
      </c>
      <c r="B175" s="660">
        <v>2275720</v>
      </c>
      <c r="C175" s="691"/>
      <c r="F175" s="215">
        <f t="shared" si="8"/>
        <v>2275720</v>
      </c>
      <c r="I175" s="215">
        <f>VLOOKUP(A175,'TB PY'!A:C,2,)</f>
        <v>1100400</v>
      </c>
      <c r="K175" s="215" t="str">
        <f>VLOOKUP(A175,'PL Grouping'!A:A,1,)</f>
        <v>Retainership Fees</v>
      </c>
    </row>
    <row r="176" spans="1:11">
      <c r="A176" s="692" t="s">
        <v>219</v>
      </c>
      <c r="B176" s="691"/>
      <c r="C176" s="660">
        <v>153.75</v>
      </c>
      <c r="F176" s="215">
        <f t="shared" ref="F176:F193" si="9">+B176+D176-C176-E176</f>
        <v>-153.75</v>
      </c>
      <c r="I176" s="215">
        <f>VLOOKUP(A176,'TB PY'!A:C,2,)</f>
        <v>0</v>
      </c>
      <c r="K176" s="215" t="str">
        <f>VLOOKUP(A176,'PL Grouping'!A:A,1,)</f>
        <v>Rounding Off</v>
      </c>
    </row>
    <row r="177" spans="1:11">
      <c r="A177" s="692" t="s">
        <v>1552</v>
      </c>
      <c r="B177" s="691"/>
      <c r="C177" s="660">
        <v>206.05</v>
      </c>
      <c r="F177" s="215">
        <f t="shared" si="9"/>
        <v>-206.05</v>
      </c>
      <c r="K177" s="215" t="str">
        <f>VLOOKUP(A177,'PL Grouping'!A:A,1,)</f>
        <v>RoundOff</v>
      </c>
    </row>
    <row r="178" spans="1:11">
      <c r="A178" s="692" t="s">
        <v>1148</v>
      </c>
      <c r="B178" s="660">
        <v>24618.71</v>
      </c>
      <c r="C178" s="691"/>
      <c r="F178" s="215">
        <f t="shared" si="9"/>
        <v>24618.71</v>
      </c>
      <c r="I178" s="215">
        <f>VLOOKUP(A178,'TB PY'!A:C,2,)</f>
        <v>51193.72</v>
      </c>
      <c r="K178" s="215" t="str">
        <f>VLOOKUP(A178,'PL Grouping'!A:A,1,)</f>
        <v>SBI Credit Card Late Fees</v>
      </c>
    </row>
    <row r="179" spans="1:11">
      <c r="A179" s="692" t="s">
        <v>1553</v>
      </c>
      <c r="B179" s="660">
        <v>57486.92</v>
      </c>
      <c r="C179" s="691"/>
      <c r="F179" s="215">
        <f t="shared" si="9"/>
        <v>57486.92</v>
      </c>
      <c r="K179" s="215" t="str">
        <f>VLOOKUP(A179,'PL Grouping'!A:A,1,)</f>
        <v>Simpl Commission</v>
      </c>
    </row>
    <row r="180" spans="1:11">
      <c r="A180" s="692" t="s">
        <v>535</v>
      </c>
      <c r="B180" s="660">
        <v>2356465.88</v>
      </c>
      <c r="C180" s="691"/>
      <c r="F180" s="215">
        <f t="shared" si="9"/>
        <v>2356465.88</v>
      </c>
      <c r="I180" s="215">
        <f>VLOOKUP(A180,'TB PY'!A:C,2,)</f>
        <v>1659670.74</v>
      </c>
      <c r="K180" s="215" t="str">
        <f>VLOOKUP(A180,'PL Grouping'!A:A,1,)</f>
        <v>Software Expense</v>
      </c>
    </row>
    <row r="181" spans="1:11">
      <c r="A181" s="692" t="s">
        <v>220</v>
      </c>
      <c r="B181" s="660">
        <v>434236</v>
      </c>
      <c r="C181" s="691"/>
      <c r="F181" s="215">
        <f t="shared" si="9"/>
        <v>434236</v>
      </c>
      <c r="I181" s="215">
        <f>VLOOKUP(A181,'TB PY'!A:C,2,)</f>
        <v>213307.08</v>
      </c>
      <c r="K181" s="215" t="str">
        <f>VLOOKUP(A181,'PL Grouping'!A:A,1,)</f>
        <v>Staff Welfare</v>
      </c>
    </row>
    <row r="182" spans="1:11">
      <c r="A182" s="692" t="s">
        <v>221</v>
      </c>
      <c r="B182" s="660">
        <v>378547</v>
      </c>
      <c r="C182" s="691"/>
      <c r="F182" s="215">
        <f t="shared" si="9"/>
        <v>378547</v>
      </c>
      <c r="I182" s="215">
        <f>VLOOKUP(A182,'TB PY'!A:C,2,)</f>
        <v>306791</v>
      </c>
      <c r="K182" s="215" t="str">
        <f>VLOOKUP(A182,'PL Grouping'!A:A,1,)</f>
        <v>Stipend</v>
      </c>
    </row>
    <row r="183" spans="1:11">
      <c r="A183" s="692" t="s">
        <v>1554</v>
      </c>
      <c r="B183" s="660">
        <v>23932</v>
      </c>
      <c r="C183" s="691"/>
      <c r="F183" s="215">
        <f t="shared" si="9"/>
        <v>23932</v>
      </c>
      <c r="K183" s="215" t="str">
        <f>VLOOKUP(A183,'PL Grouping'!A:A,1,)</f>
        <v>Sundry Advances / Debit Balance Written Off</v>
      </c>
    </row>
    <row r="184" spans="1:11">
      <c r="A184" s="692" t="s">
        <v>222</v>
      </c>
      <c r="B184" s="660">
        <v>2100</v>
      </c>
      <c r="C184" s="691"/>
      <c r="F184" s="215">
        <f t="shared" si="9"/>
        <v>2100</v>
      </c>
      <c r="I184" s="215">
        <f>VLOOKUP(A184,'TB PY'!A:C,2,)</f>
        <v>24928</v>
      </c>
      <c r="K184" s="215" t="str">
        <f>VLOOKUP(A184,'PL Grouping'!A:A,1,)</f>
        <v>Sundry Expenses</v>
      </c>
    </row>
    <row r="185" spans="1:11">
      <c r="A185" s="692" t="s">
        <v>223</v>
      </c>
      <c r="B185" s="660">
        <v>84297.38</v>
      </c>
      <c r="C185" s="691"/>
      <c r="F185" s="215">
        <f t="shared" si="9"/>
        <v>84297.38</v>
      </c>
      <c r="I185" s="215">
        <f>VLOOKUP(A185,'TB PY'!A:C,2,)</f>
        <v>108354.4</v>
      </c>
      <c r="K185" s="215" t="str">
        <f>VLOOKUP(A185,'PL Grouping'!A:A,1,)</f>
        <v>Telephone Expenses</v>
      </c>
    </row>
    <row r="186" spans="1:11">
      <c r="A186" s="692" t="s">
        <v>537</v>
      </c>
      <c r="B186" s="660">
        <v>45400</v>
      </c>
      <c r="C186" s="691"/>
      <c r="F186" s="215">
        <f t="shared" si="9"/>
        <v>45400</v>
      </c>
      <c r="I186" s="215">
        <f>VLOOKUP(A186,'TB PY'!A:C,2,)</f>
        <v>13751</v>
      </c>
      <c r="K186" s="215" t="str">
        <f>VLOOKUP(A186,'PL Grouping'!A:A,1,)</f>
        <v>Training Charges</v>
      </c>
    </row>
    <row r="187" spans="1:11">
      <c r="A187" s="692" t="s">
        <v>538</v>
      </c>
      <c r="B187" s="660">
        <v>98908</v>
      </c>
      <c r="C187" s="691"/>
      <c r="F187" s="215">
        <f t="shared" si="9"/>
        <v>98908</v>
      </c>
      <c r="I187" s="215">
        <f>VLOOKUP(A187,'TB PY'!A:C,2,)</f>
        <v>107622</v>
      </c>
      <c r="K187" s="215" t="str">
        <f>VLOOKUP(A187,'PL Grouping'!A:A,1,)</f>
        <v>Transportation Expenses</v>
      </c>
    </row>
    <row r="188" spans="1:11">
      <c r="A188" s="692" t="s">
        <v>224</v>
      </c>
      <c r="B188" s="660">
        <v>1497747.28</v>
      </c>
      <c r="C188" s="691"/>
      <c r="F188" s="215">
        <f t="shared" si="9"/>
        <v>1497747.28</v>
      </c>
      <c r="I188" s="215">
        <f>VLOOKUP(A188,'TB PY'!A:C,2,)</f>
        <v>360434</v>
      </c>
      <c r="K188" s="215" t="str">
        <f>VLOOKUP(A188,'PL Grouping'!A:A,1,)</f>
        <v>Travelling Expenses</v>
      </c>
    </row>
    <row r="189" spans="1:11">
      <c r="A189" s="692" t="s">
        <v>1555</v>
      </c>
      <c r="B189" s="660">
        <v>1899687.56</v>
      </c>
      <c r="C189" s="691"/>
      <c r="F189" s="215">
        <f t="shared" si="9"/>
        <v>1899687.56</v>
      </c>
      <c r="K189" s="215" t="str">
        <f>VLOOKUP(A189,'PL Grouping'!A:A,1,)</f>
        <v>Warehouse Service Charges</v>
      </c>
    </row>
    <row r="190" spans="1:11">
      <c r="A190" s="692" t="s">
        <v>1556</v>
      </c>
      <c r="B190" s="660">
        <v>58600</v>
      </c>
      <c r="C190" s="691"/>
      <c r="F190" s="215">
        <f t="shared" si="9"/>
        <v>58600</v>
      </c>
      <c r="K190" s="215" t="str">
        <f>VLOOKUP(A190,'PL Grouping'!A:A,1,)</f>
        <v>Waste Disposal Charges</v>
      </c>
    </row>
    <row r="191" spans="1:11">
      <c r="A191" s="692" t="s">
        <v>225</v>
      </c>
      <c r="B191" s="660">
        <v>352499.55</v>
      </c>
      <c r="C191" s="691"/>
      <c r="F191" s="215">
        <f t="shared" si="9"/>
        <v>352499.55</v>
      </c>
      <c r="I191" s="215">
        <f>VLOOKUP(A191,'TB PY'!A:C,2,)</f>
        <v>102706.19</v>
      </c>
      <c r="K191" s="215" t="str">
        <f>VLOOKUP(A191,'PL Grouping'!A:A,1,)</f>
        <v>Website Expenses</v>
      </c>
    </row>
    <row r="192" spans="1:11">
      <c r="A192" s="708" t="s">
        <v>1153</v>
      </c>
      <c r="B192" s="689">
        <v>117599828.17</v>
      </c>
      <c r="C192" s="694"/>
      <c r="G192" s="215">
        <f t="shared" ref="G192" si="10">+C192-B192+E192-D192</f>
        <v>-117599828.17</v>
      </c>
      <c r="I192" s="215">
        <f>VLOOKUP(A192,'TB PY'!A:C,2,)</f>
        <v>58940388.890000001</v>
      </c>
      <c r="K192" s="215" t="e">
        <f>VLOOKUP(A192,'PL Grouping'!A:A,1,)</f>
        <v>#N/A</v>
      </c>
    </row>
    <row r="193" spans="1:11">
      <c r="A193" s="709" t="s">
        <v>1154</v>
      </c>
      <c r="B193" s="679">
        <v>383832742.35000002</v>
      </c>
      <c r="C193" s="679">
        <v>383832742.35000002</v>
      </c>
      <c r="F193" s="215">
        <f t="shared" si="9"/>
        <v>0</v>
      </c>
      <c r="I193" s="215">
        <f>VLOOKUP(A193,'TB PY'!A:C,2,)</f>
        <v>347108915.82999998</v>
      </c>
      <c r="K193" s="215" t="e">
        <f>VLOOKUP(A193,'PL Grouping'!A:A,1,)</f>
        <v>#N/A</v>
      </c>
    </row>
  </sheetData>
  <autoFilter ref="A10:K193" xr:uid="{4C7E8ACC-1C30-46CF-BE44-2A8CEABF6180}"/>
  <mergeCells count="9">
    <mergeCell ref="B7:C7"/>
    <mergeCell ref="B8:C8"/>
    <mergeCell ref="B9:C9"/>
    <mergeCell ref="A1:C1"/>
    <mergeCell ref="A2:C2"/>
    <mergeCell ref="A3:C3"/>
    <mergeCell ref="A4:C4"/>
    <mergeCell ref="A5:C5"/>
    <mergeCell ref="A6:C6"/>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B7262-AE23-48D9-9FBB-5133E20DFC12}">
  <sheetPr>
    <pageSetUpPr fitToPage="1"/>
  </sheetPr>
  <dimension ref="A1:K210"/>
  <sheetViews>
    <sheetView workbookViewId="0">
      <selection activeCell="B25" sqref="B25"/>
    </sheetView>
  </sheetViews>
  <sheetFormatPr baseColWidth="10" defaultColWidth="9.1640625" defaultRowHeight="15"/>
  <cols>
    <col min="1" max="1" width="49.83203125" style="215" bestFit="1" customWidth="1"/>
    <col min="2" max="3" width="12.5" style="215" bestFit="1" customWidth="1"/>
    <col min="4" max="5" width="9.33203125" style="215" bestFit="1" customWidth="1"/>
    <col min="6" max="6" width="10.6640625" style="215" bestFit="1" customWidth="1"/>
    <col min="7" max="7" width="12.6640625" style="215" bestFit="1" customWidth="1"/>
    <col min="8" max="8" width="9.33203125" style="215" bestFit="1" customWidth="1"/>
    <col min="9" max="9" width="12" style="215" bestFit="1" customWidth="1"/>
    <col min="10" max="11" width="9.33203125" style="215" bestFit="1" customWidth="1"/>
    <col min="12" max="16384" width="9.1640625" style="215"/>
  </cols>
  <sheetData>
    <row r="1" spans="1:11" ht="16">
      <c r="A1" s="1051" t="s">
        <v>544</v>
      </c>
      <c r="B1" s="1051"/>
      <c r="C1" s="1051"/>
    </row>
    <row r="2" spans="1:11">
      <c r="A2" s="1052" t="s">
        <v>96</v>
      </c>
      <c r="B2" s="1052"/>
      <c r="C2" s="1052"/>
      <c r="G2" s="215">
        <v>188986</v>
      </c>
    </row>
    <row r="3" spans="1:11">
      <c r="A3" s="1052" t="s">
        <v>1251</v>
      </c>
      <c r="B3" s="1052"/>
      <c r="C3" s="1052"/>
      <c r="G3" s="215">
        <v>1661</v>
      </c>
    </row>
    <row r="4" spans="1:11">
      <c r="A4" s="1053" t="s">
        <v>1252</v>
      </c>
      <c r="B4" s="1053"/>
      <c r="C4" s="1053"/>
      <c r="H4" s="215">
        <v>190647</v>
      </c>
    </row>
    <row r="5" spans="1:11" ht="16">
      <c r="A5" s="1054" t="s">
        <v>98</v>
      </c>
      <c r="B5" s="1054"/>
      <c r="C5" s="1054"/>
    </row>
    <row r="6" spans="1:11">
      <c r="A6" s="1052" t="s">
        <v>1253</v>
      </c>
      <c r="B6" s="1052"/>
      <c r="C6" s="1052"/>
    </row>
    <row r="7" spans="1:11" ht="15" customHeight="1">
      <c r="A7" s="662" t="s">
        <v>99</v>
      </c>
      <c r="B7" s="1045" t="s">
        <v>545</v>
      </c>
      <c r="C7" s="1046"/>
    </row>
    <row r="8" spans="1:11" ht="15" customHeight="1">
      <c r="A8" s="667" t="s">
        <v>0</v>
      </c>
      <c r="B8" s="1047" t="s">
        <v>1253</v>
      </c>
      <c r="C8" s="1048"/>
    </row>
    <row r="9" spans="1:11">
      <c r="A9" s="667" t="s">
        <v>99</v>
      </c>
      <c r="B9" s="1049" t="s">
        <v>100</v>
      </c>
      <c r="C9" s="1050"/>
      <c r="D9" s="677" t="s">
        <v>77</v>
      </c>
      <c r="E9" s="677"/>
      <c r="F9" s="677" t="s">
        <v>1036</v>
      </c>
      <c r="G9" s="677"/>
    </row>
    <row r="10" spans="1:11">
      <c r="A10" s="675" t="s">
        <v>99</v>
      </c>
      <c r="B10" s="710" t="s">
        <v>101</v>
      </c>
      <c r="C10" s="710" t="s">
        <v>102</v>
      </c>
      <c r="D10" s="710" t="s">
        <v>101</v>
      </c>
      <c r="E10" s="710" t="s">
        <v>102</v>
      </c>
      <c r="F10" s="710" t="s">
        <v>101</v>
      </c>
      <c r="G10" s="710" t="s">
        <v>102</v>
      </c>
      <c r="H10" s="215">
        <v>0</v>
      </c>
      <c r="I10" s="215">
        <v>0</v>
      </c>
      <c r="J10" s="215">
        <v>0</v>
      </c>
      <c r="K10" s="215">
        <v>0</v>
      </c>
    </row>
    <row r="11" spans="1:11">
      <c r="A11" s="677" t="s">
        <v>103</v>
      </c>
      <c r="B11" s="679">
        <v>42108371.479999997</v>
      </c>
      <c r="C11" s="679">
        <v>236728666</v>
      </c>
    </row>
    <row r="12" spans="1:11">
      <c r="A12" s="682" t="s">
        <v>561</v>
      </c>
      <c r="B12" s="694">
        <v>91155</v>
      </c>
      <c r="C12" s="689">
        <v>172785643</v>
      </c>
      <c r="G12" s="711">
        <f>+C12-B12+E12-D12</f>
        <v>172694488</v>
      </c>
      <c r="I12" s="215">
        <f>VLOOKUP(A12,'TB PY'!A:C,2,)</f>
        <v>91155</v>
      </c>
    </row>
    <row r="13" spans="1:11">
      <c r="A13" s="682" t="s">
        <v>372</v>
      </c>
      <c r="B13" s="689">
        <v>42108371.479999997</v>
      </c>
      <c r="C13" s="694"/>
      <c r="G13" s="215">
        <f>+C13-B13+E13-D13</f>
        <v>-42108371.479999997</v>
      </c>
      <c r="I13" s="215">
        <f>VLOOKUP(A13,'TB PY'!A:C,2,)</f>
        <v>42108371.479999997</v>
      </c>
    </row>
    <row r="14" spans="1:11">
      <c r="A14" s="692" t="s">
        <v>104</v>
      </c>
      <c r="B14" s="691"/>
      <c r="C14" s="660">
        <v>59442630</v>
      </c>
      <c r="G14" s="215">
        <f>+C14-B14+E14-D14</f>
        <v>59442630</v>
      </c>
      <c r="I14" s="215">
        <f>VLOOKUP(A14,'TB PY'!A:C,2,)</f>
        <v>0</v>
      </c>
    </row>
    <row r="15" spans="1:11">
      <c r="A15" s="692" t="s">
        <v>1130</v>
      </c>
      <c r="B15" s="691"/>
      <c r="C15" s="660">
        <v>4500393</v>
      </c>
      <c r="G15" s="215">
        <f>+C15-B15+E15-D15</f>
        <v>4500393</v>
      </c>
      <c r="I15" s="215">
        <f>VLOOKUP(A15,'TB PY'!A:C,2,)</f>
        <v>0</v>
      </c>
    </row>
    <row r="16" spans="1:11">
      <c r="A16" s="677" t="s">
        <v>105</v>
      </c>
      <c r="B16" s="696"/>
      <c r="C16" s="703">
        <v>2843006.23</v>
      </c>
      <c r="I16" s="215">
        <f>VLOOKUP(A16,'TB PY'!A:C,2,)</f>
        <v>0</v>
      </c>
    </row>
    <row r="17" spans="1:9">
      <c r="A17" s="682" t="s">
        <v>106</v>
      </c>
      <c r="B17" s="694"/>
      <c r="C17" s="694"/>
      <c r="I17" s="215">
        <f>VLOOKUP(A17,'TB PY'!A:C,2,)</f>
        <v>0</v>
      </c>
    </row>
    <row r="18" spans="1:9">
      <c r="A18" s="682" t="s">
        <v>107</v>
      </c>
      <c r="B18" s="694"/>
      <c r="C18" s="694"/>
      <c r="I18" s="215">
        <f>VLOOKUP(A18,'TB PY'!A:C,2,)</f>
        <v>0</v>
      </c>
    </row>
    <row r="19" spans="1:9">
      <c r="A19" s="692" t="s">
        <v>1254</v>
      </c>
      <c r="B19" s="691"/>
      <c r="C19" s="660">
        <v>2843006.23</v>
      </c>
      <c r="G19" s="215">
        <f>+C19-B19+E19-D19</f>
        <v>2843006.23</v>
      </c>
      <c r="I19" s="215">
        <f>VLOOKUP(A19,'TB PY'!A:C,2,)</f>
        <v>0</v>
      </c>
    </row>
    <row r="20" spans="1:9">
      <c r="A20" s="677" t="s">
        <v>110</v>
      </c>
      <c r="B20" s="703">
        <v>17911778.199999999</v>
      </c>
      <c r="C20" s="703">
        <v>39641570.409999996</v>
      </c>
      <c r="I20" s="215">
        <f>VLOOKUP(A20,'TB PY'!A:C,2,)</f>
        <v>17911778.199999999</v>
      </c>
    </row>
    <row r="21" spans="1:9">
      <c r="A21" s="682" t="s">
        <v>111</v>
      </c>
      <c r="B21" s="712">
        <v>17328797.469999999</v>
      </c>
      <c r="C21" s="712">
        <v>1173101.68</v>
      </c>
      <c r="I21" s="215">
        <f>VLOOKUP(A21,'TB PY'!A:C,2,)</f>
        <v>17328797.469999999</v>
      </c>
    </row>
    <row r="22" spans="1:9">
      <c r="A22" s="682" t="s">
        <v>546</v>
      </c>
      <c r="B22" s="660">
        <v>17328797.469999999</v>
      </c>
      <c r="C22" s="660">
        <v>4825.05</v>
      </c>
      <c r="G22" s="215">
        <f t="shared" ref="G22:G37" si="0">+C22-B22+E22-D22</f>
        <v>-17323972.419999998</v>
      </c>
      <c r="I22" s="215">
        <f>VLOOKUP(A22,'TB PY'!A:C,2,)</f>
        <v>17328797.469999999</v>
      </c>
    </row>
    <row r="23" spans="1:9">
      <c r="A23" s="682" t="s">
        <v>547</v>
      </c>
      <c r="B23" s="691"/>
      <c r="C23" s="660">
        <v>609176.63</v>
      </c>
      <c r="G23" s="215">
        <f t="shared" si="0"/>
        <v>609176.63</v>
      </c>
      <c r="I23" s="215">
        <f>VLOOKUP(A23,'TB PY'!A:C,2,)</f>
        <v>0</v>
      </c>
    </row>
    <row r="24" spans="1:9">
      <c r="A24" s="713" t="s">
        <v>113</v>
      </c>
      <c r="B24" s="694"/>
      <c r="C24" s="689">
        <v>5600</v>
      </c>
      <c r="G24" s="215">
        <f t="shared" si="0"/>
        <v>5600</v>
      </c>
      <c r="I24" s="215">
        <f>VLOOKUP(A24,'TB PY'!A:C,2,)</f>
        <v>0</v>
      </c>
    </row>
    <row r="25" spans="1:9">
      <c r="A25" s="713" t="s">
        <v>114</v>
      </c>
      <c r="B25" s="694"/>
      <c r="C25" s="689">
        <v>553500</v>
      </c>
      <c r="G25" s="215">
        <f t="shared" si="0"/>
        <v>553500</v>
      </c>
      <c r="I25" s="215">
        <f>VLOOKUP(A25,'TB PY'!A:C,2,)</f>
        <v>0</v>
      </c>
    </row>
    <row r="26" spans="1:9">
      <c r="A26" s="682" t="s">
        <v>115</v>
      </c>
      <c r="B26" s="689">
        <v>491825</v>
      </c>
      <c r="C26" s="689">
        <v>35576798.630000003</v>
      </c>
      <c r="D26" s="215">
        <f>25000+5873</f>
        <v>30873</v>
      </c>
      <c r="E26" s="215">
        <f>116664+27190+111282.38+37354</f>
        <v>292490.38</v>
      </c>
      <c r="G26" s="215">
        <f t="shared" si="0"/>
        <v>35346591.010000005</v>
      </c>
      <c r="I26" s="215">
        <f>VLOOKUP(A26,'TB PY'!A:C,2,)</f>
        <v>491825</v>
      </c>
    </row>
    <row r="27" spans="1:9">
      <c r="A27" s="692" t="s">
        <v>118</v>
      </c>
      <c r="B27" s="691"/>
      <c r="C27" s="660">
        <v>351236</v>
      </c>
      <c r="G27" s="215">
        <f t="shared" si="0"/>
        <v>351236</v>
      </c>
      <c r="I27" s="215">
        <f>VLOOKUP(A27,'TB PY'!A:C,2,)</f>
        <v>0</v>
      </c>
    </row>
    <row r="28" spans="1:9">
      <c r="A28" s="692" t="s">
        <v>121</v>
      </c>
      <c r="B28" s="691"/>
      <c r="C28" s="660">
        <v>38158.239999999998</v>
      </c>
      <c r="G28" s="215">
        <f t="shared" si="0"/>
        <v>38158.239999999998</v>
      </c>
      <c r="I28" s="215">
        <f>VLOOKUP(A28,'TB PY'!A:C,2,)</f>
        <v>0</v>
      </c>
    </row>
    <row r="29" spans="1:9">
      <c r="A29" s="692" t="s">
        <v>122</v>
      </c>
      <c r="B29" s="691"/>
      <c r="C29" s="660">
        <v>1946</v>
      </c>
      <c r="G29" s="215">
        <f t="shared" si="0"/>
        <v>1946</v>
      </c>
      <c r="I29" s="215">
        <f>VLOOKUP(A29,'TB PY'!A:C,2,)</f>
        <v>0</v>
      </c>
    </row>
    <row r="30" spans="1:9">
      <c r="A30" s="692" t="s">
        <v>1255</v>
      </c>
      <c r="B30" s="691"/>
      <c r="C30" s="660">
        <v>378</v>
      </c>
      <c r="G30" s="215">
        <f t="shared" si="0"/>
        <v>378</v>
      </c>
      <c r="I30" s="215">
        <f>VLOOKUP(A30,'TB PY'!A:C,2,)</f>
        <v>0</v>
      </c>
    </row>
    <row r="31" spans="1:9">
      <c r="A31" s="692" t="s">
        <v>117</v>
      </c>
      <c r="B31" s="691"/>
      <c r="C31" s="660">
        <v>443588.86</v>
      </c>
      <c r="G31" s="215">
        <f t="shared" si="0"/>
        <v>443588.86</v>
      </c>
      <c r="I31" s="215">
        <f>VLOOKUP(A31,'TB PY'!A:C,2,)</f>
        <v>0</v>
      </c>
    </row>
    <row r="32" spans="1:9">
      <c r="A32" s="692" t="s">
        <v>548</v>
      </c>
      <c r="B32" s="691"/>
      <c r="C32" s="660">
        <v>2209</v>
      </c>
      <c r="G32" s="215">
        <f t="shared" si="0"/>
        <v>2209</v>
      </c>
      <c r="I32" s="215">
        <f>VLOOKUP(A32,'TB PY'!A:C,2,)</f>
        <v>0</v>
      </c>
    </row>
    <row r="33" spans="1:9">
      <c r="A33" s="692" t="s">
        <v>125</v>
      </c>
      <c r="B33" s="691"/>
      <c r="C33" s="660">
        <v>52383</v>
      </c>
      <c r="G33" s="215">
        <f t="shared" si="0"/>
        <v>52383</v>
      </c>
      <c r="I33" s="215">
        <f>VLOOKUP(A33,'TB PY'!A:C,2,)</f>
        <v>0</v>
      </c>
    </row>
    <row r="34" spans="1:9">
      <c r="A34" s="692" t="s">
        <v>126</v>
      </c>
      <c r="B34" s="691"/>
      <c r="C34" s="660">
        <v>52383</v>
      </c>
      <c r="F34" s="714"/>
      <c r="G34" s="215">
        <f t="shared" si="0"/>
        <v>52383</v>
      </c>
      <c r="I34" s="215">
        <f>VLOOKUP(A34,'TB PY'!A:C,2,)</f>
        <v>0</v>
      </c>
    </row>
    <row r="35" spans="1:9">
      <c r="A35" s="692" t="s">
        <v>127</v>
      </c>
      <c r="B35" s="691"/>
      <c r="C35" s="660">
        <v>477450</v>
      </c>
      <c r="G35" s="215">
        <f t="shared" si="0"/>
        <v>477450</v>
      </c>
      <c r="I35" s="215">
        <f>VLOOKUP(A35,'TB PY'!A:C,2,)</f>
        <v>0</v>
      </c>
    </row>
    <row r="36" spans="1:9">
      <c r="A36" s="692" t="s">
        <v>129</v>
      </c>
      <c r="B36" s="691"/>
      <c r="C36" s="660">
        <v>1444736</v>
      </c>
      <c r="G36" s="215">
        <f t="shared" si="0"/>
        <v>1444736</v>
      </c>
      <c r="I36" s="215">
        <f>VLOOKUP(A36,'TB PY'!A:C,2,)</f>
        <v>0</v>
      </c>
    </row>
    <row r="37" spans="1:9">
      <c r="A37" s="692" t="s">
        <v>1028</v>
      </c>
      <c r="B37" s="691"/>
      <c r="C37" s="660">
        <v>126</v>
      </c>
      <c r="G37" s="215">
        <f t="shared" si="0"/>
        <v>126</v>
      </c>
      <c r="I37" s="215">
        <f>VLOOKUP(A37,'TB PY'!A:C,2,)</f>
        <v>0</v>
      </c>
    </row>
    <row r="38" spans="1:9">
      <c r="A38" s="677" t="s">
        <v>131</v>
      </c>
      <c r="B38" s="715">
        <v>22071350.780000001</v>
      </c>
      <c r="C38" s="715">
        <v>5434679.6200000001</v>
      </c>
      <c r="D38" s="215">
        <f>5000-2565</f>
        <v>2435</v>
      </c>
      <c r="F38" s="215">
        <f>+B38+D38-C38-E38</f>
        <v>16639106.16</v>
      </c>
      <c r="I38" s="215">
        <f>VLOOKUP(A38,'TB PY'!A:C,2,)</f>
        <v>22071350.780000001</v>
      </c>
    </row>
    <row r="39" spans="1:9">
      <c r="A39" s="677" t="s">
        <v>133</v>
      </c>
      <c r="B39" s="703">
        <v>70680917.069999993</v>
      </c>
      <c r="C39" s="703">
        <v>9687.61</v>
      </c>
      <c r="I39" s="215">
        <f>VLOOKUP(A39,'TB PY'!A:C,2,)</f>
        <v>70680917.069999993</v>
      </c>
    </row>
    <row r="40" spans="1:9">
      <c r="A40" s="682" t="s">
        <v>134</v>
      </c>
      <c r="B40" s="689">
        <v>14745293.17</v>
      </c>
      <c r="C40" s="694"/>
      <c r="F40" s="215">
        <f t="shared" ref="F40:F69" si="1">+B40+D40-C40-E40</f>
        <v>14745293.17</v>
      </c>
      <c r="I40" s="215">
        <f>VLOOKUP(A40,'TB PY'!A:C,2,)</f>
        <v>14745293.17</v>
      </c>
    </row>
    <row r="41" spans="1:9">
      <c r="A41" s="682" t="s">
        <v>137</v>
      </c>
      <c r="B41" s="716">
        <v>110899.46</v>
      </c>
      <c r="C41" s="717"/>
      <c r="F41" s="215">
        <f t="shared" si="1"/>
        <v>110899.46</v>
      </c>
      <c r="I41" s="215">
        <f>VLOOKUP(A41,'TB PY'!A:C,2,)</f>
        <v>110899.46</v>
      </c>
    </row>
    <row r="42" spans="1:9">
      <c r="A42" s="713" t="s">
        <v>138</v>
      </c>
      <c r="B42" s="689">
        <v>110899.46</v>
      </c>
      <c r="C42" s="694"/>
      <c r="F42" s="215">
        <f t="shared" si="1"/>
        <v>110899.46</v>
      </c>
      <c r="I42" s="215">
        <f>VLOOKUP(A42,'TB PY'!A:C,2,)</f>
        <v>110899.46</v>
      </c>
    </row>
    <row r="43" spans="1:9">
      <c r="A43" s="682" t="s">
        <v>139</v>
      </c>
      <c r="B43" s="716">
        <v>1333554.3500000001</v>
      </c>
      <c r="C43" s="716">
        <v>9630.85</v>
      </c>
      <c r="F43" s="215">
        <f t="shared" si="1"/>
        <v>1323923.5</v>
      </c>
      <c r="I43" s="215">
        <f>VLOOKUP(A43,'TB PY'!A:C,2,)</f>
        <v>1333554.3500000001</v>
      </c>
    </row>
    <row r="44" spans="1:9">
      <c r="A44" s="718" t="s">
        <v>549</v>
      </c>
      <c r="B44" s="660">
        <v>47649.19</v>
      </c>
      <c r="C44" s="660">
        <v>568</v>
      </c>
      <c r="F44" s="215">
        <f t="shared" si="1"/>
        <v>47081.19</v>
      </c>
      <c r="I44" s="215">
        <f>VLOOKUP(A44,'TB PY'!A:C,2,)</f>
        <v>47649.19</v>
      </c>
    </row>
    <row r="45" spans="1:9">
      <c r="A45" s="719" t="s">
        <v>140</v>
      </c>
      <c r="B45" s="720">
        <v>90000</v>
      </c>
      <c r="C45" s="721"/>
      <c r="F45" s="215">
        <f t="shared" si="1"/>
        <v>90000</v>
      </c>
      <c r="I45" s="215">
        <f>VLOOKUP(A45,'TB PY'!A:C,2,)</f>
        <v>90000</v>
      </c>
    </row>
    <row r="46" spans="1:9">
      <c r="A46" s="722" t="s">
        <v>1319</v>
      </c>
      <c r="B46" s="660">
        <v>60000</v>
      </c>
      <c r="C46" s="691"/>
      <c r="F46" s="215">
        <f t="shared" si="1"/>
        <v>60000</v>
      </c>
      <c r="I46" s="215">
        <f>VLOOKUP(A46,'TB PY'!A:C,2,)</f>
        <v>60000</v>
      </c>
    </row>
    <row r="47" spans="1:9">
      <c r="A47" s="722" t="s">
        <v>1320</v>
      </c>
      <c r="B47" s="660">
        <v>30000</v>
      </c>
      <c r="C47" s="691"/>
      <c r="F47" s="215">
        <f t="shared" si="1"/>
        <v>30000</v>
      </c>
      <c r="I47" s="215">
        <f>VLOOKUP(A47,'TB PY'!A:C,2,)</f>
        <v>30000</v>
      </c>
    </row>
    <row r="48" spans="1:9">
      <c r="A48" s="723" t="s">
        <v>141</v>
      </c>
      <c r="B48" s="689">
        <v>274204.81</v>
      </c>
      <c r="C48" s="694"/>
      <c r="F48" s="215">
        <f t="shared" si="1"/>
        <v>274204.81</v>
      </c>
      <c r="I48" s="215">
        <f>VLOOKUP(A48,'TB PY'!A:C,2,)</f>
        <v>274204.81</v>
      </c>
    </row>
    <row r="49" spans="1:9">
      <c r="A49" s="713" t="s">
        <v>1131</v>
      </c>
      <c r="B49" s="689">
        <v>30.49</v>
      </c>
      <c r="C49" s="694"/>
      <c r="F49" s="215">
        <f t="shared" si="1"/>
        <v>30.49</v>
      </c>
      <c r="I49" s="215">
        <f>VLOOKUP(A49,'TB PY'!A:C,2,)</f>
        <v>30.49</v>
      </c>
    </row>
    <row r="50" spans="1:9">
      <c r="A50" s="713" t="s">
        <v>142</v>
      </c>
      <c r="B50" s="689">
        <v>25000</v>
      </c>
      <c r="C50" s="694"/>
      <c r="F50" s="215">
        <f t="shared" si="1"/>
        <v>25000</v>
      </c>
      <c r="I50" s="215">
        <f>VLOOKUP(A50,'TB PY'!A:C,2,)</f>
        <v>25000</v>
      </c>
    </row>
    <row r="51" spans="1:9">
      <c r="A51" s="713" t="s">
        <v>143</v>
      </c>
      <c r="B51" s="689">
        <v>896596.75</v>
      </c>
      <c r="C51" s="694"/>
      <c r="F51" s="215">
        <f t="shared" si="1"/>
        <v>896596.75</v>
      </c>
      <c r="I51" s="215">
        <f>VLOOKUP(A51,'TB PY'!A:C,2,)</f>
        <v>896596.75</v>
      </c>
    </row>
    <row r="52" spans="1:9">
      <c r="A52" s="723" t="s">
        <v>522</v>
      </c>
      <c r="B52" s="694"/>
      <c r="C52" s="689">
        <v>9013.7000000000007</v>
      </c>
      <c r="F52" s="215">
        <f t="shared" si="1"/>
        <v>-9013.7000000000007</v>
      </c>
      <c r="I52" s="215">
        <f>VLOOKUP(A52,'TB PY'!A:C,2,)</f>
        <v>0</v>
      </c>
    </row>
    <row r="53" spans="1:9">
      <c r="A53" s="723" t="s">
        <v>1030</v>
      </c>
      <c r="B53" s="694"/>
      <c r="C53" s="689">
        <v>49.15</v>
      </c>
      <c r="F53" s="215">
        <f t="shared" si="1"/>
        <v>-49.15</v>
      </c>
      <c r="I53" s="215">
        <f>VLOOKUP(A53,'TB PY'!A:C,2,)</f>
        <v>0</v>
      </c>
    </row>
    <row r="54" spans="1:9">
      <c r="A54" s="713" t="s">
        <v>1132</v>
      </c>
      <c r="B54" s="689">
        <v>73.11</v>
      </c>
      <c r="C54" s="694"/>
      <c r="F54" s="215">
        <f t="shared" si="1"/>
        <v>73.11</v>
      </c>
      <c r="I54" s="215">
        <f>VLOOKUP(A54,'TB PY'!A:C,2,)</f>
        <v>73.11</v>
      </c>
    </row>
    <row r="55" spans="1:9">
      <c r="A55" s="682" t="s">
        <v>144</v>
      </c>
      <c r="B55" s="689">
        <v>4660389.21</v>
      </c>
      <c r="C55" s="689">
        <v>56.76</v>
      </c>
      <c r="D55" s="215">
        <f>6863+130214.48</f>
        <v>137077.47999999998</v>
      </c>
      <c r="E55" s="215">
        <f>5873+725+1566+123677+130214.48+6863</f>
        <v>268918.48</v>
      </c>
      <c r="F55" s="215">
        <f t="shared" si="1"/>
        <v>4528491.4499999993</v>
      </c>
      <c r="I55" s="215">
        <f>VLOOKUP(A55,'TB PY'!A:C,2,)</f>
        <v>4660389.21</v>
      </c>
    </row>
    <row r="56" spans="1:9">
      <c r="A56" s="682" t="s">
        <v>147</v>
      </c>
      <c r="B56" s="716">
        <v>41102092.880000003</v>
      </c>
      <c r="C56" s="717"/>
      <c r="F56" s="215">
        <f t="shared" si="1"/>
        <v>41102092.880000003</v>
      </c>
      <c r="I56" s="215">
        <f>VLOOKUP(A56,'TB PY'!A:C,2,)</f>
        <v>41102092.880000003</v>
      </c>
    </row>
    <row r="57" spans="1:9">
      <c r="A57" s="713" t="s">
        <v>148</v>
      </c>
      <c r="B57" s="689">
        <v>10191.42</v>
      </c>
      <c r="C57" s="694"/>
      <c r="F57" s="215">
        <f t="shared" si="1"/>
        <v>10191.42</v>
      </c>
      <c r="I57" s="215">
        <f>VLOOKUP(A57,'TB PY'!A:C,2,)</f>
        <v>10191.42</v>
      </c>
    </row>
    <row r="58" spans="1:9">
      <c r="A58" s="713" t="s">
        <v>1256</v>
      </c>
      <c r="B58" s="689">
        <v>41060500.060000002</v>
      </c>
      <c r="C58" s="694"/>
      <c r="F58" s="215">
        <f t="shared" si="1"/>
        <v>41060500.060000002</v>
      </c>
      <c r="I58" s="215">
        <f>VLOOKUP(A58,'TB PY'!A:C,2,)</f>
        <v>41060500.060000002</v>
      </c>
    </row>
    <row r="59" spans="1:9">
      <c r="A59" s="723" t="s">
        <v>1133</v>
      </c>
      <c r="B59" s="689">
        <v>31401.4</v>
      </c>
      <c r="C59" s="694"/>
      <c r="F59" s="215">
        <f t="shared" si="1"/>
        <v>31401.4</v>
      </c>
      <c r="I59" s="215">
        <f>VLOOKUP(A59,'TB PY'!A:C,2,)</f>
        <v>31401.4</v>
      </c>
    </row>
    <row r="60" spans="1:9">
      <c r="A60" s="692" t="s">
        <v>1231</v>
      </c>
      <c r="B60" s="660">
        <v>374192</v>
      </c>
      <c r="C60" s="691"/>
      <c r="F60" s="215">
        <f t="shared" si="1"/>
        <v>374192</v>
      </c>
      <c r="I60" s="215">
        <f>VLOOKUP(A60,'TB PY'!A:C,2,)</f>
        <v>374192</v>
      </c>
    </row>
    <row r="61" spans="1:9">
      <c r="A61" s="692" t="s">
        <v>151</v>
      </c>
      <c r="B61" s="660">
        <v>8165446</v>
      </c>
      <c r="C61" s="691"/>
      <c r="F61" s="215">
        <f t="shared" si="1"/>
        <v>8165446</v>
      </c>
      <c r="I61" s="215">
        <f>VLOOKUP(A61,'TB PY'!A:C,2,)</f>
        <v>8165446</v>
      </c>
    </row>
    <row r="62" spans="1:9">
      <c r="A62" s="692" t="s">
        <v>154</v>
      </c>
      <c r="B62" s="660">
        <v>100000</v>
      </c>
      <c r="C62" s="691"/>
      <c r="F62" s="215">
        <f t="shared" si="1"/>
        <v>100000</v>
      </c>
      <c r="I62" s="215">
        <f>VLOOKUP(A62,'TB PY'!A:C,2,)</f>
        <v>100000</v>
      </c>
    </row>
    <row r="63" spans="1:9">
      <c r="A63" s="692" t="s">
        <v>156</v>
      </c>
      <c r="B63" s="660">
        <v>3710</v>
      </c>
      <c r="C63" s="691"/>
      <c r="F63" s="215">
        <f t="shared" si="1"/>
        <v>3710</v>
      </c>
      <c r="I63" s="215">
        <f>VLOOKUP(A63,'TB PY'!A:C,2,)</f>
        <v>3710</v>
      </c>
    </row>
    <row r="64" spans="1:9">
      <c r="A64" s="692" t="s">
        <v>550</v>
      </c>
      <c r="B64" s="660">
        <v>62760</v>
      </c>
      <c r="C64" s="691"/>
      <c r="F64" s="215">
        <f t="shared" si="1"/>
        <v>62760</v>
      </c>
      <c r="I64" s="215">
        <f>VLOOKUP(A64,'TB PY'!A:C,2,)</f>
        <v>62760</v>
      </c>
    </row>
    <row r="65" spans="1:11">
      <c r="A65" s="692" t="s">
        <v>157</v>
      </c>
      <c r="B65" s="660">
        <v>22580</v>
      </c>
      <c r="C65" s="691"/>
      <c r="F65" s="215">
        <f t="shared" si="1"/>
        <v>22580</v>
      </c>
      <c r="G65" s="338"/>
      <c r="I65" s="215">
        <f>VLOOKUP(A65,'TB PY'!A:C,2,)</f>
        <v>22580</v>
      </c>
    </row>
    <row r="66" spans="1:11">
      <c r="A66" s="677" t="s">
        <v>551</v>
      </c>
      <c r="B66" s="703">
        <v>1557157.73</v>
      </c>
      <c r="C66" s="696"/>
      <c r="F66" s="215">
        <f t="shared" si="1"/>
        <v>1557157.73</v>
      </c>
      <c r="I66" s="215">
        <f>VLOOKUP(A66,'TB PY'!A:C,2,)</f>
        <v>1557157.73</v>
      </c>
    </row>
    <row r="67" spans="1:11">
      <c r="A67" s="692" t="s">
        <v>552</v>
      </c>
      <c r="B67" s="660">
        <v>39452.75</v>
      </c>
      <c r="C67" s="691"/>
      <c r="F67" s="215">
        <f t="shared" si="1"/>
        <v>39452.75</v>
      </c>
      <c r="I67" s="215">
        <f>VLOOKUP(A67,'TB PY'!A:C,2,)</f>
        <v>39452.75</v>
      </c>
    </row>
    <row r="68" spans="1:11">
      <c r="A68" s="692" t="s">
        <v>553</v>
      </c>
      <c r="B68" s="660">
        <v>158163.09</v>
      </c>
      <c r="C68" s="691"/>
      <c r="F68" s="215">
        <f t="shared" si="1"/>
        <v>158163.09</v>
      </c>
      <c r="I68" s="215">
        <f>VLOOKUP(A68,'TB PY'!A:C,2,)</f>
        <v>158163.09</v>
      </c>
    </row>
    <row r="69" spans="1:11">
      <c r="A69" s="692" t="s">
        <v>1135</v>
      </c>
      <c r="B69" s="660">
        <v>1359541.89</v>
      </c>
      <c r="C69" s="691"/>
      <c r="F69" s="215">
        <f t="shared" si="1"/>
        <v>1359541.89</v>
      </c>
      <c r="I69" s="215">
        <f>VLOOKUP(A69,'TB PY'!A:C,2,)</f>
        <v>1359541.89</v>
      </c>
    </row>
    <row r="70" spans="1:11">
      <c r="A70" s="677" t="s">
        <v>1257</v>
      </c>
      <c r="B70" s="724"/>
      <c r="C70" s="724"/>
      <c r="G70" s="215">
        <f>+C70-B70+E70-D70</f>
        <v>0</v>
      </c>
      <c r="I70" s="215">
        <f>VLOOKUP(A70,'TB PY'!A:C,2,)</f>
        <v>0</v>
      </c>
    </row>
    <row r="71" spans="1:11">
      <c r="A71" s="677" t="s">
        <v>158</v>
      </c>
      <c r="B71" s="724"/>
      <c r="C71" s="715">
        <v>60671545.950000003</v>
      </c>
      <c r="G71" s="215">
        <f>+C71-B71+E71-D71</f>
        <v>60671545.950000003</v>
      </c>
      <c r="I71" s="215">
        <f>VLOOKUP(A71,'TB PY'!A:C,2,)</f>
        <v>0</v>
      </c>
      <c r="K71" s="215" t="str">
        <f>VLOOKUP(A71,'PL Grouping'!A:A,1,)</f>
        <v>Sales Accounts</v>
      </c>
    </row>
    <row r="72" spans="1:11">
      <c r="A72" s="677" t="s">
        <v>159</v>
      </c>
      <c r="B72" s="703">
        <v>55369864.469999999</v>
      </c>
      <c r="C72" s="703">
        <v>24526.44</v>
      </c>
      <c r="I72" s="215">
        <f>VLOOKUP(A72,'TB PY'!A:C,2,)</f>
        <v>55369864.469999999</v>
      </c>
      <c r="K72" s="215" t="e">
        <f>VLOOKUP(A72,'PL Grouping'!A:A,1,)</f>
        <v>#N/A</v>
      </c>
    </row>
    <row r="73" spans="1:11">
      <c r="A73" s="692" t="s">
        <v>1258</v>
      </c>
      <c r="B73" s="660">
        <v>51883.26</v>
      </c>
      <c r="C73" s="691"/>
      <c r="F73" s="215">
        <f t="shared" ref="F73:F88" si="2">+B73+D73-C73-E73</f>
        <v>51883.26</v>
      </c>
      <c r="I73" s="215">
        <f>VLOOKUP(A73,'TB PY'!A:C,2,)</f>
        <v>51883.26</v>
      </c>
      <c r="K73" s="215" t="str">
        <f>VLOOKUP(A73,'PL Grouping'!A:A,1,)</f>
        <v>Branch purchase</v>
      </c>
    </row>
    <row r="74" spans="1:11">
      <c r="A74" s="692" t="s">
        <v>160</v>
      </c>
      <c r="B74" s="660">
        <v>832926</v>
      </c>
      <c r="C74" s="691"/>
      <c r="F74" s="215">
        <f t="shared" si="2"/>
        <v>832926</v>
      </c>
      <c r="I74" s="215">
        <f>VLOOKUP(A74,'TB PY'!A:C,2,)</f>
        <v>832926</v>
      </c>
      <c r="K74" s="215" t="str">
        <f>VLOOKUP(A74,'PL Grouping'!A:A,1,)</f>
        <v>Custom Duty</v>
      </c>
    </row>
    <row r="75" spans="1:11">
      <c r="A75" s="692" t="s">
        <v>1259</v>
      </c>
      <c r="B75" s="691"/>
      <c r="C75" s="660">
        <v>24526.44</v>
      </c>
      <c r="F75" s="215">
        <f t="shared" si="2"/>
        <v>-24526.44</v>
      </c>
      <c r="I75" s="215">
        <f>VLOOKUP(A75,'TB PY'!A:C,2,)</f>
        <v>0</v>
      </c>
      <c r="K75" s="215" t="str">
        <f>VLOOKUP(A75,'PL Grouping'!A:A,1,)</f>
        <v>Local@0%</v>
      </c>
    </row>
    <row r="76" spans="1:11">
      <c r="A76" s="692" t="s">
        <v>161</v>
      </c>
      <c r="B76" s="660">
        <v>2065760.19</v>
      </c>
      <c r="C76" s="691"/>
      <c r="F76" s="215">
        <f t="shared" si="2"/>
        <v>2065760.19</v>
      </c>
      <c r="I76" s="215">
        <f>VLOOKUP(A76,'TB PY'!A:C,2,)</f>
        <v>2065760.19</v>
      </c>
      <c r="K76" s="215" t="str">
        <f>VLOOKUP(A76,'PL Grouping'!A:A,1,)</f>
        <v>Purchase Import</v>
      </c>
    </row>
    <row r="77" spans="1:11">
      <c r="A77" s="692" t="s">
        <v>162</v>
      </c>
      <c r="B77" s="660">
        <v>20092177.41</v>
      </c>
      <c r="C77" s="691"/>
      <c r="F77" s="215">
        <f t="shared" si="2"/>
        <v>20092177.41</v>
      </c>
      <c r="I77" s="215">
        <f>VLOOKUP(A77,'TB PY'!A:C,2,)</f>
        <v>20092177.41</v>
      </c>
      <c r="K77" s="215" t="str">
        <f>VLOOKUP(A77,'PL Grouping'!A:A,1,)</f>
        <v>Purchase Interstate</v>
      </c>
    </row>
    <row r="78" spans="1:11">
      <c r="A78" s="692" t="s">
        <v>1137</v>
      </c>
      <c r="B78" s="660">
        <v>585480.65</v>
      </c>
      <c r="C78" s="691"/>
      <c r="F78" s="215">
        <f t="shared" si="2"/>
        <v>585480.65</v>
      </c>
      <c r="I78" s="215">
        <f>VLOOKUP(A78,'TB PY'!A:C,2,)</f>
        <v>585480.65</v>
      </c>
      <c r="K78" s="215" t="str">
        <f>VLOOKUP(A78,'PL Grouping'!A:A,1,)</f>
        <v>Purchase Interstate@12%</v>
      </c>
    </row>
    <row r="79" spans="1:11">
      <c r="A79" s="692" t="s">
        <v>1260</v>
      </c>
      <c r="B79" s="660">
        <v>74541.19</v>
      </c>
      <c r="C79" s="691"/>
      <c r="F79" s="215">
        <f t="shared" si="2"/>
        <v>74541.19</v>
      </c>
      <c r="I79" s="215">
        <f>VLOOKUP(A79,'TB PY'!A:C,2,)</f>
        <v>74541.19</v>
      </c>
      <c r="K79" s="215" t="str">
        <f>VLOOKUP(A79,'PL Grouping'!A:A,1,)</f>
        <v>Purchase Interstate@3%</v>
      </c>
    </row>
    <row r="80" spans="1:11">
      <c r="A80" s="692" t="s">
        <v>1138</v>
      </c>
      <c r="B80" s="660">
        <v>88766.78</v>
      </c>
      <c r="C80" s="691"/>
      <c r="F80" s="215">
        <f t="shared" si="2"/>
        <v>88766.78</v>
      </c>
      <c r="I80" s="215">
        <f>VLOOKUP(A80,'TB PY'!A:C,2,)</f>
        <v>88766.78</v>
      </c>
      <c r="K80" s="215" t="str">
        <f>VLOOKUP(A80,'PL Grouping'!A:A,1,)</f>
        <v>Purchase Interstate@5%</v>
      </c>
    </row>
    <row r="81" spans="1:11">
      <c r="A81" s="692" t="s">
        <v>163</v>
      </c>
      <c r="B81" s="660">
        <v>31036133.289999999</v>
      </c>
      <c r="C81" s="691"/>
      <c r="F81" s="215">
        <f t="shared" si="2"/>
        <v>31036133.289999999</v>
      </c>
      <c r="I81" s="215">
        <f>VLOOKUP(A81,'TB PY'!A:C,2,)</f>
        <v>31036133.289999999</v>
      </c>
      <c r="K81" s="215" t="str">
        <f>VLOOKUP(A81,'PL Grouping'!A:A,1,)</f>
        <v>Purchase  Local</v>
      </c>
    </row>
    <row r="82" spans="1:11">
      <c r="A82" s="692" t="s">
        <v>1261</v>
      </c>
      <c r="B82" s="660">
        <v>299286.13</v>
      </c>
      <c r="C82" s="691"/>
      <c r="F82" s="215">
        <f t="shared" si="2"/>
        <v>299286.13</v>
      </c>
      <c r="I82" s="215">
        <f>VLOOKUP(A82,'TB PY'!A:C,2,)</f>
        <v>299286.13</v>
      </c>
      <c r="K82" s="215" t="str">
        <f>VLOOKUP(A82,'PL Grouping'!A:A,1,)</f>
        <v>Purchase Local@0%</v>
      </c>
    </row>
    <row r="83" spans="1:11">
      <c r="A83" s="692" t="s">
        <v>1139</v>
      </c>
      <c r="B83" s="660">
        <v>164959.57</v>
      </c>
      <c r="C83" s="691"/>
      <c r="F83" s="215">
        <f t="shared" si="2"/>
        <v>164959.57</v>
      </c>
      <c r="I83" s="215">
        <f>VLOOKUP(A83,'TB PY'!A:C,2,)</f>
        <v>164959.57</v>
      </c>
      <c r="K83" s="215" t="str">
        <f>VLOOKUP(A83,'PL Grouping'!A:A,1,)</f>
        <v>Purchase Local@12%</v>
      </c>
    </row>
    <row r="84" spans="1:11">
      <c r="A84" s="692" t="s">
        <v>1262</v>
      </c>
      <c r="B84" s="660">
        <v>77950</v>
      </c>
      <c r="C84" s="691"/>
      <c r="F84" s="215">
        <f t="shared" si="2"/>
        <v>77950</v>
      </c>
      <c r="I84" s="215">
        <f>VLOOKUP(A84,'TB PY'!A:C,2,)</f>
        <v>77950</v>
      </c>
      <c r="K84" s="215" t="str">
        <f>VLOOKUP(A84,'PL Grouping'!A:A,1,)</f>
        <v>Purchase Local@5%</v>
      </c>
    </row>
    <row r="85" spans="1:11">
      <c r="A85" s="677" t="s">
        <v>164</v>
      </c>
      <c r="B85" s="703">
        <v>2320933.8199999998</v>
      </c>
      <c r="C85" s="696"/>
      <c r="I85" s="215">
        <f>VLOOKUP(A85,'TB PY'!A:C,2,)</f>
        <v>2320933.8199999998</v>
      </c>
      <c r="K85" s="215" t="e">
        <f>VLOOKUP(A85,'PL Grouping'!A:A,1,)</f>
        <v>#N/A</v>
      </c>
    </row>
    <row r="86" spans="1:11">
      <c r="A86" s="692" t="s">
        <v>453</v>
      </c>
      <c r="B86" s="660">
        <v>94879.48</v>
      </c>
      <c r="C86" s="691"/>
      <c r="F86" s="215">
        <f t="shared" si="2"/>
        <v>94879.48</v>
      </c>
      <c r="I86" s="215">
        <f>VLOOKUP(A86,'TB PY'!A:C,2,)</f>
        <v>94879.48</v>
      </c>
      <c r="K86" s="215" t="str">
        <f>VLOOKUP(A86,'PL Grouping'!A:A,1,)</f>
        <v>Freight Charges</v>
      </c>
    </row>
    <row r="87" spans="1:11">
      <c r="A87" s="692" t="s">
        <v>524</v>
      </c>
      <c r="B87" s="660">
        <v>104616</v>
      </c>
      <c r="C87" s="691"/>
      <c r="F87" s="215">
        <f t="shared" si="2"/>
        <v>104616</v>
      </c>
      <c r="I87" s="215">
        <f>VLOOKUP(A87,'TB PY'!A:C,2,)</f>
        <v>104616</v>
      </c>
      <c r="K87" s="215" t="str">
        <f>VLOOKUP(A87,'PL Grouping'!A:A,1,)</f>
        <v>Leave encashment</v>
      </c>
    </row>
    <row r="88" spans="1:11">
      <c r="A88" s="692" t="s">
        <v>165</v>
      </c>
      <c r="B88" s="660">
        <v>2121438.34</v>
      </c>
      <c r="C88" s="691"/>
      <c r="F88" s="215">
        <f t="shared" si="2"/>
        <v>2121438.34</v>
      </c>
      <c r="I88" s="215">
        <f>VLOOKUP(A88,'TB PY'!A:C,2,)</f>
        <v>2121438.34</v>
      </c>
      <c r="K88" s="215" t="str">
        <f>VLOOKUP(A88,'PL Grouping'!A:A,1,)</f>
        <v>Packing Material</v>
      </c>
    </row>
    <row r="89" spans="1:11">
      <c r="A89" s="677" t="s">
        <v>166</v>
      </c>
      <c r="B89" s="703">
        <v>895000</v>
      </c>
      <c r="C89" s="703">
        <v>1623960.31</v>
      </c>
      <c r="I89" s="215">
        <f>VLOOKUP(A89,'TB PY'!A:C,2,)</f>
        <v>895000</v>
      </c>
      <c r="K89" s="215" t="e">
        <f>VLOOKUP(A89,'PL Grouping'!A:A,1,)</f>
        <v>#N/A</v>
      </c>
    </row>
    <row r="90" spans="1:11">
      <c r="A90" s="692" t="s">
        <v>1031</v>
      </c>
      <c r="B90" s="691"/>
      <c r="C90" s="660">
        <v>266584</v>
      </c>
      <c r="G90" s="215">
        <f t="shared" ref="G90:G101" si="3">+C90-B90+E90-D90</f>
        <v>266584</v>
      </c>
      <c r="I90" s="215">
        <f>VLOOKUP(A90,'TB PY'!A:C,2,)</f>
        <v>0</v>
      </c>
      <c r="K90" s="215" t="str">
        <f>VLOOKUP(A90,'PL Grouping'!A:A,1,)</f>
        <v>Business Support Service Charges</v>
      </c>
    </row>
    <row r="91" spans="1:11">
      <c r="A91" s="692" t="s">
        <v>1358</v>
      </c>
      <c r="B91" s="691"/>
      <c r="C91" s="660"/>
      <c r="D91" s="215">
        <v>2565</v>
      </c>
      <c r="E91" s="215">
        <v>5000</v>
      </c>
      <c r="G91" s="215">
        <f t="shared" si="3"/>
        <v>2435</v>
      </c>
      <c r="I91" s="215">
        <f>VLOOKUP(A91,'TB PY'!A:C,2,)</f>
        <v>0</v>
      </c>
    </row>
    <row r="92" spans="1:11">
      <c r="A92" s="692" t="s">
        <v>1321</v>
      </c>
      <c r="B92" s="660">
        <v>895000</v>
      </c>
      <c r="C92" s="691"/>
      <c r="F92" s="215">
        <f>+B92+D92-C92-E92</f>
        <v>895000</v>
      </c>
      <c r="I92" s="215">
        <f>VLOOKUP(A92,'TB PY'!A:C,2,)</f>
        <v>895000</v>
      </c>
      <c r="K92" s="215" t="str">
        <f>VLOOKUP(A92,'PL Grouping'!A:A,1,)</f>
        <v>Business Support Service (Expense)</v>
      </c>
    </row>
    <row r="93" spans="1:11">
      <c r="A93" s="692" t="s">
        <v>167</v>
      </c>
      <c r="B93" s="691"/>
      <c r="C93" s="660">
        <v>750</v>
      </c>
      <c r="G93" s="215">
        <f t="shared" si="3"/>
        <v>750</v>
      </c>
      <c r="I93" s="215">
        <f>VLOOKUP(A93,'TB PY'!A:C,2,)</f>
        <v>0</v>
      </c>
      <c r="K93" s="215" t="str">
        <f>VLOOKUP(A93,'PL Grouping'!A:A,1,)</f>
        <v>Discount Recieved</v>
      </c>
    </row>
    <row r="94" spans="1:11">
      <c r="A94" s="692" t="s">
        <v>198</v>
      </c>
      <c r="B94" s="691"/>
      <c r="C94" s="660">
        <v>21552.52</v>
      </c>
      <c r="D94" s="215">
        <f>116664+27190</f>
        <v>143854</v>
      </c>
      <c r="F94" s="215">
        <f>+B94+D94-C94-E94</f>
        <v>122301.48</v>
      </c>
      <c r="I94" s="215">
        <f>VLOOKUP(A94,'TB PY'!A:C,2,)</f>
        <v>0</v>
      </c>
      <c r="K94" s="215" t="str">
        <f>VLOOKUP(A94,'PL Grouping'!A:A,1,)</f>
        <v>Exchange Rate Difference</v>
      </c>
    </row>
    <row r="95" spans="1:11">
      <c r="A95" s="692" t="s">
        <v>168</v>
      </c>
      <c r="B95" s="691"/>
      <c r="C95" s="660">
        <v>4729</v>
      </c>
      <c r="G95" s="215">
        <f t="shared" si="3"/>
        <v>4729</v>
      </c>
      <c r="I95" s="215">
        <f>VLOOKUP(A95,'TB PY'!A:C,2,)</f>
        <v>0</v>
      </c>
      <c r="K95" s="215" t="str">
        <f>VLOOKUP(A95,'PL Grouping'!A:A,1,)</f>
        <v>Interest on FD</v>
      </c>
    </row>
    <row r="96" spans="1:11">
      <c r="A96" s="692" t="s">
        <v>454</v>
      </c>
      <c r="B96" s="691"/>
      <c r="C96" s="660">
        <v>8748</v>
      </c>
      <c r="G96" s="215">
        <f t="shared" si="3"/>
        <v>8748</v>
      </c>
      <c r="I96" s="215">
        <f>VLOOKUP(A96,'TB PY'!A:C,2,)</f>
        <v>0</v>
      </c>
      <c r="K96" s="215" t="str">
        <f>VLOOKUP(A96,'PL Grouping'!A:A,1,)</f>
        <v>Interest on Income Tax Refund</v>
      </c>
    </row>
    <row r="97" spans="1:11">
      <c r="A97" s="692" t="s">
        <v>1263</v>
      </c>
      <c r="B97" s="691"/>
      <c r="C97" s="660">
        <v>380600</v>
      </c>
      <c r="G97" s="215">
        <f t="shared" si="3"/>
        <v>380600</v>
      </c>
      <c r="I97" s="215">
        <f>VLOOKUP(A97,'TB PY'!A:C,2,)</f>
        <v>0</v>
      </c>
      <c r="K97" s="215" t="str">
        <f>VLOOKUP(A97,'PL Grouping'!A:A,1,)</f>
        <v>Marketing Activities ( Advertisement )</v>
      </c>
    </row>
    <row r="98" spans="1:11">
      <c r="A98" s="692" t="s">
        <v>525</v>
      </c>
      <c r="B98" s="691"/>
      <c r="C98" s="660">
        <v>66627.520000000004</v>
      </c>
      <c r="G98" s="215">
        <f t="shared" si="3"/>
        <v>66627.520000000004</v>
      </c>
      <c r="I98" s="215">
        <f>VLOOKUP(A98,'TB PY'!A:C,2,)</f>
        <v>0</v>
      </c>
      <c r="K98" s="215" t="str">
        <f>VLOOKUP(A98,'PL Grouping'!A:A,1,)</f>
        <v>Miscellenous  Income</v>
      </c>
    </row>
    <row r="99" spans="1:11">
      <c r="A99" s="692" t="s">
        <v>1322</v>
      </c>
      <c r="B99" s="691"/>
      <c r="C99" s="660">
        <v>24198</v>
      </c>
      <c r="G99" s="215">
        <f t="shared" si="3"/>
        <v>24198</v>
      </c>
      <c r="I99" s="215">
        <f>VLOOKUP(A99,'TB PY'!A:C,2,)</f>
        <v>0</v>
      </c>
      <c r="K99" s="215" t="str">
        <f>VLOOKUP(A99,'PL Grouping'!A:A,1,)</f>
        <v>Notional Interest Income</v>
      </c>
    </row>
    <row r="100" spans="1:11">
      <c r="A100" s="692" t="s">
        <v>457</v>
      </c>
      <c r="B100" s="691"/>
      <c r="C100" s="660">
        <v>625921.77</v>
      </c>
      <c r="G100" s="215">
        <f t="shared" si="3"/>
        <v>625921.77</v>
      </c>
      <c r="I100" s="215">
        <f>VLOOKUP(A100,'TB PY'!A:C,2,)</f>
        <v>0</v>
      </c>
      <c r="K100" s="215" t="str">
        <f>VLOOKUP(A100,'PL Grouping'!A:A,1,)</f>
        <v>Shipping Charges</v>
      </c>
    </row>
    <row r="101" spans="1:11">
      <c r="A101" s="692" t="s">
        <v>526</v>
      </c>
      <c r="B101" s="691"/>
      <c r="C101" s="660">
        <v>224249.5</v>
      </c>
      <c r="G101" s="215">
        <f t="shared" si="3"/>
        <v>224249.5</v>
      </c>
      <c r="I101" s="215">
        <f>VLOOKUP(A101,'TB PY'!A:C,2,)</f>
        <v>0</v>
      </c>
      <c r="K101" s="215" t="str">
        <f>VLOOKUP(A101,'PL Grouping'!A:A,1,)</f>
        <v>Sundry Advances / Credit Balance Written Off</v>
      </c>
    </row>
    <row r="102" spans="1:11">
      <c r="A102" s="677" t="s">
        <v>170</v>
      </c>
      <c r="B102" s="703">
        <v>75253153.390000001</v>
      </c>
      <c r="C102" s="703">
        <v>131273.26</v>
      </c>
      <c r="I102" s="215">
        <f>VLOOKUP(A102,'TB PY'!A:C,2,)</f>
        <v>75253153.390000001</v>
      </c>
      <c r="K102" s="215" t="e">
        <f>VLOOKUP(A102,'PL Grouping'!A:A,1,)</f>
        <v>#N/A</v>
      </c>
    </row>
    <row r="103" spans="1:11">
      <c r="A103" s="725" t="s">
        <v>171</v>
      </c>
      <c r="B103" s="689">
        <v>14431152</v>
      </c>
      <c r="C103" s="694"/>
      <c r="F103" s="215">
        <f t="shared" ref="F103:F179" si="4">+B103+D103-C103-E103</f>
        <v>14431152</v>
      </c>
      <c r="I103" s="215">
        <f>VLOOKUP(A103,'TB PY'!A:C,2,)</f>
        <v>14431152</v>
      </c>
      <c r="K103" s="215" t="e">
        <f>VLOOKUP(A103,'PL Grouping'!A:A,1,)</f>
        <v>#N/A</v>
      </c>
    </row>
    <row r="104" spans="1:11">
      <c r="A104" s="725" t="s">
        <v>172</v>
      </c>
      <c r="B104" s="689">
        <v>4895721</v>
      </c>
      <c r="C104" s="694"/>
      <c r="F104" s="215">
        <f t="shared" si="4"/>
        <v>4895721</v>
      </c>
      <c r="I104" s="215">
        <f>VLOOKUP(A104,'TB PY'!A:C,2,)</f>
        <v>4895721</v>
      </c>
      <c r="K104" s="215" t="str">
        <f>VLOOKUP(A104,'PL Grouping'!A:A,1,)</f>
        <v>Basic Salary</v>
      </c>
    </row>
    <row r="105" spans="1:11">
      <c r="A105" s="725" t="s">
        <v>173</v>
      </c>
      <c r="B105" s="689">
        <v>865981</v>
      </c>
      <c r="C105" s="694"/>
      <c r="F105" s="215">
        <f t="shared" si="4"/>
        <v>865981</v>
      </c>
      <c r="I105" s="215">
        <f>VLOOKUP(A105,'TB PY'!A:C,2,)</f>
        <v>865981</v>
      </c>
      <c r="K105" s="215" t="str">
        <f>VLOOKUP(A105,'PL Grouping'!A:A,1,)</f>
        <v>Conveyance Allowance</v>
      </c>
    </row>
    <row r="106" spans="1:11">
      <c r="A106" s="725" t="s">
        <v>128</v>
      </c>
      <c r="B106" s="689">
        <v>188986</v>
      </c>
      <c r="C106" s="694"/>
      <c r="F106" s="215">
        <f t="shared" si="4"/>
        <v>188986</v>
      </c>
      <c r="I106" s="215">
        <f>VLOOKUP(A106,'TB PY'!A:C,2,)</f>
        <v>188986</v>
      </c>
      <c r="K106" s="215" t="str">
        <f>VLOOKUP(A106,'PL Grouping'!A:A,1,)</f>
        <v>Gratuity</v>
      </c>
    </row>
    <row r="107" spans="1:11">
      <c r="A107" s="725" t="s">
        <v>174</v>
      </c>
      <c r="B107" s="689">
        <v>1937453</v>
      </c>
      <c r="C107" s="694"/>
      <c r="F107" s="215">
        <f t="shared" si="4"/>
        <v>1937453</v>
      </c>
      <c r="I107" s="215">
        <f>VLOOKUP(A107,'TB PY'!A:C,2,)</f>
        <v>1937453</v>
      </c>
      <c r="K107" s="215" t="str">
        <f>VLOOKUP(A107,'PL Grouping'!A:A,1,)</f>
        <v>House Rent Allowance</v>
      </c>
    </row>
    <row r="108" spans="1:11">
      <c r="A108" s="725" t="s">
        <v>175</v>
      </c>
      <c r="B108" s="689">
        <v>520646</v>
      </c>
      <c r="C108" s="694"/>
      <c r="F108" s="215">
        <f t="shared" si="4"/>
        <v>520646</v>
      </c>
      <c r="I108" s="215">
        <f>VLOOKUP(A108,'TB PY'!A:C,2,)</f>
        <v>520646</v>
      </c>
      <c r="K108" s="215" t="str">
        <f>VLOOKUP(A108,'PL Grouping'!A:A,1,)</f>
        <v>Leave benefits</v>
      </c>
    </row>
    <row r="109" spans="1:11">
      <c r="A109" s="725" t="s">
        <v>176</v>
      </c>
      <c r="B109" s="689">
        <v>281330</v>
      </c>
      <c r="C109" s="694"/>
      <c r="F109" s="215">
        <f t="shared" si="4"/>
        <v>281330</v>
      </c>
      <c r="I109" s="215">
        <f>VLOOKUP(A109,'TB PY'!A:C,2,)</f>
        <v>281330</v>
      </c>
      <c r="K109" s="215" t="str">
        <f>VLOOKUP(A109,'PL Grouping'!A:A,1,)</f>
        <v>Leave Travel Allowance</v>
      </c>
    </row>
    <row r="110" spans="1:11">
      <c r="A110" s="725" t="s">
        <v>177</v>
      </c>
      <c r="B110" s="689">
        <v>287391</v>
      </c>
      <c r="C110" s="694"/>
      <c r="F110" s="215">
        <f t="shared" si="4"/>
        <v>287391</v>
      </c>
      <c r="I110" s="215">
        <f>VLOOKUP(A110,'TB PY'!A:C,2,)</f>
        <v>287391</v>
      </c>
      <c r="K110" s="215" t="str">
        <f>VLOOKUP(A110,'PL Grouping'!A:A,1,)</f>
        <v>Medical Allowance</v>
      </c>
    </row>
    <row r="111" spans="1:11">
      <c r="A111" s="725" t="s">
        <v>178</v>
      </c>
      <c r="B111" s="689">
        <v>1126753</v>
      </c>
      <c r="C111" s="694"/>
      <c r="F111" s="215">
        <f t="shared" si="4"/>
        <v>1126753</v>
      </c>
      <c r="I111" s="215">
        <f>VLOOKUP(A111,'TB PY'!A:C,2,)</f>
        <v>1126753</v>
      </c>
      <c r="K111" s="215" t="str">
        <f>VLOOKUP(A111,'PL Grouping'!A:A,1,)</f>
        <v>Other Allowance</v>
      </c>
    </row>
    <row r="112" spans="1:11">
      <c r="A112" s="725" t="s">
        <v>527</v>
      </c>
      <c r="B112" s="689">
        <v>9900</v>
      </c>
      <c r="C112" s="694"/>
      <c r="F112" s="215">
        <f t="shared" si="4"/>
        <v>9900</v>
      </c>
      <c r="I112" s="215">
        <f>VLOOKUP(A112,'TB PY'!A:C,2,)</f>
        <v>9900</v>
      </c>
      <c r="K112" s="215" t="str">
        <f>VLOOKUP(A112,'PL Grouping'!A:A,1,)</f>
        <v>Overtime Allowance</v>
      </c>
    </row>
    <row r="113" spans="1:11">
      <c r="A113" s="725" t="s">
        <v>179</v>
      </c>
      <c r="B113" s="689">
        <v>1816054</v>
      </c>
      <c r="C113" s="694"/>
      <c r="F113" s="215">
        <f t="shared" si="4"/>
        <v>1816054</v>
      </c>
      <c r="I113" s="215">
        <f>VLOOKUP(A113,'TB PY'!A:C,2,)</f>
        <v>1816054</v>
      </c>
      <c r="K113" s="215" t="str">
        <f>VLOOKUP(A113,'PL Grouping'!A:A,1,)</f>
        <v>Special Allowance</v>
      </c>
    </row>
    <row r="114" spans="1:11">
      <c r="A114" s="725" t="s">
        <v>180</v>
      </c>
      <c r="B114" s="689">
        <v>1491418</v>
      </c>
      <c r="C114" s="694"/>
      <c r="F114" s="215">
        <f t="shared" si="4"/>
        <v>1491418</v>
      </c>
      <c r="I114" s="215">
        <f>VLOOKUP(A114,'TB PY'!A:C,2,)</f>
        <v>1491418</v>
      </c>
      <c r="K114" s="215" t="str">
        <f>VLOOKUP(A114,'PL Grouping'!A:A,1,)</f>
        <v>Supplementary Allowance</v>
      </c>
    </row>
    <row r="115" spans="1:11">
      <c r="A115" s="725" t="s">
        <v>181</v>
      </c>
      <c r="B115" s="689">
        <v>354324</v>
      </c>
      <c r="C115" s="694"/>
      <c r="F115" s="215">
        <f t="shared" si="4"/>
        <v>354324</v>
      </c>
      <c r="I115" s="215">
        <f>VLOOKUP(A115,'TB PY'!A:C,2,)</f>
        <v>354324</v>
      </c>
      <c r="K115" s="215" t="str">
        <f>VLOOKUP(A115,'PL Grouping'!A:A,1,)</f>
        <v>Telephone Allowance</v>
      </c>
    </row>
    <row r="116" spans="1:11">
      <c r="A116" s="725" t="s">
        <v>182</v>
      </c>
      <c r="B116" s="689">
        <v>589828</v>
      </c>
      <c r="C116" s="694"/>
      <c r="F116" s="215">
        <f t="shared" si="4"/>
        <v>589828</v>
      </c>
      <c r="I116" s="215">
        <f>VLOOKUP(A116,'TB PY'!A:C,2,)</f>
        <v>589828</v>
      </c>
      <c r="K116" s="215" t="str">
        <f>VLOOKUP(A116,'PL Grouping'!A:A,1,)</f>
        <v>Variable Incentives</v>
      </c>
    </row>
    <row r="117" spans="1:11">
      <c r="A117" s="692" t="s">
        <v>183</v>
      </c>
      <c r="B117" s="660">
        <v>300000</v>
      </c>
      <c r="C117" s="691"/>
      <c r="F117" s="215">
        <f t="shared" si="4"/>
        <v>300000</v>
      </c>
      <c r="I117" s="215">
        <f>VLOOKUP(A117,'TB PY'!A:C,2,)</f>
        <v>300000</v>
      </c>
      <c r="K117" s="215" t="str">
        <f>VLOOKUP(A117,'PL Grouping'!A:A,1,)</f>
        <v>Administrative Expenses</v>
      </c>
    </row>
    <row r="118" spans="1:11">
      <c r="A118" s="692" t="s">
        <v>184</v>
      </c>
      <c r="B118" s="660">
        <v>22350389</v>
      </c>
      <c r="C118" s="691"/>
      <c r="F118" s="215">
        <f t="shared" si="4"/>
        <v>22350389</v>
      </c>
      <c r="I118" s="215">
        <f>VLOOKUP(A118,'TB PY'!A:C,2,)</f>
        <v>22350389</v>
      </c>
      <c r="K118" s="215" t="str">
        <f>VLOOKUP(A118,'PL Grouping'!A:A,1,)</f>
        <v>Advertisement Expenses</v>
      </c>
    </row>
    <row r="119" spans="1:11">
      <c r="A119" s="692" t="s">
        <v>528</v>
      </c>
      <c r="B119" s="660">
        <v>22500</v>
      </c>
      <c r="C119" s="691"/>
      <c r="F119" s="215">
        <f t="shared" si="4"/>
        <v>22500</v>
      </c>
      <c r="I119" s="215">
        <f>VLOOKUP(A119,'TB PY'!A:C,2,)</f>
        <v>22500</v>
      </c>
      <c r="K119" s="215" t="str">
        <f>VLOOKUP(A119,'PL Grouping'!A:A,1,)</f>
        <v>Annual Maintenance Expenses</v>
      </c>
    </row>
    <row r="120" spans="1:11">
      <c r="A120" s="692" t="s">
        <v>185</v>
      </c>
      <c r="B120" s="660">
        <v>121000</v>
      </c>
      <c r="C120" s="691"/>
      <c r="F120" s="215">
        <f t="shared" si="4"/>
        <v>121000</v>
      </c>
      <c r="I120" s="215">
        <f>VLOOKUP(A120,'TB PY'!A:C,2,)</f>
        <v>121000</v>
      </c>
      <c r="K120" s="215" t="str">
        <f>VLOOKUP(A120,'PL Grouping'!A:A,1,)</f>
        <v>Audit Fees</v>
      </c>
    </row>
    <row r="121" spans="1:11">
      <c r="A121" s="692" t="s">
        <v>186</v>
      </c>
      <c r="B121" s="691"/>
      <c r="C121" s="660">
        <v>0.01</v>
      </c>
      <c r="F121" s="215">
        <f t="shared" si="4"/>
        <v>-0.01</v>
      </c>
      <c r="I121" s="215">
        <f>VLOOKUP(A121,'TB PY'!A:C,2,)</f>
        <v>0</v>
      </c>
      <c r="K121" s="215" t="str">
        <f>VLOOKUP(A121,'PL Grouping'!A:A,1,)</f>
        <v>Auditor Out Of Pocket Expenses</v>
      </c>
    </row>
    <row r="122" spans="1:11">
      <c r="A122" s="692" t="s">
        <v>1264</v>
      </c>
      <c r="B122" s="660">
        <v>11800</v>
      </c>
      <c r="C122" s="691"/>
      <c r="F122" s="215">
        <f t="shared" si="4"/>
        <v>11800</v>
      </c>
      <c r="I122" s="215">
        <f>VLOOKUP(A122,'TB PY'!A:C,2,)</f>
        <v>11800</v>
      </c>
      <c r="K122" s="215" t="str">
        <f>VLOOKUP(A122,'PL Grouping'!A:A,1,)</f>
        <v>Axis Bank Credit Card Charges</v>
      </c>
    </row>
    <row r="123" spans="1:11">
      <c r="A123" s="692" t="s">
        <v>1041</v>
      </c>
      <c r="B123" s="691"/>
      <c r="C123" s="660">
        <v>50815.79</v>
      </c>
      <c r="D123" s="215">
        <f>725+1566+123677</f>
        <v>125968</v>
      </c>
      <c r="F123" s="215">
        <f t="shared" si="4"/>
        <v>75152.209999999992</v>
      </c>
      <c r="I123" s="215">
        <f>VLOOKUP(A123,'TB PY'!A:C,2,)</f>
        <v>0</v>
      </c>
      <c r="K123" s="215" t="str">
        <f>VLOOKUP(A123,'PL Grouping'!A:A,1,)</f>
        <v>Bad Debts</v>
      </c>
    </row>
    <row r="124" spans="1:11">
      <c r="A124" s="692" t="s">
        <v>187</v>
      </c>
      <c r="B124" s="660">
        <v>20323.82</v>
      </c>
      <c r="C124" s="691"/>
      <c r="F124" s="215">
        <f t="shared" si="4"/>
        <v>20323.82</v>
      </c>
      <c r="I124" s="215">
        <f>VLOOKUP(A124,'TB PY'!A:C,2,)</f>
        <v>20323.82</v>
      </c>
      <c r="K124" s="215" t="str">
        <f>VLOOKUP(A124,'PL Grouping'!A:A,1,)</f>
        <v>Bank Charges</v>
      </c>
    </row>
    <row r="125" spans="1:11">
      <c r="A125" s="707" t="s">
        <v>188</v>
      </c>
      <c r="B125" s="660">
        <v>351236</v>
      </c>
      <c r="C125" s="691"/>
      <c r="F125" s="215">
        <f t="shared" si="4"/>
        <v>351236</v>
      </c>
      <c r="I125" s="215">
        <f>VLOOKUP(A125,'TB PY'!A:C,2,)</f>
        <v>351236</v>
      </c>
      <c r="K125" s="215" t="str">
        <f>VLOOKUP(A125,'PL Grouping'!A:A,1,)</f>
        <v>Bonus</v>
      </c>
    </row>
    <row r="126" spans="1:11">
      <c r="A126" s="692" t="s">
        <v>189</v>
      </c>
      <c r="B126" s="660">
        <v>298328</v>
      </c>
      <c r="C126" s="691"/>
      <c r="F126" s="215">
        <f t="shared" si="4"/>
        <v>298328</v>
      </c>
      <c r="I126" s="215">
        <f>VLOOKUP(A126,'TB PY'!A:C,2,)</f>
        <v>298328</v>
      </c>
      <c r="K126" s="215" t="str">
        <f>VLOOKUP(A126,'PL Grouping'!A:A,1,)</f>
        <v>Brand Registeration</v>
      </c>
    </row>
    <row r="127" spans="1:11">
      <c r="A127" s="692" t="s">
        <v>1145</v>
      </c>
      <c r="B127" s="660">
        <v>244921.23</v>
      </c>
      <c r="C127" s="691"/>
      <c r="F127" s="215">
        <f t="shared" si="4"/>
        <v>244921.23</v>
      </c>
      <c r="I127" s="215">
        <f>VLOOKUP(A127,'TB PY'!A:C,2,)</f>
        <v>244921.23</v>
      </c>
      <c r="K127" s="215" t="str">
        <f>VLOOKUP(A127,'PL Grouping'!A:A,1,)</f>
        <v>Citibank Card Late Charges</v>
      </c>
    </row>
    <row r="128" spans="1:11">
      <c r="A128" s="692" t="s">
        <v>191</v>
      </c>
      <c r="B128" s="660">
        <v>710353.42</v>
      </c>
      <c r="C128" s="691"/>
      <c r="F128" s="215">
        <f t="shared" si="4"/>
        <v>710353.42</v>
      </c>
      <c r="I128" s="215">
        <f>VLOOKUP(A128,'TB PY'!A:C,2,)</f>
        <v>710353.42</v>
      </c>
      <c r="K128" s="215" t="str">
        <f>VLOOKUP(A128,'PL Grouping'!A:A,1,)</f>
        <v>Clearing &amp; Forwarding Charges</v>
      </c>
    </row>
    <row r="129" spans="1:11">
      <c r="A129" s="692" t="s">
        <v>192</v>
      </c>
      <c r="B129" s="660">
        <v>4107789.95</v>
      </c>
      <c r="C129" s="691"/>
      <c r="F129" s="215">
        <f t="shared" si="4"/>
        <v>4107789.95</v>
      </c>
      <c r="I129" s="215">
        <f>VLOOKUP(A129,'TB PY'!A:C,2,)</f>
        <v>4107789.95</v>
      </c>
      <c r="K129" s="215" t="str">
        <f>VLOOKUP(A129,'PL Grouping'!A:A,1,)</f>
        <v>Commission</v>
      </c>
    </row>
    <row r="130" spans="1:11">
      <c r="A130" s="692" t="s">
        <v>193</v>
      </c>
      <c r="B130" s="660">
        <v>78640.789999999994</v>
      </c>
      <c r="C130" s="691"/>
      <c r="D130" s="215">
        <v>130</v>
      </c>
      <c r="F130" s="215">
        <f t="shared" si="4"/>
        <v>78770.789999999994</v>
      </c>
      <c r="I130" s="215">
        <f>VLOOKUP(A130,'TB PY'!A:C,2,)</f>
        <v>78640.789999999994</v>
      </c>
      <c r="K130" s="215" t="str">
        <f>VLOOKUP(A130,'PL Grouping'!A:A,1,)</f>
        <v>Computer Expenses</v>
      </c>
    </row>
    <row r="131" spans="1:11">
      <c r="A131" s="692" t="s">
        <v>194</v>
      </c>
      <c r="B131" s="660">
        <v>346784.46</v>
      </c>
      <c r="C131" s="691"/>
      <c r="F131" s="215">
        <f t="shared" si="4"/>
        <v>346784.46</v>
      </c>
      <c r="I131" s="215">
        <f>VLOOKUP(A131,'TB PY'!A:C,2,)</f>
        <v>346784.46</v>
      </c>
      <c r="K131" s="215" t="str">
        <f>VLOOKUP(A131,'PL Grouping'!A:A,1,)</f>
        <v>Conveyance Expenses</v>
      </c>
    </row>
    <row r="132" spans="1:11">
      <c r="A132" s="692" t="s">
        <v>57</v>
      </c>
      <c r="B132" s="660">
        <v>2809589</v>
      </c>
      <c r="C132" s="691"/>
      <c r="F132" s="215">
        <f t="shared" si="4"/>
        <v>2809589</v>
      </c>
      <c r="I132" s="215">
        <f>VLOOKUP(A132,'TB PY'!A:C,2,)</f>
        <v>2809589</v>
      </c>
      <c r="K132" s="215" t="str">
        <f>VLOOKUP(A132,'PL Grouping'!A:A,1,)</f>
        <v>Depreciation</v>
      </c>
    </row>
    <row r="133" spans="1:11">
      <c r="A133" s="692" t="s">
        <v>195</v>
      </c>
      <c r="B133" s="660">
        <v>9650</v>
      </c>
      <c r="C133" s="691"/>
      <c r="F133" s="215">
        <f t="shared" si="4"/>
        <v>9650</v>
      </c>
      <c r="I133" s="215">
        <f>VLOOKUP(A133,'TB PY'!A:C,2,)</f>
        <v>9650</v>
      </c>
      <c r="K133" s="215" t="str">
        <f>VLOOKUP(A133,'PL Grouping'!A:A,1,)</f>
        <v>Discount Given</v>
      </c>
    </row>
    <row r="134" spans="1:11">
      <c r="A134" s="692" t="s">
        <v>456</v>
      </c>
      <c r="B134" s="660">
        <v>145774</v>
      </c>
      <c r="C134" s="691"/>
      <c r="F134" s="215">
        <f t="shared" si="4"/>
        <v>145774</v>
      </c>
      <c r="I134" s="215">
        <f>VLOOKUP(A134,'TB PY'!A:C,2,)</f>
        <v>145774</v>
      </c>
      <c r="K134" s="215" t="str">
        <f>VLOOKUP(A134,'PL Grouping'!A:A,1,)</f>
        <v>Donation</v>
      </c>
    </row>
    <row r="135" spans="1:11">
      <c r="A135" s="692" t="s">
        <v>1265</v>
      </c>
      <c r="B135" s="660">
        <v>14616.61</v>
      </c>
      <c r="C135" s="691"/>
      <c r="F135" s="215">
        <f t="shared" si="4"/>
        <v>14616.61</v>
      </c>
      <c r="I135" s="215">
        <f>VLOOKUP(A135,'TB PY'!A:C,2,)</f>
        <v>14616.61</v>
      </c>
      <c r="K135" s="215" t="str">
        <f>VLOOKUP(A135,'PL Grouping'!A:A,1,)</f>
        <v>E-Gift Card- Sublime Life</v>
      </c>
    </row>
    <row r="136" spans="1:11">
      <c r="A136" s="692" t="s">
        <v>196</v>
      </c>
      <c r="B136" s="660">
        <v>29482</v>
      </c>
      <c r="C136" s="691"/>
      <c r="F136" s="215">
        <f t="shared" si="4"/>
        <v>29482</v>
      </c>
      <c r="I136" s="215">
        <f>VLOOKUP(A136,'TB PY'!A:C,2,)</f>
        <v>29482</v>
      </c>
      <c r="K136" s="215" t="str">
        <f>VLOOKUP(A136,'PL Grouping'!A:A,1,)</f>
        <v>Electricity Charges</v>
      </c>
    </row>
    <row r="137" spans="1:11">
      <c r="A137" s="692" t="s">
        <v>1323</v>
      </c>
      <c r="B137" s="660">
        <v>2073850</v>
      </c>
      <c r="C137" s="691"/>
      <c r="F137" s="215">
        <f t="shared" si="4"/>
        <v>2073850</v>
      </c>
      <c r="I137" s="215">
        <f>VLOOKUP(A137,'TB PY'!A:C,2,)</f>
        <v>2073850</v>
      </c>
      <c r="K137" s="215" t="e">
        <f>VLOOKUP(A137,'PL Grouping'!A:A,1,)</f>
        <v>#N/A</v>
      </c>
    </row>
    <row r="138" spans="1:11">
      <c r="A138" s="692" t="s">
        <v>197</v>
      </c>
      <c r="B138" s="660">
        <v>1608</v>
      </c>
      <c r="C138" s="691"/>
      <c r="F138" s="215">
        <f t="shared" si="4"/>
        <v>1608</v>
      </c>
      <c r="I138" s="215">
        <f>VLOOKUP(A138,'TB PY'!A:C,2,)</f>
        <v>1608</v>
      </c>
      <c r="K138" s="215" t="str">
        <f>VLOOKUP(A138,'PL Grouping'!A:A,1,)</f>
        <v>Entertainment Expenses</v>
      </c>
    </row>
    <row r="139" spans="1:11">
      <c r="A139" s="692" t="s">
        <v>1266</v>
      </c>
      <c r="B139" s="660">
        <v>1639</v>
      </c>
      <c r="C139" s="691"/>
      <c r="F139" s="215">
        <f t="shared" si="4"/>
        <v>1639</v>
      </c>
      <c r="I139" s="215">
        <f>VLOOKUP(A139,'TB PY'!A:C,2,)</f>
        <v>1639</v>
      </c>
      <c r="K139" s="215" t="str">
        <f>VLOOKUP(A139,'PL Grouping'!A:A,1,)</f>
        <v>Esic 3.25%</v>
      </c>
    </row>
    <row r="140" spans="1:11">
      <c r="A140" s="692" t="s">
        <v>199</v>
      </c>
      <c r="B140" s="660">
        <v>355405</v>
      </c>
      <c r="C140" s="691"/>
      <c r="F140" s="215">
        <f t="shared" si="4"/>
        <v>355405</v>
      </c>
      <c r="I140" s="215">
        <f>VLOOKUP(A140,'TB PY'!A:C,2,)</f>
        <v>355405</v>
      </c>
      <c r="K140" s="215" t="str">
        <f>VLOOKUP(A140,'PL Grouping'!A:A,1,)</f>
        <v>Family Pension @ 8.33%</v>
      </c>
    </row>
    <row r="141" spans="1:11">
      <c r="A141" s="692" t="s">
        <v>309</v>
      </c>
      <c r="B141" s="660">
        <v>30024.63</v>
      </c>
      <c r="C141" s="691"/>
      <c r="F141" s="215">
        <f t="shared" si="4"/>
        <v>30024.63</v>
      </c>
      <c r="I141" s="215">
        <f>VLOOKUP(A141,'TB PY'!A:C,2,)</f>
        <v>30024.63</v>
      </c>
      <c r="K141" s="215" t="str">
        <f>VLOOKUP(A141,'PL Grouping'!A:A,1,)</f>
        <v>Finance Expense</v>
      </c>
    </row>
    <row r="142" spans="1:11">
      <c r="A142" s="692" t="s">
        <v>529</v>
      </c>
      <c r="B142" s="660">
        <v>21955.59</v>
      </c>
      <c r="C142" s="691"/>
      <c r="F142" s="215">
        <f t="shared" si="4"/>
        <v>21955.59</v>
      </c>
      <c r="I142" s="215">
        <f>VLOOKUP(A142,'TB PY'!A:C,2,)</f>
        <v>21955.59</v>
      </c>
      <c r="K142" s="215" t="str">
        <f>VLOOKUP(A142,'PL Grouping'!A:A,1,)</f>
        <v>Finance/Interest Charges (Credit Card)</v>
      </c>
    </row>
    <row r="143" spans="1:11">
      <c r="A143" s="692" t="s">
        <v>1267</v>
      </c>
      <c r="B143" s="660">
        <v>60000</v>
      </c>
      <c r="C143" s="691"/>
      <c r="F143" s="215">
        <f t="shared" si="4"/>
        <v>60000</v>
      </c>
      <c r="I143" s="215">
        <f>VLOOKUP(A143,'TB PY'!A:C,2,)</f>
        <v>60000</v>
      </c>
      <c r="K143" s="215" t="str">
        <f>VLOOKUP(A143,'PL Grouping'!A:A,1,)</f>
        <v>Fine and Penalties</v>
      </c>
    </row>
    <row r="144" spans="1:11">
      <c r="A144" s="692" t="s">
        <v>1324</v>
      </c>
      <c r="B144" s="660">
        <v>1200</v>
      </c>
      <c r="C144" s="691"/>
      <c r="F144" s="215">
        <f t="shared" si="4"/>
        <v>1200</v>
      </c>
      <c r="I144" s="215">
        <f>VLOOKUP(A144,'TB PY'!A:C,2,)</f>
        <v>1200</v>
      </c>
      <c r="K144" s="215" t="str">
        <f>VLOOKUP(A144,'PL Grouping'!A:A,1,)</f>
        <v>Government  Fees</v>
      </c>
    </row>
    <row r="145" spans="1:11">
      <c r="A145" s="692" t="s">
        <v>1146</v>
      </c>
      <c r="B145" s="660">
        <v>1138</v>
      </c>
      <c r="C145" s="691"/>
      <c r="F145" s="215">
        <f t="shared" si="4"/>
        <v>1138</v>
      </c>
      <c r="I145" s="215">
        <f>VLOOKUP(A145,'TB PY'!A:C,2,)</f>
        <v>1138</v>
      </c>
      <c r="K145" s="215" t="str">
        <f>VLOOKUP(A145,'PL Grouping'!A:A,1,)</f>
        <v>GST Late Fees</v>
      </c>
    </row>
    <row r="146" spans="1:11">
      <c r="A146" s="692" t="s">
        <v>530</v>
      </c>
      <c r="B146" s="660">
        <v>546931.93000000005</v>
      </c>
      <c r="C146" s="691"/>
      <c r="D146" s="215">
        <v>5433</v>
      </c>
      <c r="F146" s="215">
        <f t="shared" si="4"/>
        <v>552364.93000000005</v>
      </c>
      <c r="I146" s="215">
        <f>VLOOKUP(A146,'TB PY'!A:C,2,)</f>
        <v>546931.93000000005</v>
      </c>
      <c r="K146" s="215" t="str">
        <f>VLOOKUP(A146,'PL Grouping'!A:A,1,)</f>
        <v>Hdfc Credit Card Charges</v>
      </c>
    </row>
    <row r="147" spans="1:11">
      <c r="A147" s="692" t="s">
        <v>200</v>
      </c>
      <c r="B147" s="660">
        <v>29262</v>
      </c>
      <c r="C147" s="691"/>
      <c r="F147" s="215">
        <f t="shared" si="4"/>
        <v>29262</v>
      </c>
      <c r="I147" s="215">
        <f>VLOOKUP(A147,'TB PY'!A:C,2,)</f>
        <v>29262</v>
      </c>
      <c r="K147" s="215" t="str">
        <f>VLOOKUP(A147,'PL Grouping'!A:A,1,)</f>
        <v>Insurance Premium</v>
      </c>
    </row>
    <row r="148" spans="1:11">
      <c r="A148" s="692" t="s">
        <v>201</v>
      </c>
      <c r="B148" s="660">
        <v>1013333</v>
      </c>
      <c r="C148" s="691"/>
      <c r="F148" s="215">
        <f t="shared" si="4"/>
        <v>1013333</v>
      </c>
      <c r="I148" s="215">
        <f>VLOOKUP(A148,'TB PY'!A:C,2,)</f>
        <v>1013333</v>
      </c>
      <c r="K148" s="215" t="str">
        <f>VLOOKUP(A148,'PL Grouping'!A:A,1,)</f>
        <v>Interest on Debentures</v>
      </c>
    </row>
    <row r="149" spans="1:11">
      <c r="A149" s="692" t="s">
        <v>1042</v>
      </c>
      <c r="B149" s="660">
        <v>787106</v>
      </c>
      <c r="C149" s="691"/>
      <c r="F149" s="215">
        <f t="shared" si="4"/>
        <v>787106</v>
      </c>
      <c r="I149" s="215">
        <f>VLOOKUP(A149,'TB PY'!A:C,2,)</f>
        <v>787106</v>
      </c>
      <c r="K149" s="215" t="str">
        <f>VLOOKUP(A149,'PL Grouping'!A:A,1,)</f>
        <v>Interest on Inter Company Deposits.</v>
      </c>
    </row>
    <row r="150" spans="1:11">
      <c r="A150" s="692" t="s">
        <v>202</v>
      </c>
      <c r="B150" s="660">
        <v>1891187</v>
      </c>
      <c r="C150" s="691"/>
      <c r="F150" s="215">
        <f t="shared" si="4"/>
        <v>1891187</v>
      </c>
      <c r="I150" s="215">
        <f>VLOOKUP(A150,'TB PY'!A:C,2,)</f>
        <v>1891187</v>
      </c>
      <c r="K150" s="215" t="str">
        <f>VLOOKUP(A150,'PL Grouping'!A:A,1,)</f>
        <v>Interest on OD</v>
      </c>
    </row>
    <row r="151" spans="1:11">
      <c r="A151" s="692" t="s">
        <v>203</v>
      </c>
      <c r="B151" s="660">
        <v>43067</v>
      </c>
      <c r="C151" s="691"/>
      <c r="F151" s="215">
        <f t="shared" si="4"/>
        <v>43067</v>
      </c>
      <c r="I151" s="215">
        <f>VLOOKUP(A151,'TB PY'!A:C,2,)</f>
        <v>43067</v>
      </c>
      <c r="K151" s="215" t="str">
        <f>VLOOKUP(A151,'PL Grouping'!A:A,1,)</f>
        <v>Interest on TDS</v>
      </c>
    </row>
    <row r="152" spans="1:11">
      <c r="A152" s="692" t="s">
        <v>204</v>
      </c>
      <c r="B152" s="660">
        <v>5774.07</v>
      </c>
      <c r="C152" s="691"/>
      <c r="F152" s="215">
        <f t="shared" si="4"/>
        <v>5774.07</v>
      </c>
      <c r="I152" s="215">
        <f>VLOOKUP(A152,'TB PY'!A:C,2,)</f>
        <v>5774.07</v>
      </c>
      <c r="K152" s="215" t="str">
        <f>VLOOKUP(A152,'PL Grouping'!A:A,1,)</f>
        <v>Internet Expenses</v>
      </c>
    </row>
    <row r="153" spans="1:11">
      <c r="A153" s="692" t="s">
        <v>206</v>
      </c>
      <c r="B153" s="660">
        <v>4593972.2</v>
      </c>
      <c r="C153" s="691"/>
      <c r="F153" s="215">
        <f t="shared" si="4"/>
        <v>4593972.2</v>
      </c>
      <c r="I153" s="215">
        <f>VLOOKUP(A153,'TB PY'!A:C,2,)</f>
        <v>4593972.2</v>
      </c>
      <c r="K153" s="215" t="str">
        <f>VLOOKUP(A153,'PL Grouping'!A:A,1,)</f>
        <v>Legal &amp; Professional Charges</v>
      </c>
    </row>
    <row r="154" spans="1:11">
      <c r="A154" s="692" t="s">
        <v>207</v>
      </c>
      <c r="B154" s="660">
        <v>701277.26</v>
      </c>
      <c r="C154" s="691"/>
      <c r="F154" s="215">
        <f t="shared" si="4"/>
        <v>701277.26</v>
      </c>
      <c r="I154" s="215">
        <f>VLOOKUP(A154,'TB PY'!A:C,2,)</f>
        <v>701277.26</v>
      </c>
      <c r="K154" s="215" t="str">
        <f>VLOOKUP(A154,'PL Grouping'!A:A,1,)</f>
        <v>Marketing Expenses</v>
      </c>
    </row>
    <row r="155" spans="1:11">
      <c r="A155" s="692" t="s">
        <v>531</v>
      </c>
      <c r="B155" s="660">
        <v>64103.13</v>
      </c>
      <c r="C155" s="691"/>
      <c r="F155" s="215">
        <f t="shared" si="4"/>
        <v>64103.13</v>
      </c>
      <c r="I155" s="215">
        <f>VLOOKUP(A155,'TB PY'!A:C,2,)</f>
        <v>64103.13</v>
      </c>
      <c r="K155" s="215" t="str">
        <f>VLOOKUP(A155,'PL Grouping'!A:A,1,)</f>
        <v>Miscellenous Expenses</v>
      </c>
    </row>
    <row r="156" spans="1:11">
      <c r="A156" s="692" t="s">
        <v>208</v>
      </c>
      <c r="B156" s="660">
        <v>141454</v>
      </c>
      <c r="C156" s="691"/>
      <c r="F156" s="215">
        <f t="shared" si="4"/>
        <v>141454</v>
      </c>
      <c r="I156" s="215">
        <f>VLOOKUP(A156,'TB PY'!A:C,2,)</f>
        <v>141454</v>
      </c>
      <c r="K156" s="215" t="str">
        <f>VLOOKUP(A156,'PL Grouping'!A:A,1,)</f>
        <v>Office Expenses</v>
      </c>
    </row>
    <row r="157" spans="1:11">
      <c r="A157" s="692" t="s">
        <v>209</v>
      </c>
      <c r="B157" s="660">
        <v>60000</v>
      </c>
      <c r="C157" s="691"/>
      <c r="F157" s="215">
        <f t="shared" si="4"/>
        <v>60000</v>
      </c>
      <c r="I157" s="215">
        <f>VLOOKUP(A157,'TB PY'!A:C,2,)</f>
        <v>60000</v>
      </c>
      <c r="K157" s="215" t="str">
        <f>VLOOKUP(A157,'PL Grouping'!A:A,1,)</f>
        <v>Other Service Charges</v>
      </c>
    </row>
    <row r="158" spans="1:11">
      <c r="A158" s="692" t="s">
        <v>210</v>
      </c>
      <c r="B158" s="660">
        <v>119841.91</v>
      </c>
      <c r="C158" s="691"/>
      <c r="F158" s="215">
        <f t="shared" si="4"/>
        <v>119841.91</v>
      </c>
      <c r="I158" s="215">
        <f>VLOOKUP(A158,'TB PY'!A:C,2,)</f>
        <v>119841.91</v>
      </c>
      <c r="K158" s="215" t="str">
        <f>VLOOKUP(A158,'PL Grouping'!A:A,1,)</f>
        <v>Paytm Commission</v>
      </c>
    </row>
    <row r="159" spans="1:11">
      <c r="A159" s="692" t="s">
        <v>211</v>
      </c>
      <c r="B159" s="660">
        <v>46503</v>
      </c>
      <c r="C159" s="691"/>
      <c r="F159" s="215">
        <f t="shared" si="4"/>
        <v>46503</v>
      </c>
      <c r="I159" s="215">
        <f>VLOOKUP(A159,'TB PY'!A:C,2,)</f>
        <v>46503</v>
      </c>
      <c r="K159" s="215" t="str">
        <f>VLOOKUP(A159,'PL Grouping'!A:A,1,)</f>
        <v>PF Administrative Expenses</v>
      </c>
    </row>
    <row r="160" spans="1:11">
      <c r="A160" s="692" t="s">
        <v>212</v>
      </c>
      <c r="B160" s="660">
        <v>237921</v>
      </c>
      <c r="C160" s="691"/>
      <c r="F160" s="215">
        <f t="shared" si="4"/>
        <v>237921</v>
      </c>
      <c r="I160" s="215">
        <f>VLOOKUP(A160,'TB PY'!A:C,2,)</f>
        <v>237921</v>
      </c>
      <c r="K160" s="215" t="str">
        <f>VLOOKUP(A160,'PL Grouping'!A:A,1,)</f>
        <v>PF Employers Contribution @ 3.67%</v>
      </c>
    </row>
    <row r="161" spans="1:11">
      <c r="A161" s="692" t="s">
        <v>213</v>
      </c>
      <c r="B161" s="660">
        <v>7405525.8499999996</v>
      </c>
      <c r="C161" s="691"/>
      <c r="F161" s="215">
        <f t="shared" si="4"/>
        <v>7405525.8499999996</v>
      </c>
      <c r="I161" s="215">
        <f>VLOOKUP(A161,'TB PY'!A:C,2,)</f>
        <v>7405525.8499999996</v>
      </c>
      <c r="K161" s="215" t="str">
        <f>VLOOKUP(A161,'PL Grouping'!A:A,1,)</f>
        <v>Postage &amp; Courier</v>
      </c>
    </row>
    <row r="162" spans="1:11">
      <c r="A162" s="692" t="s">
        <v>532</v>
      </c>
      <c r="B162" s="660">
        <v>70995.839999999997</v>
      </c>
      <c r="C162" s="691"/>
      <c r="F162" s="215">
        <f t="shared" si="4"/>
        <v>70995.839999999997</v>
      </c>
      <c r="I162" s="215">
        <f>VLOOKUP(A162,'TB PY'!A:C,2,)</f>
        <v>70995.839999999997</v>
      </c>
      <c r="K162" s="215" t="str">
        <f>VLOOKUP(A162,'PL Grouping'!A:A,1,)</f>
        <v>Printing &amp; Stationery - Expenses</v>
      </c>
    </row>
    <row r="163" spans="1:11">
      <c r="A163" s="692" t="s">
        <v>214</v>
      </c>
      <c r="B163" s="660">
        <v>2500</v>
      </c>
      <c r="C163" s="691"/>
      <c r="F163" s="215">
        <f t="shared" si="4"/>
        <v>2500</v>
      </c>
      <c r="I163" s="215">
        <f>VLOOKUP(A163,'TB PY'!A:C,2,)</f>
        <v>2500</v>
      </c>
      <c r="K163" s="215" t="str">
        <f>VLOOKUP(A163,'PL Grouping'!A:A,1,)</f>
        <v>Profession Tax- Company</v>
      </c>
    </row>
    <row r="164" spans="1:11">
      <c r="A164" s="692" t="s">
        <v>1033</v>
      </c>
      <c r="B164" s="660">
        <v>388157.57</v>
      </c>
      <c r="C164" s="691"/>
      <c r="F164" s="215">
        <f t="shared" si="4"/>
        <v>388157.57</v>
      </c>
      <c r="I164" s="215">
        <f>VLOOKUP(A164,'TB PY'!A:C,2,)</f>
        <v>388157.57</v>
      </c>
      <c r="K164" s="215" t="str">
        <f>VLOOKUP(A164,'PL Grouping'!A:A,1,)</f>
        <v>Razorpay's Service Fees</v>
      </c>
    </row>
    <row r="165" spans="1:11">
      <c r="A165" s="692" t="s">
        <v>215</v>
      </c>
      <c r="B165" s="660">
        <v>8007</v>
      </c>
      <c r="C165" s="691"/>
      <c r="F165" s="215">
        <f t="shared" si="4"/>
        <v>8007</v>
      </c>
      <c r="I165" s="215">
        <f>VLOOKUP(A165,'TB PY'!A:C,2,)</f>
        <v>8007</v>
      </c>
      <c r="K165" s="215" t="str">
        <f>VLOOKUP(A165,'PL Grouping'!A:A,1,)</f>
        <v>Registration Fees</v>
      </c>
    </row>
    <row r="166" spans="1:11">
      <c r="A166" s="692" t="s">
        <v>1325</v>
      </c>
      <c r="B166" s="691"/>
      <c r="C166" s="660">
        <v>1661</v>
      </c>
      <c r="F166" s="215">
        <f t="shared" si="4"/>
        <v>-1661</v>
      </c>
      <c r="I166" s="215">
        <f>VLOOKUP(A166,'TB PY'!A:C,2,)</f>
        <v>0</v>
      </c>
      <c r="K166" s="215" t="str">
        <f>VLOOKUP(A166,'PL Grouping'!A:A,1,)</f>
        <v>Remeasurement of Defined Emoployee Benefit Plan Exp</v>
      </c>
    </row>
    <row r="167" spans="1:11">
      <c r="A167" s="692" t="s">
        <v>533</v>
      </c>
      <c r="B167" s="660">
        <v>9066.25</v>
      </c>
      <c r="C167" s="691"/>
      <c r="F167" s="215">
        <f t="shared" si="4"/>
        <v>9066.25</v>
      </c>
      <c r="I167" s="215">
        <f>VLOOKUP(A167,'TB PY'!A:C,2,)</f>
        <v>9066.25</v>
      </c>
      <c r="K167" s="215" t="str">
        <f>VLOOKUP(A167,'PL Grouping'!A:A,1,)</f>
        <v>Renewal Fees</v>
      </c>
    </row>
    <row r="168" spans="1:11">
      <c r="A168" s="707" t="s">
        <v>216</v>
      </c>
      <c r="B168" s="660">
        <v>3306712.03</v>
      </c>
      <c r="C168" s="691"/>
      <c r="F168" s="215">
        <f t="shared" si="4"/>
        <v>3306712.03</v>
      </c>
      <c r="I168" s="215">
        <f>VLOOKUP(A168,'TB PY'!A:C,2,)</f>
        <v>3306712.03</v>
      </c>
      <c r="K168" s="215" t="str">
        <f>VLOOKUP(A168,'PL Grouping'!A:A,1,)</f>
        <v>Rent</v>
      </c>
    </row>
    <row r="169" spans="1:11">
      <c r="A169" s="692" t="s">
        <v>534</v>
      </c>
      <c r="B169" s="660">
        <v>702700</v>
      </c>
      <c r="C169" s="691"/>
      <c r="F169" s="215">
        <f t="shared" si="4"/>
        <v>702700</v>
      </c>
      <c r="I169" s="215">
        <f>VLOOKUP(A169,'TB PY'!A:C,2,)</f>
        <v>702700</v>
      </c>
      <c r="K169" s="215" t="str">
        <f>VLOOKUP(A169,'PL Grouping'!A:A,1,)</f>
        <v>Repairs &amp; Maintainance</v>
      </c>
    </row>
    <row r="170" spans="1:11">
      <c r="A170" s="692" t="s">
        <v>217</v>
      </c>
      <c r="B170" s="660">
        <v>2530</v>
      </c>
      <c r="C170" s="691"/>
      <c r="F170" s="215">
        <f t="shared" si="4"/>
        <v>2530</v>
      </c>
      <c r="I170" s="215">
        <f>VLOOKUP(A170,'TB PY'!A:C,2,)</f>
        <v>2530</v>
      </c>
      <c r="K170" s="215" t="str">
        <f>VLOOKUP(A170,'PL Grouping'!A:A,1,)</f>
        <v>Repairs - Others</v>
      </c>
    </row>
    <row r="171" spans="1:11">
      <c r="A171" s="692" t="s">
        <v>218</v>
      </c>
      <c r="B171" s="660">
        <v>1100400</v>
      </c>
      <c r="C171" s="691"/>
      <c r="F171" s="215">
        <f t="shared" si="4"/>
        <v>1100400</v>
      </c>
      <c r="I171" s="215">
        <f>VLOOKUP(A171,'TB PY'!A:C,2,)</f>
        <v>1100400</v>
      </c>
      <c r="K171" s="215" t="str">
        <f>VLOOKUP(A171,'PL Grouping'!A:A,1,)</f>
        <v>Retainership Fees</v>
      </c>
    </row>
    <row r="172" spans="1:11">
      <c r="A172" s="692" t="s">
        <v>219</v>
      </c>
      <c r="B172" s="691"/>
      <c r="C172" s="660">
        <v>3827.46</v>
      </c>
      <c r="F172" s="215">
        <f t="shared" si="4"/>
        <v>-3827.46</v>
      </c>
      <c r="I172" s="215">
        <f>VLOOKUP(A172,'TB PY'!A:C,2,)</f>
        <v>0</v>
      </c>
      <c r="K172" s="215" t="str">
        <f>VLOOKUP(A172,'PL Grouping'!A:A,1,)</f>
        <v>Rounding Off</v>
      </c>
    </row>
    <row r="173" spans="1:11">
      <c r="A173" s="692" t="s">
        <v>1147</v>
      </c>
      <c r="B173" s="660">
        <v>5002.92</v>
      </c>
      <c r="C173" s="691"/>
      <c r="F173" s="215">
        <f t="shared" si="4"/>
        <v>5002.92</v>
      </c>
      <c r="I173" s="215">
        <f>VLOOKUP(A173,'TB PY'!A:C,2,)</f>
        <v>5002.92</v>
      </c>
      <c r="K173" s="215" t="str">
        <f>VLOOKUP(A173,'PL Grouping'!A:A,1,)</f>
        <v>Round Off</v>
      </c>
    </row>
    <row r="174" spans="1:11">
      <c r="A174" s="692" t="s">
        <v>1148</v>
      </c>
      <c r="B174" s="660">
        <v>51193.72</v>
      </c>
      <c r="C174" s="691"/>
      <c r="F174" s="215">
        <f t="shared" si="4"/>
        <v>51193.72</v>
      </c>
      <c r="I174" s="215">
        <f>VLOOKUP(A174,'TB PY'!A:C,2,)</f>
        <v>51193.72</v>
      </c>
      <c r="K174" s="215" t="str">
        <f>VLOOKUP(A174,'PL Grouping'!A:A,1,)</f>
        <v>SBI Credit Card Late Fees</v>
      </c>
    </row>
    <row r="175" spans="1:11">
      <c r="A175" s="692" t="s">
        <v>535</v>
      </c>
      <c r="B175" s="660">
        <v>1659670.74</v>
      </c>
      <c r="C175" s="691"/>
      <c r="D175" s="215">
        <v>6791.56</v>
      </c>
      <c r="F175" s="215">
        <f t="shared" si="4"/>
        <v>1666462.3</v>
      </c>
      <c r="I175" s="215">
        <f>VLOOKUP(A175,'TB PY'!A:C,2,)</f>
        <v>1659670.74</v>
      </c>
      <c r="K175" s="215" t="str">
        <f>VLOOKUP(A175,'PL Grouping'!A:A,1,)</f>
        <v>Software Expense</v>
      </c>
    </row>
    <row r="176" spans="1:11">
      <c r="A176" s="692" t="s">
        <v>220</v>
      </c>
      <c r="B176" s="660">
        <v>213307.08</v>
      </c>
      <c r="C176" s="691"/>
      <c r="F176" s="215">
        <f t="shared" si="4"/>
        <v>213307.08</v>
      </c>
      <c r="I176" s="215">
        <f>VLOOKUP(A176,'TB PY'!A:C,2,)</f>
        <v>213307.08</v>
      </c>
      <c r="K176" s="215" t="str">
        <f>VLOOKUP(A176,'PL Grouping'!A:A,1,)</f>
        <v>Staff Welfare</v>
      </c>
    </row>
    <row r="177" spans="1:11">
      <c r="A177" s="692" t="s">
        <v>221</v>
      </c>
      <c r="B177" s="660">
        <v>306791</v>
      </c>
      <c r="C177" s="691"/>
      <c r="F177" s="215">
        <f t="shared" si="4"/>
        <v>306791</v>
      </c>
      <c r="I177" s="215">
        <f>VLOOKUP(A177,'TB PY'!A:C,2,)</f>
        <v>306791</v>
      </c>
      <c r="K177" s="215" t="str">
        <f>VLOOKUP(A177,'PL Grouping'!A:A,1,)</f>
        <v>Stipend</v>
      </c>
    </row>
    <row r="178" spans="1:11">
      <c r="A178" s="692" t="s">
        <v>1151</v>
      </c>
      <c r="B178" s="660">
        <v>38113.800000000003</v>
      </c>
      <c r="C178" s="691"/>
      <c r="F178" s="215">
        <f t="shared" si="4"/>
        <v>38113.800000000003</v>
      </c>
      <c r="I178" s="215">
        <f>VLOOKUP(A178,'TB PY'!A:C,2,)</f>
        <v>38113.800000000003</v>
      </c>
      <c r="K178" s="215" t="str">
        <f>VLOOKUP(A178,'PL Grouping'!A:A,1,)</f>
        <v>Stripe Commission</v>
      </c>
    </row>
    <row r="179" spans="1:11">
      <c r="A179" s="692" t="s">
        <v>222</v>
      </c>
      <c r="B179" s="660">
        <v>24928</v>
      </c>
      <c r="C179" s="691"/>
      <c r="F179" s="215">
        <f t="shared" si="4"/>
        <v>24928</v>
      </c>
      <c r="I179" s="215">
        <f>VLOOKUP(A179,'TB PY'!A:C,2,)</f>
        <v>24928</v>
      </c>
      <c r="K179" s="215" t="str">
        <f>VLOOKUP(A179,'PL Grouping'!A:A,1,)</f>
        <v>Sundry Expenses</v>
      </c>
    </row>
    <row r="180" spans="1:11">
      <c r="A180" s="692" t="s">
        <v>536</v>
      </c>
      <c r="B180" s="691"/>
      <c r="C180" s="660">
        <v>40000</v>
      </c>
      <c r="F180" s="215">
        <f t="shared" ref="F180:F187" si="5">+B180+D180-C180-E180</f>
        <v>-40000</v>
      </c>
      <c r="I180" s="215">
        <f>VLOOKUP(A180,'TB PY'!A:C,2,)</f>
        <v>0</v>
      </c>
      <c r="K180" s="215" t="str">
        <f>VLOOKUP(A180,'PL Grouping'!A:A,1,)</f>
        <v>Tax audit fees</v>
      </c>
    </row>
    <row r="181" spans="1:11">
      <c r="A181" s="692" t="s">
        <v>1152</v>
      </c>
      <c r="B181" s="660">
        <v>30000</v>
      </c>
      <c r="C181" s="691"/>
      <c r="F181" s="215">
        <f t="shared" si="5"/>
        <v>30000</v>
      </c>
      <c r="I181" s="215">
        <f>VLOOKUP(A181,'TB PY'!A:C,2,)</f>
        <v>30000</v>
      </c>
      <c r="K181" s="215" t="str">
        <f>VLOOKUP(A181,'PL Grouping'!A:A,1,)</f>
        <v>Telephone and Internet Reimbursement</v>
      </c>
    </row>
    <row r="182" spans="1:11">
      <c r="A182" s="692" t="s">
        <v>223</v>
      </c>
      <c r="B182" s="660">
        <v>108354.4</v>
      </c>
      <c r="C182" s="691"/>
      <c r="F182" s="215">
        <f t="shared" si="5"/>
        <v>108354.4</v>
      </c>
      <c r="I182" s="215">
        <f>VLOOKUP(A182,'TB PY'!A:C,2,)</f>
        <v>108354.4</v>
      </c>
      <c r="K182" s="215" t="str">
        <f>VLOOKUP(A182,'PL Grouping'!A:A,1,)</f>
        <v>Telephone Expenses</v>
      </c>
    </row>
    <row r="183" spans="1:11">
      <c r="A183" s="692" t="s">
        <v>1034</v>
      </c>
      <c r="B183" s="660">
        <v>1800</v>
      </c>
      <c r="C183" s="691"/>
      <c r="F183" s="215">
        <f t="shared" si="5"/>
        <v>1800</v>
      </c>
      <c r="I183" s="215">
        <f>VLOOKUP(A183,'TB PY'!A:C,2,)</f>
        <v>1800</v>
      </c>
      <c r="K183" s="215" t="str">
        <f>VLOOKUP(A183,'PL Grouping'!A:A,1,)</f>
        <v>Testing charges</v>
      </c>
    </row>
    <row r="184" spans="1:11">
      <c r="A184" s="692" t="s">
        <v>537</v>
      </c>
      <c r="B184" s="660">
        <v>13751</v>
      </c>
      <c r="C184" s="691"/>
      <c r="F184" s="215">
        <f t="shared" si="5"/>
        <v>13751</v>
      </c>
      <c r="I184" s="215">
        <f>VLOOKUP(A184,'TB PY'!A:C,2,)</f>
        <v>13751</v>
      </c>
      <c r="K184" s="215" t="str">
        <f>VLOOKUP(A184,'PL Grouping'!A:A,1,)</f>
        <v>Training Charges</v>
      </c>
    </row>
    <row r="185" spans="1:11">
      <c r="A185" s="692" t="s">
        <v>538</v>
      </c>
      <c r="B185" s="660">
        <v>107622</v>
      </c>
      <c r="C185" s="691"/>
      <c r="F185" s="215">
        <f t="shared" si="5"/>
        <v>107622</v>
      </c>
      <c r="I185" s="215">
        <f>VLOOKUP(A185,'TB PY'!A:C,2,)</f>
        <v>107622</v>
      </c>
      <c r="K185" s="215" t="str">
        <f>VLOOKUP(A185,'PL Grouping'!A:A,1,)</f>
        <v>Transportation Expenses</v>
      </c>
    </row>
    <row r="186" spans="1:11">
      <c r="A186" s="692" t="s">
        <v>224</v>
      </c>
      <c r="B186" s="660">
        <v>360434</v>
      </c>
      <c r="C186" s="691"/>
      <c r="D186" s="215">
        <v>111282.38</v>
      </c>
      <c r="F186" s="215">
        <f t="shared" si="5"/>
        <v>471716.38</v>
      </c>
      <c r="I186" s="215">
        <f>VLOOKUP(A186,'TB PY'!A:C,2,)</f>
        <v>360434</v>
      </c>
      <c r="K186" s="215" t="str">
        <f>VLOOKUP(A186,'PL Grouping'!A:A,1,)</f>
        <v>Travelling Expenses</v>
      </c>
    </row>
    <row r="187" spans="1:11">
      <c r="A187" s="692" t="s">
        <v>225</v>
      </c>
      <c r="B187" s="660">
        <v>102706.19</v>
      </c>
      <c r="C187" s="691"/>
      <c r="F187" s="215">
        <f t="shared" si="5"/>
        <v>102706.19</v>
      </c>
      <c r="I187" s="215">
        <f>VLOOKUP(A187,'TB PY'!A:C,2,)</f>
        <v>102706.19</v>
      </c>
      <c r="K187" s="215" t="str">
        <f>VLOOKUP(A187,'PL Grouping'!A:A,1,)</f>
        <v>Website Expenses</v>
      </c>
    </row>
    <row r="188" spans="1:11">
      <c r="A188" s="708" t="s">
        <v>1153</v>
      </c>
      <c r="B188" s="689">
        <v>58940388.890000001</v>
      </c>
      <c r="C188" s="694"/>
      <c r="G188" s="215">
        <f>+C188-B188+E188-D188</f>
        <v>-58940388.890000001</v>
      </c>
      <c r="I188" s="215">
        <f>VLOOKUP(A188,'TB PY'!A:C,2,)</f>
        <v>58940388.890000001</v>
      </c>
      <c r="K188" s="215" t="e">
        <f>VLOOKUP(A188,'PL Grouping'!A:A,1,)</f>
        <v>#N/A</v>
      </c>
    </row>
    <row r="189" spans="1:11">
      <c r="A189" s="709" t="s">
        <v>1154</v>
      </c>
      <c r="B189" s="679">
        <v>347108915.82999998</v>
      </c>
      <c r="C189" s="679">
        <v>347108915.82999998</v>
      </c>
      <c r="D189" s="726">
        <f>SUM(D10:D188)</f>
        <v>566409.41999999993</v>
      </c>
      <c r="E189" s="726">
        <f>SUM(E10:E188)</f>
        <v>566408.86</v>
      </c>
      <c r="I189" s="215">
        <f>VLOOKUP(A189,'TB PY'!A:C,2,)</f>
        <v>347108915.82999998</v>
      </c>
      <c r="K189" s="215" t="e">
        <f>VLOOKUP(A189,'PL Grouping'!A:A,1,)</f>
        <v>#N/A</v>
      </c>
    </row>
    <row r="190" spans="1:11">
      <c r="I190" s="215" t="e">
        <f>VLOOKUP(A190,'TB PY'!A:C,2,)</f>
        <v>#N/A</v>
      </c>
      <c r="K190" s="215" t="e">
        <f>VLOOKUP(A190,'PL Grouping'!A:A,1,)</f>
        <v>#N/A</v>
      </c>
    </row>
    <row r="191" spans="1:11">
      <c r="D191" s="726">
        <f>+D189-E189</f>
        <v>0.55999999993946403</v>
      </c>
      <c r="I191" s="215" t="e">
        <f>VLOOKUP(A191,'TB PY'!A:C,2,)</f>
        <v>#N/A</v>
      </c>
      <c r="K191" s="215" t="e">
        <f>VLOOKUP(A191,'PL Grouping'!A:A,1,)</f>
        <v>#N/A</v>
      </c>
    </row>
    <row r="192" spans="1:11">
      <c r="I192" s="215" t="e">
        <f>VLOOKUP(A192,'TB PY'!A:C,2,)</f>
        <v>#N/A</v>
      </c>
      <c r="K192" s="215" t="e">
        <f>VLOOKUP(A192,'PL Grouping'!A:A,1,)</f>
        <v>#N/A</v>
      </c>
    </row>
    <row r="193" spans="9:11">
      <c r="I193" s="215" t="e">
        <f>VLOOKUP(A193,'TB PY'!A:C,2,)</f>
        <v>#N/A</v>
      </c>
      <c r="K193" s="215" t="e">
        <f>VLOOKUP(A193,'PL Grouping'!A:A,1,)</f>
        <v>#N/A</v>
      </c>
    </row>
    <row r="194" spans="9:11">
      <c r="I194" s="215" t="e">
        <f>VLOOKUP(A194,'TB PY'!A:C,2,)</f>
        <v>#N/A</v>
      </c>
      <c r="K194" s="215" t="e">
        <f>VLOOKUP(A194,'PL Grouping'!A:A,1,)</f>
        <v>#N/A</v>
      </c>
    </row>
    <row r="195" spans="9:11">
      <c r="I195" s="215" t="e">
        <f>VLOOKUP(A195,'TB PY'!A:C,2,)</f>
        <v>#N/A</v>
      </c>
      <c r="K195" s="215" t="e">
        <f>VLOOKUP(A195,'PL Grouping'!A:A,1,)</f>
        <v>#N/A</v>
      </c>
    </row>
    <row r="196" spans="9:11">
      <c r="I196" s="215" t="e">
        <f>VLOOKUP(A196,'TB PY'!A:C,2,)</f>
        <v>#N/A</v>
      </c>
      <c r="K196" s="215" t="e">
        <f>VLOOKUP(A196,'PL Grouping'!A:A,1,)</f>
        <v>#N/A</v>
      </c>
    </row>
    <row r="197" spans="9:11">
      <c r="I197" s="215" t="e">
        <f>VLOOKUP(A197,'TB PY'!A:C,2,)</f>
        <v>#N/A</v>
      </c>
      <c r="K197" s="215" t="e">
        <f>VLOOKUP(A197,'PL Grouping'!A:A,1,)</f>
        <v>#N/A</v>
      </c>
    </row>
    <row r="198" spans="9:11">
      <c r="I198" s="215" t="e">
        <f>VLOOKUP(A198,'TB PY'!A:C,2,)</f>
        <v>#N/A</v>
      </c>
      <c r="K198" s="215" t="e">
        <f>VLOOKUP(A198,'PL Grouping'!A:A,1,)</f>
        <v>#N/A</v>
      </c>
    </row>
    <row r="199" spans="9:11">
      <c r="I199" s="215" t="e">
        <f>VLOOKUP(A199,'TB PY'!A:C,2,)</f>
        <v>#N/A</v>
      </c>
      <c r="K199" s="215" t="e">
        <f>VLOOKUP(A199,'PL Grouping'!A:A,1,)</f>
        <v>#N/A</v>
      </c>
    </row>
    <row r="200" spans="9:11">
      <c r="I200" s="215" t="e">
        <f>VLOOKUP(A200,'TB PY'!A:C,2,)</f>
        <v>#N/A</v>
      </c>
      <c r="K200" s="215" t="e">
        <f>VLOOKUP(A200,'PL Grouping'!A:A,1,)</f>
        <v>#N/A</v>
      </c>
    </row>
    <row r="201" spans="9:11">
      <c r="I201" s="215" t="e">
        <f>VLOOKUP(A201,'TB PY'!A:C,2,)</f>
        <v>#N/A</v>
      </c>
      <c r="K201" s="215" t="e">
        <f>VLOOKUP(A201,'PL Grouping'!A:A,1,)</f>
        <v>#N/A</v>
      </c>
    </row>
    <row r="202" spans="9:11">
      <c r="I202" s="215" t="e">
        <f>VLOOKUP(A202,'TB PY'!A:C,2,)</f>
        <v>#N/A</v>
      </c>
      <c r="K202" s="215" t="e">
        <f>VLOOKUP(A202,'PL Grouping'!A:A,1,)</f>
        <v>#N/A</v>
      </c>
    </row>
    <row r="203" spans="9:11">
      <c r="I203" s="215" t="e">
        <f>VLOOKUP(A203,'TB PY'!A:C,2,)</f>
        <v>#N/A</v>
      </c>
      <c r="K203" s="215" t="e">
        <f>VLOOKUP(A203,'PL Grouping'!A:A,1,)</f>
        <v>#N/A</v>
      </c>
    </row>
    <row r="204" spans="9:11">
      <c r="I204" s="215" t="e">
        <f>VLOOKUP(A204,'TB PY'!A:C,2,)</f>
        <v>#N/A</v>
      </c>
      <c r="K204" s="215" t="e">
        <f>VLOOKUP(A204,'PL Grouping'!A:A,1,)</f>
        <v>#N/A</v>
      </c>
    </row>
    <row r="205" spans="9:11">
      <c r="I205" s="215" t="e">
        <f>VLOOKUP(A205,'TB PY'!A:C,2,)</f>
        <v>#N/A</v>
      </c>
    </row>
    <row r="206" spans="9:11">
      <c r="I206" s="215" t="e">
        <f>VLOOKUP(A206,'TB PY'!A:C,2,)</f>
        <v>#N/A</v>
      </c>
    </row>
    <row r="207" spans="9:11">
      <c r="I207" s="215" t="e">
        <f>VLOOKUP(A207,'TB PY'!A:C,2,)</f>
        <v>#N/A</v>
      </c>
    </row>
    <row r="208" spans="9:11">
      <c r="I208" s="215" t="e">
        <f>VLOOKUP(A208,'TB PY'!A:C,2,)</f>
        <v>#N/A</v>
      </c>
    </row>
    <row r="209" spans="9:9">
      <c r="I209" s="215" t="e">
        <f>VLOOKUP(A209,'TB PY'!A:C,2,)</f>
        <v>#N/A</v>
      </c>
    </row>
    <row r="210" spans="9:9">
      <c r="I210" s="215" t="e">
        <f>VLOOKUP(A210,'TB PY'!A:C,2,)</f>
        <v>#N/A</v>
      </c>
    </row>
  </sheetData>
  <mergeCells count="9">
    <mergeCell ref="B7:C7"/>
    <mergeCell ref="B8:C8"/>
    <mergeCell ref="B9:C9"/>
    <mergeCell ref="A1:C1"/>
    <mergeCell ref="A2:C2"/>
    <mergeCell ref="A3:C3"/>
    <mergeCell ref="A4:C4"/>
    <mergeCell ref="A5:C5"/>
    <mergeCell ref="A6:C6"/>
  </mergeCells>
  <conditionalFormatting sqref="A1:A168 A170:A181">
    <cfRule type="duplicateValues" dxfId="1" priority="7"/>
  </conditionalFormatting>
  <conditionalFormatting sqref="A169">
    <cfRule type="duplicateValues" dxfId="0" priority="3"/>
  </conditionalFormatting>
  <printOptions horizontalCentered="1" gridLines="1"/>
  <pageMargins left="0.25" right="0.1" top="0.5" bottom="0.25" header="0.3" footer="0.3"/>
  <pageSetup paperSize="9" scale="48" fitToHeight="2" orientation="portrait" blackAndWhite="1"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564F7-CC98-D84C-9902-508763124EC6}">
  <dimension ref="A1"/>
  <sheetViews>
    <sheetView workbookViewId="0"/>
  </sheetViews>
  <sheetFormatPr baseColWidth="10" defaultRowHeight="1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54E60-F629-44CA-9FDA-9148B4A2771A}">
  <dimension ref="A1:L77"/>
  <sheetViews>
    <sheetView workbookViewId="0">
      <selection activeCell="B25" sqref="B25"/>
    </sheetView>
  </sheetViews>
  <sheetFormatPr baseColWidth="10" defaultColWidth="9.1640625" defaultRowHeight="15"/>
  <cols>
    <col min="1" max="1" width="10.6640625" style="215" bestFit="1" customWidth="1"/>
    <col min="2" max="2" width="43.5" style="215" bestFit="1" customWidth="1"/>
    <col min="3" max="4" width="13.33203125" style="215" bestFit="1" customWidth="1"/>
    <col min="5" max="16384" width="9.1640625" style="215"/>
  </cols>
  <sheetData>
    <row r="1" spans="1:12" ht="16" thickTop="1">
      <c r="A1" s="495"/>
      <c r="B1" s="496" t="e">
        <f>#REF!</f>
        <v>#REF!</v>
      </c>
      <c r="C1" s="497"/>
      <c r="D1" s="497"/>
      <c r="E1" s="498"/>
    </row>
    <row r="2" spans="1:12">
      <c r="A2" s="499"/>
      <c r="B2" s="500" t="s">
        <v>1291</v>
      </c>
      <c r="E2" s="501"/>
    </row>
    <row r="3" spans="1:12">
      <c r="A3" s="499" t="s">
        <v>1284</v>
      </c>
      <c r="B3" s="215" t="s">
        <v>1305</v>
      </c>
      <c r="C3" s="215">
        <v>188986</v>
      </c>
      <c r="E3" s="501"/>
      <c r="F3" s="215">
        <v>188986</v>
      </c>
    </row>
    <row r="4" spans="1:12">
      <c r="A4" s="499"/>
      <c r="B4" s="215" t="s">
        <v>837</v>
      </c>
      <c r="C4" s="215">
        <v>1661</v>
      </c>
      <c r="E4" s="501"/>
      <c r="G4" s="215">
        <v>11437</v>
      </c>
      <c r="I4" s="215">
        <v>6735</v>
      </c>
      <c r="J4" s="215" t="s">
        <v>1067</v>
      </c>
      <c r="K4" s="215">
        <v>9203</v>
      </c>
    </row>
    <row r="5" spans="1:12">
      <c r="A5" s="499"/>
      <c r="B5" s="215" t="s">
        <v>1063</v>
      </c>
      <c r="D5" s="215">
        <f>SUM(C3:C4)</f>
        <v>190647</v>
      </c>
      <c r="E5" s="501"/>
      <c r="G5" s="215">
        <v>392482</v>
      </c>
      <c r="I5" s="215">
        <v>296577</v>
      </c>
      <c r="J5" s="215" t="s">
        <v>1068</v>
      </c>
      <c r="K5" s="215">
        <v>468247</v>
      </c>
    </row>
    <row r="6" spans="1:12">
      <c r="A6" s="499"/>
      <c r="B6" s="215" t="s">
        <v>1064</v>
      </c>
      <c r="E6" s="501"/>
      <c r="G6" s="215">
        <f>I5+I4+D5</f>
        <v>493959</v>
      </c>
      <c r="H6" s="215">
        <f>SUM(G4:G5)</f>
        <v>403919</v>
      </c>
      <c r="K6" s="215">
        <f>SUM(K4:K5)</f>
        <v>477450</v>
      </c>
    </row>
    <row r="7" spans="1:12">
      <c r="A7" s="499"/>
      <c r="E7" s="501"/>
      <c r="L7" s="215">
        <v>157058</v>
      </c>
    </row>
    <row r="8" spans="1:12">
      <c r="A8" s="499"/>
      <c r="E8" s="501"/>
      <c r="L8" s="215">
        <f>-42918+44579</f>
        <v>1661</v>
      </c>
    </row>
    <row r="9" spans="1:12">
      <c r="A9" s="499" t="s">
        <v>1284</v>
      </c>
      <c r="B9" s="215" t="s">
        <v>1065</v>
      </c>
      <c r="C9" s="215">
        <v>520646</v>
      </c>
      <c r="E9" s="501"/>
      <c r="K9" s="215">
        <v>594566</v>
      </c>
    </row>
    <row r="10" spans="1:12">
      <c r="A10" s="499"/>
      <c r="B10" s="215" t="s">
        <v>1066</v>
      </c>
      <c r="D10" s="215">
        <f>C9</f>
        <v>520646</v>
      </c>
      <c r="E10" s="501"/>
      <c r="G10" s="215">
        <v>124009</v>
      </c>
      <c r="I10" s="215">
        <v>65318</v>
      </c>
      <c r="J10" s="215" t="s">
        <v>1067</v>
      </c>
      <c r="K10" s="215">
        <f>+K9-K6</f>
        <v>117116</v>
      </c>
    </row>
    <row r="11" spans="1:12">
      <c r="A11" s="499"/>
      <c r="B11" s="215" t="s">
        <v>1069</v>
      </c>
      <c r="E11" s="501"/>
      <c r="G11" s="215">
        <v>1188838</v>
      </c>
      <c r="I11" s="215">
        <v>726883</v>
      </c>
      <c r="J11" s="215" t="s">
        <v>1068</v>
      </c>
    </row>
    <row r="12" spans="1:12">
      <c r="A12" s="499"/>
      <c r="B12" s="215" t="s">
        <v>1290</v>
      </c>
      <c r="E12" s="501"/>
      <c r="G12" s="215">
        <f>I11+I10+D10</f>
        <v>1312847</v>
      </c>
      <c r="H12" s="215">
        <f>SUM(G10:G11)</f>
        <v>1312847</v>
      </c>
      <c r="K12" s="215">
        <f>-12010-24620</f>
        <v>-36630</v>
      </c>
    </row>
    <row r="13" spans="1:12">
      <c r="A13" s="499"/>
      <c r="E13" s="501"/>
      <c r="K13" s="215">
        <v>924090</v>
      </c>
    </row>
    <row r="14" spans="1:12">
      <c r="A14" s="506">
        <v>44621</v>
      </c>
      <c r="B14" s="215" t="s">
        <v>1070</v>
      </c>
      <c r="C14" s="215" t="e">
        <f>#REF!</f>
        <v>#REF!</v>
      </c>
      <c r="E14" s="501" t="s">
        <v>464</v>
      </c>
      <c r="K14" s="215">
        <f>+H12</f>
        <v>1312847</v>
      </c>
    </row>
    <row r="15" spans="1:12">
      <c r="A15" s="499"/>
      <c r="B15" s="215" t="s">
        <v>1071</v>
      </c>
      <c r="D15" s="215" t="e">
        <f>+C14</f>
        <v>#REF!</v>
      </c>
      <c r="E15" s="501" t="s">
        <v>1072</v>
      </c>
      <c r="K15" s="215">
        <f>+K13-K14</f>
        <v>-388757</v>
      </c>
    </row>
    <row r="16" spans="1:12">
      <c r="A16" s="499"/>
      <c r="B16" s="215" t="s">
        <v>1073</v>
      </c>
      <c r="E16" s="501"/>
      <c r="K16" s="215">
        <f>+D10+K15</f>
        <v>131889</v>
      </c>
    </row>
    <row r="17" spans="1:7">
      <c r="A17" s="499"/>
      <c r="E17" s="501"/>
    </row>
    <row r="18" spans="1:7">
      <c r="A18" s="499"/>
      <c r="B18" s="215" t="s">
        <v>1071</v>
      </c>
      <c r="C18" s="215" t="e">
        <f>+#REF!</f>
        <v>#REF!</v>
      </c>
      <c r="E18" s="501" t="s">
        <v>1072</v>
      </c>
    </row>
    <row r="19" spans="1:7">
      <c r="A19" s="499"/>
      <c r="B19" s="215" t="s">
        <v>1074</v>
      </c>
      <c r="D19" s="215" t="e">
        <f>C18</f>
        <v>#REF!</v>
      </c>
      <c r="E19" s="501"/>
    </row>
    <row r="20" spans="1:7">
      <c r="A20" s="499"/>
      <c r="B20" s="215" t="s">
        <v>1075</v>
      </c>
      <c r="E20" s="501"/>
    </row>
    <row r="21" spans="1:7">
      <c r="A21" s="499"/>
      <c r="E21" s="501"/>
    </row>
    <row r="22" spans="1:7">
      <c r="A22" s="506">
        <v>44607</v>
      </c>
      <c r="B22" s="215" t="s">
        <v>1077</v>
      </c>
      <c r="C22" s="215">
        <v>22414</v>
      </c>
      <c r="E22" s="501" t="s">
        <v>464</v>
      </c>
      <c r="G22" s="215" t="s">
        <v>1285</v>
      </c>
    </row>
    <row r="23" spans="1:7">
      <c r="A23" s="499"/>
      <c r="B23" s="215" t="s">
        <v>1078</v>
      </c>
      <c r="D23" s="215">
        <f>+C22</f>
        <v>22414</v>
      </c>
      <c r="E23" s="501" t="s">
        <v>230</v>
      </c>
    </row>
    <row r="24" spans="1:7">
      <c r="A24" s="499"/>
      <c r="E24" s="501"/>
    </row>
    <row r="25" spans="1:7">
      <c r="A25" s="499"/>
      <c r="B25" s="215" t="s">
        <v>564</v>
      </c>
      <c r="C25" s="215">
        <v>22622</v>
      </c>
      <c r="E25" s="501" t="s">
        <v>230</v>
      </c>
    </row>
    <row r="26" spans="1:7">
      <c r="A26" s="499"/>
      <c r="B26" s="215" t="s">
        <v>1079</v>
      </c>
      <c r="D26" s="215">
        <f>C25</f>
        <v>22622</v>
      </c>
      <c r="E26" s="501" t="s">
        <v>1080</v>
      </c>
    </row>
    <row r="27" spans="1:7">
      <c r="A27" s="499"/>
      <c r="B27" s="215" t="s">
        <v>1292</v>
      </c>
      <c r="E27" s="501"/>
    </row>
    <row r="28" spans="1:7">
      <c r="A28" s="499"/>
      <c r="E28" s="501"/>
    </row>
    <row r="29" spans="1:7">
      <c r="A29" s="506">
        <v>44607</v>
      </c>
      <c r="B29" s="215" t="s">
        <v>1289</v>
      </c>
      <c r="C29" s="448">
        <f>'SDS JBA'!H30</f>
        <v>43237</v>
      </c>
      <c r="E29" s="501" t="s">
        <v>464</v>
      </c>
      <c r="G29" s="215" t="s">
        <v>1286</v>
      </c>
    </row>
    <row r="30" spans="1:7">
      <c r="A30" s="499"/>
      <c r="B30" s="215" t="s">
        <v>1288</v>
      </c>
      <c r="D30" s="215">
        <f>+C29</f>
        <v>43237</v>
      </c>
      <c r="E30" s="501" t="s">
        <v>230</v>
      </c>
    </row>
    <row r="31" spans="1:7">
      <c r="A31" s="499"/>
      <c r="B31" s="215" t="s">
        <v>1293</v>
      </c>
      <c r="E31" s="501"/>
    </row>
    <row r="32" spans="1:7">
      <c r="A32" s="499"/>
      <c r="E32" s="501"/>
    </row>
    <row r="33" spans="1:7">
      <c r="A33" s="506">
        <v>44651</v>
      </c>
      <c r="B33" s="215" t="s">
        <v>1077</v>
      </c>
      <c r="C33" s="215">
        <f>ROUND('SDS JBA'!H40,0)</f>
        <v>1737</v>
      </c>
      <c r="E33" s="501" t="s">
        <v>464</v>
      </c>
    </row>
    <row r="34" spans="1:7">
      <c r="A34" s="499"/>
      <c r="B34" s="215" t="s">
        <v>1078</v>
      </c>
      <c r="D34" s="215">
        <f>+C33</f>
        <v>1737</v>
      </c>
      <c r="E34" s="501" t="s">
        <v>230</v>
      </c>
      <c r="G34" s="448"/>
    </row>
    <row r="35" spans="1:7">
      <c r="A35" s="499"/>
      <c r="B35" s="215" t="s">
        <v>1294</v>
      </c>
      <c r="E35" s="501"/>
    </row>
    <row r="36" spans="1:7">
      <c r="A36" s="499"/>
      <c r="B36" s="215" t="s">
        <v>564</v>
      </c>
      <c r="C36" s="448">
        <f>ROUND('SDS JBA'!H36,0)</f>
        <v>1576</v>
      </c>
      <c r="E36" s="501" t="s">
        <v>230</v>
      </c>
    </row>
    <row r="37" spans="1:7">
      <c r="A37" s="499"/>
      <c r="B37" s="215" t="s">
        <v>1079</v>
      </c>
      <c r="D37" s="215">
        <f>C36</f>
        <v>1576</v>
      </c>
      <c r="E37" s="501" t="s">
        <v>1080</v>
      </c>
    </row>
    <row r="38" spans="1:7">
      <c r="A38" s="499"/>
      <c r="B38" s="215" t="s">
        <v>1295</v>
      </c>
      <c r="E38" s="501"/>
    </row>
    <row r="39" spans="1:7">
      <c r="A39" s="499"/>
      <c r="E39" s="501"/>
    </row>
    <row r="40" spans="1:7">
      <c r="A40" s="506">
        <v>44651</v>
      </c>
      <c r="B40" s="215" t="s">
        <v>1296</v>
      </c>
      <c r="C40" s="503">
        <f>'Sales return'!D15</f>
        <v>490609</v>
      </c>
      <c r="E40" s="501"/>
    </row>
    <row r="41" spans="1:7">
      <c r="A41" s="499"/>
      <c r="B41" s="215" t="s">
        <v>1297</v>
      </c>
      <c r="E41" s="501"/>
    </row>
    <row r="42" spans="1:7">
      <c r="A42" s="499"/>
      <c r="B42" s="215" t="s">
        <v>1304</v>
      </c>
      <c r="E42" s="501"/>
    </row>
    <row r="43" spans="1:7">
      <c r="A43" s="499"/>
      <c r="E43" s="501"/>
    </row>
    <row r="44" spans="1:7">
      <c r="A44" s="499"/>
      <c r="B44" s="215" t="s">
        <v>1298</v>
      </c>
      <c r="C44" s="503">
        <f>C40*0.9</f>
        <v>441548.10000000003</v>
      </c>
      <c r="E44" s="501"/>
    </row>
    <row r="45" spans="1:7">
      <c r="A45" s="499"/>
      <c r="B45" s="215" t="s">
        <v>1299</v>
      </c>
      <c r="D45" s="503">
        <f>C44</f>
        <v>441548.10000000003</v>
      </c>
      <c r="E45" s="501"/>
    </row>
    <row r="46" spans="1:7">
      <c r="A46" s="499"/>
      <c r="B46" s="215" t="s">
        <v>1300</v>
      </c>
      <c r="E46" s="501"/>
    </row>
    <row r="47" spans="1:7">
      <c r="A47" s="499"/>
      <c r="E47" s="501"/>
    </row>
    <row r="48" spans="1:7">
      <c r="A48" s="506">
        <v>44651</v>
      </c>
      <c r="B48" s="215" t="s">
        <v>132</v>
      </c>
      <c r="C48" s="215">
        <v>71125</v>
      </c>
      <c r="E48" s="501"/>
    </row>
    <row r="49" spans="1:5">
      <c r="A49" s="499"/>
      <c r="B49" s="215" t="s">
        <v>1306</v>
      </c>
      <c r="D49" s="215">
        <f>C48</f>
        <v>71125</v>
      </c>
      <c r="E49" s="501"/>
    </row>
    <row r="50" spans="1:5">
      <c r="A50" s="499"/>
      <c r="B50" s="215" t="s">
        <v>1313</v>
      </c>
      <c r="E50" s="501"/>
    </row>
    <row r="51" spans="1:5">
      <c r="A51" s="499"/>
      <c r="E51" s="501"/>
    </row>
    <row r="52" spans="1:5">
      <c r="A52" s="499"/>
      <c r="B52" s="215" t="s">
        <v>1311</v>
      </c>
      <c r="C52" s="215">
        <v>28259</v>
      </c>
      <c r="E52" s="501"/>
    </row>
    <row r="53" spans="1:5">
      <c r="A53" s="499"/>
      <c r="B53" s="215" t="s">
        <v>1307</v>
      </c>
      <c r="D53" s="215">
        <f>C52</f>
        <v>28259</v>
      </c>
      <c r="E53" s="501"/>
    </row>
    <row r="54" spans="1:5">
      <c r="A54" s="499"/>
      <c r="B54" s="215" t="s">
        <v>1313</v>
      </c>
      <c r="E54" s="501"/>
    </row>
    <row r="55" spans="1:5">
      <c r="A55" s="499"/>
      <c r="E55" s="501"/>
    </row>
    <row r="56" spans="1:5">
      <c r="A56" s="499"/>
      <c r="B56" s="215" t="s">
        <v>1310</v>
      </c>
      <c r="C56" s="215">
        <v>19195</v>
      </c>
      <c r="E56" s="501"/>
    </row>
    <row r="57" spans="1:5">
      <c r="A57" s="499"/>
      <c r="B57" s="215" t="s">
        <v>1308</v>
      </c>
      <c r="D57" s="215">
        <f>C56</f>
        <v>19195</v>
      </c>
      <c r="E57" s="501"/>
    </row>
    <row r="58" spans="1:5">
      <c r="A58" s="499"/>
      <c r="B58" s="215" t="s">
        <v>1313</v>
      </c>
      <c r="E58" s="501"/>
    </row>
    <row r="59" spans="1:5" ht="16" thickBot="1">
      <c r="A59" s="504"/>
      <c r="E59" s="505"/>
    </row>
    <row r="60" spans="1:5" ht="16" thickTop="1">
      <c r="B60" s="215" t="s">
        <v>86</v>
      </c>
      <c r="C60" s="215">
        <v>44521</v>
      </c>
    </row>
    <row r="61" spans="1:5">
      <c r="B61" s="215" t="s">
        <v>1309</v>
      </c>
      <c r="D61" s="215">
        <f>C60</f>
        <v>44521</v>
      </c>
    </row>
    <row r="62" spans="1:5">
      <c r="B62" s="215" t="s">
        <v>1313</v>
      </c>
    </row>
    <row r="64" spans="1:5">
      <c r="B64" s="215" t="s">
        <v>57</v>
      </c>
      <c r="C64" s="215">
        <f>SUM(D65:D68)</f>
        <v>400241.71338096773</v>
      </c>
    </row>
    <row r="65" spans="2:4">
      <c r="B65" s="215" t="s">
        <v>1309</v>
      </c>
      <c r="D65" s="215">
        <v>230581.57315153195</v>
      </c>
    </row>
    <row r="66" spans="2:4">
      <c r="B66" s="215" t="s">
        <v>1308</v>
      </c>
      <c r="D66" s="215">
        <v>10594.966497804289</v>
      </c>
    </row>
    <row r="67" spans="2:4">
      <c r="B67" s="215" t="s">
        <v>1307</v>
      </c>
      <c r="D67" s="215">
        <v>50471.173731631505</v>
      </c>
    </row>
    <row r="68" spans="2:4">
      <c r="B68" s="215" t="s">
        <v>1306</v>
      </c>
      <c r="D68" s="215">
        <v>108594</v>
      </c>
    </row>
    <row r="69" spans="2:4">
      <c r="B69" s="215" t="s">
        <v>1312</v>
      </c>
    </row>
    <row r="71" spans="2:4">
      <c r="B71" s="215" t="s">
        <v>1315</v>
      </c>
      <c r="C71" s="215">
        <v>20973</v>
      </c>
    </row>
    <row r="72" spans="2:4">
      <c r="B72" s="215" t="s">
        <v>1314</v>
      </c>
      <c r="D72" s="215">
        <f>C71</f>
        <v>20973</v>
      </c>
    </row>
    <row r="73" spans="2:4">
      <c r="B73" s="215" t="s">
        <v>1313</v>
      </c>
    </row>
    <row r="75" spans="2:4">
      <c r="B75" s="215" t="s">
        <v>1315</v>
      </c>
      <c r="C75" s="215">
        <f>D76+D77</f>
        <v>2034816</v>
      </c>
    </row>
    <row r="76" spans="2:4">
      <c r="B76" s="215" t="s">
        <v>1314</v>
      </c>
      <c r="D76" s="215">
        <v>34816</v>
      </c>
    </row>
    <row r="77" spans="2:4">
      <c r="B77" s="215" t="s">
        <v>1316</v>
      </c>
      <c r="D77" s="215">
        <v>2000000</v>
      </c>
    </row>
  </sheetData>
  <pageMargins left="0.70866141732283472" right="0.70866141732283472" top="0.74803149606299213" bottom="0.74803149606299213" header="0.31496062992125984" footer="0.31496062992125984"/>
  <pageSetup paperSize="9" orientation="portrait" blackAndWhite="1" horizontalDpi="0"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6D10B-D0B6-44B9-9541-5D05DD9AAAB7}">
  <dimension ref="A1:I77"/>
  <sheetViews>
    <sheetView workbookViewId="0">
      <selection activeCell="B25" sqref="B25"/>
    </sheetView>
  </sheetViews>
  <sheetFormatPr baseColWidth="10" defaultColWidth="9.1640625" defaultRowHeight="15"/>
  <cols>
    <col min="1" max="1" width="10.6640625" style="215" bestFit="1" customWidth="1"/>
    <col min="2" max="2" width="43.5" style="215" bestFit="1" customWidth="1"/>
    <col min="3" max="4" width="13.33203125" style="215" bestFit="1" customWidth="1"/>
    <col min="5" max="16384" width="9.1640625" style="215"/>
  </cols>
  <sheetData>
    <row r="1" spans="1:9" ht="16" thickTop="1">
      <c r="A1" s="495"/>
      <c r="B1" s="496" t="s">
        <v>1626</v>
      </c>
      <c r="C1" s="497"/>
      <c r="D1" s="497"/>
      <c r="E1" s="498"/>
    </row>
    <row r="2" spans="1:9">
      <c r="A2" s="499"/>
      <c r="B2" s="500"/>
      <c r="E2" s="501"/>
    </row>
    <row r="3" spans="1:9">
      <c r="A3" s="499" t="s">
        <v>1627</v>
      </c>
      <c r="B3" s="215" t="s">
        <v>1305</v>
      </c>
      <c r="C3" s="215">
        <f>252859-C4</f>
        <v>210410</v>
      </c>
      <c r="E3" s="501"/>
    </row>
    <row r="4" spans="1:9">
      <c r="A4" s="499"/>
      <c r="B4" s="215" t="s">
        <v>837</v>
      </c>
      <c r="C4" s="215">
        <f>199507-157058</f>
        <v>42449</v>
      </c>
      <c r="E4" s="501"/>
    </row>
    <row r="5" spans="1:9">
      <c r="A5" s="499"/>
      <c r="B5" s="215" t="s">
        <v>1063</v>
      </c>
      <c r="D5" s="215">
        <f>SUM(C3:C4)</f>
        <v>252859</v>
      </c>
      <c r="E5" s="501"/>
    </row>
    <row r="6" spans="1:9">
      <c r="A6" s="499"/>
      <c r="B6" s="215" t="s">
        <v>1064</v>
      </c>
      <c r="E6" s="501"/>
    </row>
    <row r="7" spans="1:9">
      <c r="A7" s="499"/>
      <c r="E7" s="501"/>
    </row>
    <row r="8" spans="1:9">
      <c r="A8" s="499"/>
      <c r="B8" s="215" t="s">
        <v>1635</v>
      </c>
      <c r="C8" s="502">
        <v>20802</v>
      </c>
      <c r="E8" s="501"/>
      <c r="G8" s="215">
        <v>9203</v>
      </c>
    </row>
    <row r="9" spans="1:9">
      <c r="A9" s="499"/>
      <c r="B9" s="215" t="s">
        <v>1629</v>
      </c>
      <c r="C9" s="502">
        <v>709507</v>
      </c>
      <c r="E9" s="501"/>
      <c r="G9" s="215">
        <v>468247</v>
      </c>
      <c r="H9" s="215">
        <f>SUM(G8:G9)</f>
        <v>477450</v>
      </c>
      <c r="I9" s="502">
        <f>D10-H9</f>
        <v>252859</v>
      </c>
    </row>
    <row r="10" spans="1:9">
      <c r="A10" s="499"/>
      <c r="B10" s="338" t="s">
        <v>1630</v>
      </c>
      <c r="D10" s="502">
        <f>SUM(C8:C9)</f>
        <v>730309</v>
      </c>
      <c r="E10" s="501"/>
    </row>
    <row r="11" spans="1:9">
      <c r="A11" s="499"/>
      <c r="E11" s="501"/>
    </row>
    <row r="12" spans="1:9">
      <c r="A12" s="499"/>
      <c r="E12" s="501"/>
    </row>
    <row r="13" spans="1:9">
      <c r="A13" s="499" t="s">
        <v>1627</v>
      </c>
      <c r="B13" s="215" t="s">
        <v>1065</v>
      </c>
      <c r="C13" s="502">
        <f>H20</f>
        <v>349231</v>
      </c>
      <c r="E13" s="501"/>
    </row>
    <row r="14" spans="1:9">
      <c r="A14" s="499"/>
      <c r="B14" s="215" t="s">
        <v>1066</v>
      </c>
      <c r="D14" s="502">
        <f>C13</f>
        <v>349231</v>
      </c>
      <c r="E14" s="501"/>
    </row>
    <row r="15" spans="1:9">
      <c r="A15" s="499"/>
      <c r="B15" s="215" t="s">
        <v>1069</v>
      </c>
      <c r="E15" s="501"/>
    </row>
    <row r="16" spans="1:9">
      <c r="A16" s="499"/>
      <c r="B16" s="215" t="s">
        <v>1290</v>
      </c>
      <c r="E16" s="501"/>
    </row>
    <row r="17" spans="1:8">
      <c r="A17" s="499"/>
      <c r="E17" s="501"/>
    </row>
    <row r="18" spans="1:8">
      <c r="A18" s="499"/>
      <c r="B18" s="215" t="s">
        <v>1628</v>
      </c>
      <c r="C18" s="502">
        <v>158061</v>
      </c>
      <c r="E18" s="501"/>
    </row>
    <row r="19" spans="1:8">
      <c r="A19" s="499"/>
      <c r="B19" s="215" t="s">
        <v>1629</v>
      </c>
      <c r="C19" s="502">
        <v>1504017</v>
      </c>
      <c r="E19" s="501"/>
    </row>
    <row r="20" spans="1:8">
      <c r="A20" s="499"/>
      <c r="B20" s="338" t="s">
        <v>1630</v>
      </c>
      <c r="D20" s="502">
        <f>SUM(C18:C19)</f>
        <v>1662078</v>
      </c>
      <c r="E20" s="501"/>
      <c r="G20" s="215">
        <v>1312847</v>
      </c>
      <c r="H20" s="502">
        <f>D20-G20</f>
        <v>349231</v>
      </c>
    </row>
    <row r="21" spans="1:8">
      <c r="A21" s="499"/>
      <c r="B21" s="338"/>
      <c r="E21" s="501"/>
    </row>
    <row r="22" spans="1:8">
      <c r="A22" s="499" t="s">
        <v>1627</v>
      </c>
      <c r="B22" s="215" t="s">
        <v>1077</v>
      </c>
      <c r="E22" s="501" t="s">
        <v>464</v>
      </c>
    </row>
    <row r="23" spans="1:8">
      <c r="A23" s="499"/>
      <c r="B23" s="215" t="s">
        <v>1078</v>
      </c>
      <c r="E23" s="501" t="s">
        <v>230</v>
      </c>
    </row>
    <row r="24" spans="1:8">
      <c r="A24" s="499"/>
      <c r="E24" s="501"/>
    </row>
    <row r="25" spans="1:8">
      <c r="A25" s="499"/>
      <c r="B25" s="215" t="s">
        <v>564</v>
      </c>
      <c r="E25" s="501" t="s">
        <v>230</v>
      </c>
    </row>
    <row r="26" spans="1:8">
      <c r="A26" s="499"/>
      <c r="B26" s="215" t="s">
        <v>1079</v>
      </c>
      <c r="E26" s="501" t="s">
        <v>1080</v>
      </c>
    </row>
    <row r="27" spans="1:8">
      <c r="A27" s="499"/>
      <c r="B27" s="215" t="s">
        <v>1292</v>
      </c>
      <c r="E27" s="501"/>
    </row>
    <row r="28" spans="1:8">
      <c r="A28" s="499"/>
      <c r="E28" s="501"/>
    </row>
    <row r="29" spans="1:8">
      <c r="A29" s="499" t="s">
        <v>1627</v>
      </c>
      <c r="B29" s="215" t="s">
        <v>1289</v>
      </c>
      <c r="C29" s="448"/>
      <c r="E29" s="501" t="s">
        <v>464</v>
      </c>
    </row>
    <row r="30" spans="1:8">
      <c r="A30" s="499"/>
      <c r="B30" s="215" t="s">
        <v>1288</v>
      </c>
      <c r="E30" s="501" t="s">
        <v>230</v>
      </c>
    </row>
    <row r="31" spans="1:8">
      <c r="A31" s="499"/>
      <c r="B31" s="215" t="s">
        <v>1293</v>
      </c>
      <c r="E31" s="501"/>
    </row>
    <row r="32" spans="1:8">
      <c r="A32" s="499"/>
      <c r="E32" s="501"/>
    </row>
    <row r="33" spans="1:5">
      <c r="A33" s="499" t="s">
        <v>1627</v>
      </c>
      <c r="B33" s="215" t="s">
        <v>1077</v>
      </c>
      <c r="E33" s="501" t="s">
        <v>464</v>
      </c>
    </row>
    <row r="34" spans="1:5">
      <c r="A34" s="499"/>
      <c r="B34" s="215" t="s">
        <v>1078</v>
      </c>
      <c r="E34" s="501" t="s">
        <v>230</v>
      </c>
    </row>
    <row r="35" spans="1:5">
      <c r="A35" s="499"/>
      <c r="B35" s="215" t="s">
        <v>1294</v>
      </c>
      <c r="E35" s="501"/>
    </row>
    <row r="36" spans="1:5">
      <c r="A36" s="499"/>
      <c r="B36" s="215" t="s">
        <v>564</v>
      </c>
      <c r="C36" s="448"/>
      <c r="E36" s="501" t="s">
        <v>230</v>
      </c>
    </row>
    <row r="37" spans="1:5">
      <c r="A37" s="499"/>
      <c r="B37" s="215" t="s">
        <v>1079</v>
      </c>
      <c r="E37" s="501" t="s">
        <v>1080</v>
      </c>
    </row>
    <row r="38" spans="1:5">
      <c r="A38" s="499"/>
      <c r="B38" s="215" t="s">
        <v>1295</v>
      </c>
      <c r="E38" s="501"/>
    </row>
    <row r="39" spans="1:5">
      <c r="A39" s="499"/>
      <c r="E39" s="501"/>
    </row>
    <row r="40" spans="1:5">
      <c r="A40" s="499" t="s">
        <v>1627</v>
      </c>
      <c r="B40" s="215" t="s">
        <v>1296</v>
      </c>
      <c r="C40" s="503"/>
      <c r="E40" s="501"/>
    </row>
    <row r="41" spans="1:5">
      <c r="A41" s="499"/>
      <c r="B41" s="215" t="s">
        <v>1297</v>
      </c>
      <c r="E41" s="501"/>
    </row>
    <row r="42" spans="1:5">
      <c r="A42" s="499"/>
      <c r="B42" s="215" t="s">
        <v>1304</v>
      </c>
      <c r="E42" s="501"/>
    </row>
    <row r="43" spans="1:5">
      <c r="A43" s="499"/>
      <c r="E43" s="501"/>
    </row>
    <row r="44" spans="1:5">
      <c r="A44" s="499"/>
      <c r="B44" s="215" t="s">
        <v>1298</v>
      </c>
      <c r="C44" s="503"/>
      <c r="E44" s="501"/>
    </row>
    <row r="45" spans="1:5">
      <c r="A45" s="499"/>
      <c r="B45" s="215" t="s">
        <v>1299</v>
      </c>
      <c r="D45" s="503"/>
      <c r="E45" s="501"/>
    </row>
    <row r="46" spans="1:5">
      <c r="A46" s="499"/>
      <c r="B46" s="215" t="s">
        <v>1300</v>
      </c>
      <c r="E46" s="501"/>
    </row>
    <row r="47" spans="1:5">
      <c r="A47" s="499"/>
      <c r="E47" s="501"/>
    </row>
    <row r="48" spans="1:5">
      <c r="A48" s="499" t="s">
        <v>1627</v>
      </c>
      <c r="B48" s="215" t="s">
        <v>132</v>
      </c>
      <c r="E48" s="501"/>
    </row>
    <row r="49" spans="1:5">
      <c r="A49" s="499"/>
      <c r="B49" s="215" t="s">
        <v>1306</v>
      </c>
      <c r="E49" s="501"/>
    </row>
    <row r="50" spans="1:5">
      <c r="A50" s="499"/>
      <c r="B50" s="215" t="s">
        <v>1313</v>
      </c>
      <c r="E50" s="501"/>
    </row>
    <row r="51" spans="1:5">
      <c r="A51" s="499"/>
      <c r="E51" s="501"/>
    </row>
    <row r="52" spans="1:5">
      <c r="A52" s="499"/>
      <c r="B52" s="215" t="s">
        <v>1311</v>
      </c>
      <c r="E52" s="501"/>
    </row>
    <row r="53" spans="1:5">
      <c r="A53" s="499"/>
      <c r="B53" s="215" t="s">
        <v>1307</v>
      </c>
      <c r="E53" s="501"/>
    </row>
    <row r="54" spans="1:5">
      <c r="A54" s="499"/>
      <c r="B54" s="215" t="s">
        <v>1313</v>
      </c>
      <c r="E54" s="501"/>
    </row>
    <row r="55" spans="1:5">
      <c r="A55" s="499"/>
      <c r="E55" s="501"/>
    </row>
    <row r="56" spans="1:5">
      <c r="A56" s="499"/>
      <c r="B56" s="215" t="s">
        <v>1310</v>
      </c>
      <c r="E56" s="501"/>
    </row>
    <row r="57" spans="1:5">
      <c r="A57" s="499"/>
      <c r="B57" s="215" t="s">
        <v>1308</v>
      </c>
      <c r="E57" s="501"/>
    </row>
    <row r="58" spans="1:5">
      <c r="A58" s="499"/>
      <c r="B58" s="215" t="s">
        <v>1313</v>
      </c>
      <c r="E58" s="501"/>
    </row>
    <row r="59" spans="1:5" ht="16" thickBot="1">
      <c r="A59" s="504"/>
      <c r="E59" s="505"/>
    </row>
    <row r="60" spans="1:5" ht="16" thickTop="1">
      <c r="B60" s="215" t="s">
        <v>86</v>
      </c>
    </row>
    <row r="61" spans="1:5">
      <c r="B61" s="215" t="s">
        <v>1309</v>
      </c>
    </row>
    <row r="62" spans="1:5">
      <c r="B62" s="215" t="s">
        <v>1313</v>
      </c>
    </row>
    <row r="64" spans="1:5">
      <c r="B64" s="215" t="s">
        <v>57</v>
      </c>
    </row>
    <row r="65" spans="2:2">
      <c r="B65" s="215" t="s">
        <v>1309</v>
      </c>
    </row>
    <row r="66" spans="2:2">
      <c r="B66" s="215" t="s">
        <v>1308</v>
      </c>
    </row>
    <row r="67" spans="2:2">
      <c r="B67" s="215" t="s">
        <v>1307</v>
      </c>
    </row>
    <row r="68" spans="2:2">
      <c r="B68" s="215" t="s">
        <v>1306</v>
      </c>
    </row>
    <row r="69" spans="2:2">
      <c r="B69" s="215" t="s">
        <v>1312</v>
      </c>
    </row>
    <row r="71" spans="2:2">
      <c r="B71" s="215" t="s">
        <v>1315</v>
      </c>
    </row>
    <row r="72" spans="2:2">
      <c r="B72" s="215" t="s">
        <v>1314</v>
      </c>
    </row>
    <row r="73" spans="2:2">
      <c r="B73" s="215" t="s">
        <v>1313</v>
      </c>
    </row>
    <row r="75" spans="2:2">
      <c r="B75" s="215" t="s">
        <v>1315</v>
      </c>
    </row>
    <row r="76" spans="2:2">
      <c r="B76" s="215" t="s">
        <v>1314</v>
      </c>
    </row>
    <row r="77" spans="2:2">
      <c r="B77" s="215" t="s">
        <v>1316</v>
      </c>
    </row>
  </sheetData>
  <pageMargins left="0.70866141732283472" right="0.70866141732283472" top="0.74803149606299213" bottom="0.74803149606299213" header="0.31496062992125984" footer="0.31496062992125984"/>
  <pageSetup paperSize="9" orientation="portrait" blackAndWhite="1" horizontalDpi="0"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7"/>
  <dimension ref="A1:O28"/>
  <sheetViews>
    <sheetView workbookViewId="0">
      <pane xSplit="1" ySplit="2" topLeftCell="B14" activePane="bottomRight" state="frozen"/>
      <selection activeCell="B25" sqref="B25"/>
      <selection pane="topRight" activeCell="B25" sqref="B25"/>
      <selection pane="bottomLeft" activeCell="B25" sqref="B25"/>
      <selection pane="bottomRight" activeCell="B25" sqref="B25"/>
    </sheetView>
  </sheetViews>
  <sheetFormatPr baseColWidth="10" defaultColWidth="9.1640625" defaultRowHeight="15"/>
  <cols>
    <col min="1" max="1" width="14.33203125" style="215" bestFit="1" customWidth="1"/>
    <col min="2" max="2" width="19" style="215" bestFit="1" customWidth="1"/>
    <col min="3" max="3" width="17.1640625" style="215" bestFit="1" customWidth="1"/>
    <col min="4" max="4" width="20.83203125" style="215" bestFit="1" customWidth="1"/>
    <col min="5" max="5" width="16.83203125" style="215" bestFit="1" customWidth="1"/>
    <col min="6" max="6" width="20.83203125" style="215" bestFit="1" customWidth="1"/>
    <col min="7" max="7" width="14.33203125" style="215" bestFit="1" customWidth="1"/>
    <col min="8" max="8" width="12.5" style="215" bestFit="1" customWidth="1"/>
    <col min="9" max="9" width="11.5" style="215" customWidth="1"/>
    <col min="10" max="10" width="14.33203125" style="215" bestFit="1" customWidth="1"/>
    <col min="11" max="11" width="27.5" style="215" bestFit="1" customWidth="1"/>
    <col min="12" max="12" width="13.83203125" style="454" bestFit="1" customWidth="1"/>
    <col min="13" max="13" width="12.5" style="215" bestFit="1" customWidth="1"/>
    <col min="14" max="16384" width="9.1640625" style="215"/>
  </cols>
  <sheetData>
    <row r="1" spans="1:15" ht="16" thickBot="1"/>
    <row r="2" spans="1:15" ht="16" thickBot="1">
      <c r="A2" s="455" t="s">
        <v>786</v>
      </c>
      <c r="B2" s="455" t="s">
        <v>787</v>
      </c>
      <c r="C2" s="455" t="s">
        <v>788</v>
      </c>
      <c r="D2" s="455" t="s">
        <v>54</v>
      </c>
      <c r="E2" s="455" t="s">
        <v>480</v>
      </c>
      <c r="F2" s="455" t="s">
        <v>481</v>
      </c>
      <c r="G2" s="455" t="s">
        <v>482</v>
      </c>
      <c r="H2" s="455" t="s">
        <v>565</v>
      </c>
      <c r="I2" s="455" t="s">
        <v>566</v>
      </c>
      <c r="J2" s="455" t="s">
        <v>51</v>
      </c>
      <c r="K2" s="455" t="s">
        <v>1085</v>
      </c>
      <c r="L2" s="456" t="s">
        <v>1086</v>
      </c>
      <c r="M2" s="455" t="s">
        <v>790</v>
      </c>
    </row>
    <row r="3" spans="1:15">
      <c r="A3" s="457" t="s">
        <v>787</v>
      </c>
      <c r="B3" s="458"/>
      <c r="C3" s="458">
        <v>67228.91</v>
      </c>
      <c r="D3" s="458"/>
      <c r="E3" s="458"/>
      <c r="F3" s="458"/>
      <c r="G3" s="458"/>
      <c r="H3" s="458"/>
      <c r="I3" s="458"/>
      <c r="J3" s="458">
        <f>SUM(C3:I3)</f>
        <v>67228.91</v>
      </c>
      <c r="K3" s="459"/>
      <c r="L3" s="460"/>
      <c r="M3" s="461"/>
    </row>
    <row r="4" spans="1:15">
      <c r="A4" s="462" t="s">
        <v>788</v>
      </c>
      <c r="B4" s="463"/>
      <c r="C4" s="463">
        <v>298672.53000000003</v>
      </c>
      <c r="D4" s="463">
        <v>186731.72000000003</v>
      </c>
      <c r="E4" s="463"/>
      <c r="F4" s="463"/>
      <c r="G4" s="463"/>
      <c r="H4" s="463"/>
      <c r="I4" s="463"/>
      <c r="J4" s="463">
        <f t="shared" ref="J4:J9" si="0">SUM(C4:I4)</f>
        <v>485404.25000000006</v>
      </c>
      <c r="K4" s="459"/>
      <c r="L4" s="460"/>
      <c r="M4" s="461"/>
    </row>
    <row r="5" spans="1:15">
      <c r="A5" s="462" t="s">
        <v>54</v>
      </c>
      <c r="B5" s="463"/>
      <c r="C5" s="463"/>
      <c r="D5" s="463">
        <v>381943.8499999998</v>
      </c>
      <c r="E5" s="463">
        <v>242144.29</v>
      </c>
      <c r="F5" s="463"/>
      <c r="G5" s="463"/>
      <c r="H5" s="463"/>
      <c r="I5" s="463"/>
      <c r="J5" s="463">
        <f t="shared" si="0"/>
        <v>624088.13999999978</v>
      </c>
      <c r="K5" s="459">
        <v>6102158</v>
      </c>
      <c r="L5" s="464">
        <f>+J5/K5</f>
        <v>0.10227334985426463</v>
      </c>
      <c r="M5" s="461"/>
    </row>
    <row r="6" spans="1:15">
      <c r="A6" s="462" t="s">
        <v>480</v>
      </c>
      <c r="B6" s="463"/>
      <c r="C6" s="463"/>
      <c r="D6" s="463"/>
      <c r="E6" s="463">
        <v>1256704.8500000001</v>
      </c>
      <c r="F6" s="463">
        <v>179520</v>
      </c>
      <c r="G6" s="465">
        <v>7636</v>
      </c>
      <c r="H6" s="463"/>
      <c r="I6" s="463"/>
      <c r="J6" s="463">
        <f t="shared" si="0"/>
        <v>1443860.85</v>
      </c>
      <c r="K6" s="459">
        <v>12920433</v>
      </c>
      <c r="L6" s="464">
        <f>+J6/K6</f>
        <v>0.11175019057023863</v>
      </c>
      <c r="M6" s="461"/>
    </row>
    <row r="7" spans="1:15">
      <c r="A7" s="462" t="s">
        <v>481</v>
      </c>
      <c r="B7" s="463"/>
      <c r="C7" s="463"/>
      <c r="D7" s="463"/>
      <c r="E7" s="463"/>
      <c r="F7" s="463">
        <v>1815977</v>
      </c>
      <c r="G7" s="465">
        <v>1008328</v>
      </c>
      <c r="H7" s="463">
        <v>53386</v>
      </c>
      <c r="I7" s="463"/>
      <c r="J7" s="463">
        <f t="shared" si="0"/>
        <v>2877691</v>
      </c>
      <c r="K7" s="459">
        <v>17601054</v>
      </c>
      <c r="L7" s="464">
        <f>+J7/K7</f>
        <v>0.16349537931080718</v>
      </c>
      <c r="M7" s="461"/>
    </row>
    <row r="8" spans="1:15">
      <c r="A8" s="462" t="s">
        <v>482</v>
      </c>
      <c r="B8" s="463"/>
      <c r="C8" s="463"/>
      <c r="D8" s="463"/>
      <c r="E8" s="463"/>
      <c r="F8" s="463"/>
      <c r="G8" s="465">
        <v>1077365</v>
      </c>
      <c r="H8" s="463">
        <v>697827</v>
      </c>
      <c r="I8" s="463"/>
      <c r="J8" s="463">
        <f t="shared" si="0"/>
        <v>1775192</v>
      </c>
      <c r="K8" s="459">
        <f>ROUND(PL!E8,0)</f>
        <v>64459893</v>
      </c>
      <c r="L8" s="464">
        <f>+J8/K8</f>
        <v>2.7539481022719043E-2</v>
      </c>
      <c r="M8" s="461"/>
    </row>
    <row r="9" spans="1:15" ht="16" thickBot="1">
      <c r="A9" s="466" t="s">
        <v>565</v>
      </c>
      <c r="B9" s="467"/>
      <c r="C9" s="467"/>
      <c r="D9" s="467"/>
      <c r="E9" s="467"/>
      <c r="F9" s="467"/>
      <c r="G9" s="465"/>
      <c r="H9" s="467">
        <v>4419561</v>
      </c>
      <c r="I9" s="467">
        <v>212452</v>
      </c>
      <c r="J9" s="467">
        <f t="shared" si="0"/>
        <v>4632013</v>
      </c>
      <c r="K9" s="459">
        <f>ROUND(PL!D8,0)</f>
        <v>64296378</v>
      </c>
      <c r="L9" s="464">
        <f>+J9/K9</f>
        <v>7.2041585297386426E-2</v>
      </c>
      <c r="M9" s="461"/>
    </row>
    <row r="10" spans="1:15" ht="16" thickBot="1">
      <c r="A10" s="455" t="s">
        <v>51</v>
      </c>
      <c r="B10" s="468">
        <f>SUM(B3:B9)</f>
        <v>0</v>
      </c>
      <c r="C10" s="468">
        <f t="shared" ref="C10:M10" si="1">SUM(C3:C9)</f>
        <v>365901.44000000006</v>
      </c>
      <c r="D10" s="468">
        <f t="shared" si="1"/>
        <v>568675.56999999983</v>
      </c>
      <c r="E10" s="468">
        <f t="shared" si="1"/>
        <v>1498849.1400000001</v>
      </c>
      <c r="F10" s="468">
        <f t="shared" si="1"/>
        <v>1995497</v>
      </c>
      <c r="G10" s="468">
        <f t="shared" si="1"/>
        <v>2093329</v>
      </c>
      <c r="H10" s="468">
        <f t="shared" si="1"/>
        <v>5170774</v>
      </c>
      <c r="I10" s="468">
        <f t="shared" si="1"/>
        <v>212452</v>
      </c>
      <c r="J10" s="468"/>
      <c r="K10" s="468"/>
      <c r="L10" s="469">
        <f>AVERAGE(L6:L8)</f>
        <v>0.10092835030125495</v>
      </c>
      <c r="M10" s="470">
        <f t="shared" si="1"/>
        <v>0</v>
      </c>
      <c r="O10" s="215" t="s">
        <v>1250</v>
      </c>
    </row>
    <row r="11" spans="1:15">
      <c r="M11" s="471">
        <f>L10-L9</f>
        <v>2.8886765003868525E-2</v>
      </c>
    </row>
    <row r="12" spans="1:15" ht="16" thickBot="1">
      <c r="A12" s="338" t="s">
        <v>1247</v>
      </c>
      <c r="K12" s="215" t="s">
        <v>1301</v>
      </c>
      <c r="L12" s="217">
        <f>K9*L10</f>
        <v>6489327.3618859025</v>
      </c>
      <c r="M12" s="332">
        <f>K9*M11</f>
        <v>1857314.3618859022</v>
      </c>
    </row>
    <row r="13" spans="1:15" ht="16" thickBot="1">
      <c r="A13" s="472" t="s">
        <v>1242</v>
      </c>
      <c r="B13" s="470" t="s">
        <v>1243</v>
      </c>
      <c r="C13" s="470" t="s">
        <v>1244</v>
      </c>
      <c r="D13" s="473" t="s">
        <v>51</v>
      </c>
      <c r="E13" s="473" t="s">
        <v>1248</v>
      </c>
      <c r="K13" s="215" t="s">
        <v>1302</v>
      </c>
      <c r="L13" s="332">
        <f>H9</f>
        <v>4419561</v>
      </c>
    </row>
    <row r="14" spans="1:15">
      <c r="A14" s="474" t="s">
        <v>1245</v>
      </c>
      <c r="B14" s="475">
        <v>1274259</v>
      </c>
      <c r="C14" s="475">
        <v>229367</v>
      </c>
      <c r="D14" s="476">
        <f>B14+C14</f>
        <v>1503626</v>
      </c>
      <c r="E14" s="476" t="s">
        <v>1249</v>
      </c>
      <c r="K14" s="215" t="s">
        <v>1303</v>
      </c>
      <c r="L14" s="332">
        <f>L12-L13</f>
        <v>2069766.3618859025</v>
      </c>
    </row>
    <row r="15" spans="1:15" ht="16" thickBot="1">
      <c r="A15" s="477" t="s">
        <v>1246</v>
      </c>
      <c r="B15" s="478">
        <v>415770</v>
      </c>
      <c r="C15" s="478">
        <v>74839</v>
      </c>
      <c r="D15" s="479">
        <f>B15+C15</f>
        <v>490609</v>
      </c>
      <c r="E15" s="479">
        <f>+D15*0.9</f>
        <v>441548.10000000003</v>
      </c>
      <c r="L15" s="215"/>
    </row>
    <row r="16" spans="1:15" ht="16" thickBot="1">
      <c r="A16" s="472" t="s">
        <v>51</v>
      </c>
      <c r="B16" s="480">
        <f>SUM(B14:B15)</f>
        <v>1690029</v>
      </c>
      <c r="C16" s="480">
        <f>SUM(C14:C15)</f>
        <v>304206</v>
      </c>
      <c r="D16" s="480">
        <f>SUM(D14:D15)</f>
        <v>1994235</v>
      </c>
      <c r="E16" s="480">
        <f>SUM(E14:E15)</f>
        <v>441548.10000000003</v>
      </c>
      <c r="L16" s="215"/>
    </row>
    <row r="18" spans="1:6" ht="16" thickBot="1"/>
    <row r="19" spans="1:6" ht="17" thickBot="1">
      <c r="A19" s="1152" t="s">
        <v>1642</v>
      </c>
      <c r="B19" s="1153"/>
      <c r="C19" s="1153"/>
      <c r="D19" s="1153"/>
      <c r="E19" s="1153"/>
      <c r="F19" s="1154"/>
    </row>
    <row r="20" spans="1:6" ht="16">
      <c r="A20" s="481"/>
      <c r="B20" s="481"/>
      <c r="C20" s="481"/>
      <c r="D20" s="481"/>
      <c r="E20" s="481"/>
      <c r="F20" s="481"/>
    </row>
    <row r="21" spans="1:6" ht="17" thickBot="1">
      <c r="A21" s="481"/>
      <c r="B21" s="481"/>
      <c r="C21" s="481"/>
      <c r="D21" s="481"/>
      <c r="E21" s="481"/>
      <c r="F21" s="481"/>
    </row>
    <row r="22" spans="1:6" ht="17" thickBot="1">
      <c r="A22" s="482" t="s">
        <v>786</v>
      </c>
      <c r="B22" s="483" t="s">
        <v>482</v>
      </c>
      <c r="C22" s="484" t="s">
        <v>565</v>
      </c>
      <c r="D22" s="483" t="s">
        <v>566</v>
      </c>
      <c r="E22" s="485" t="s">
        <v>573</v>
      </c>
      <c r="F22" s="485" t="s">
        <v>1643</v>
      </c>
    </row>
    <row r="23" spans="1:6" ht="17" thickBot="1">
      <c r="A23" s="486" t="s">
        <v>565</v>
      </c>
      <c r="B23" s="487"/>
      <c r="C23" s="488" t="s">
        <v>1644</v>
      </c>
      <c r="D23" s="487" t="s">
        <v>1645</v>
      </c>
      <c r="E23" s="489" t="s">
        <v>1646</v>
      </c>
      <c r="F23" s="490" t="s">
        <v>1647</v>
      </c>
    </row>
    <row r="24" spans="1:6" ht="17" thickBot="1">
      <c r="A24" s="491" t="s">
        <v>566</v>
      </c>
      <c r="B24" s="487"/>
      <c r="C24" s="488"/>
      <c r="D24" s="487" t="s">
        <v>1648</v>
      </c>
      <c r="E24" s="492" t="s">
        <v>1649</v>
      </c>
      <c r="F24" s="490" t="s">
        <v>1650</v>
      </c>
    </row>
    <row r="25" spans="1:6" ht="17" thickBot="1">
      <c r="A25" s="482" t="s">
        <v>51</v>
      </c>
      <c r="B25" s="487" t="s">
        <v>1651</v>
      </c>
      <c r="C25" s="488" t="s">
        <v>1644</v>
      </c>
      <c r="D25" s="487" t="s">
        <v>1652</v>
      </c>
      <c r="E25" s="493" t="s">
        <v>1649</v>
      </c>
      <c r="F25" s="490" t="s">
        <v>1653</v>
      </c>
    </row>
    <row r="28" spans="1:6" ht="16">
      <c r="A28" s="494" t="s">
        <v>1654</v>
      </c>
      <c r="C28" s="215" t="s">
        <v>1627</v>
      </c>
    </row>
  </sheetData>
  <mergeCells count="1">
    <mergeCell ref="A19:F19"/>
  </mergeCell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31F33-7FFC-464E-AB84-43B00B83AAB4}">
  <sheetPr>
    <pageSetUpPr fitToPage="1"/>
  </sheetPr>
  <dimension ref="A1:N120"/>
  <sheetViews>
    <sheetView topLeftCell="A38" workbookViewId="0">
      <selection activeCell="B25" sqref="B25"/>
    </sheetView>
  </sheetViews>
  <sheetFormatPr baseColWidth="10" defaultColWidth="9.1640625" defaultRowHeight="15"/>
  <cols>
    <col min="1" max="1" width="4" style="215" customWidth="1"/>
    <col min="2" max="2" width="51.5" style="215" bestFit="1" customWidth="1"/>
    <col min="3" max="4" width="11.1640625" style="215" customWidth="1"/>
    <col min="5" max="5" width="12.5" style="215" bestFit="1" customWidth="1"/>
    <col min="6" max="7" width="11.1640625" style="215" customWidth="1"/>
    <col min="8" max="8" width="22.33203125" style="215" customWidth="1"/>
    <col min="9" max="9" width="11.1640625" style="215" customWidth="1"/>
    <col min="10" max="10" width="19.1640625" style="215" customWidth="1"/>
    <col min="11" max="11" width="20" style="334" customWidth="1"/>
    <col min="12" max="12" width="18.1640625" style="334" bestFit="1" customWidth="1"/>
    <col min="13" max="13" width="9.1640625" style="215"/>
    <col min="14" max="14" width="18.5" style="215" bestFit="1" customWidth="1"/>
    <col min="15" max="16384" width="9.1640625" style="215"/>
  </cols>
  <sheetData>
    <row r="1" spans="1:10">
      <c r="A1" s="396"/>
      <c r="B1" s="396"/>
      <c r="C1" s="396"/>
      <c r="D1" s="396"/>
      <c r="E1" s="396"/>
      <c r="F1" s="396"/>
      <c r="G1" s="396"/>
      <c r="H1" s="396"/>
      <c r="I1" s="396"/>
      <c r="J1" s="396"/>
    </row>
    <row r="2" spans="1:10" ht="19">
      <c r="A2" s="1155" t="s">
        <v>316</v>
      </c>
      <c r="B2" s="1156"/>
      <c r="C2" s="1156"/>
      <c r="D2" s="1156"/>
      <c r="E2" s="1156"/>
      <c r="F2" s="1156"/>
      <c r="G2" s="1156"/>
      <c r="H2" s="1156"/>
      <c r="I2" s="1156"/>
      <c r="J2" s="1157"/>
    </row>
    <row r="3" spans="1:10">
      <c r="A3" s="396"/>
      <c r="B3" s="396"/>
      <c r="C3" s="396"/>
      <c r="D3" s="396"/>
      <c r="E3" s="396"/>
      <c r="F3" s="396"/>
      <c r="G3" s="396"/>
      <c r="H3" s="396"/>
      <c r="I3" s="396"/>
      <c r="J3" s="396"/>
    </row>
    <row r="4" spans="1:10">
      <c r="A4" s="396" t="s">
        <v>262</v>
      </c>
      <c r="B4" s="397" t="s">
        <v>263</v>
      </c>
      <c r="C4" s="398"/>
      <c r="D4" s="398"/>
      <c r="E4" s="398"/>
      <c r="F4" s="398"/>
      <c r="G4" s="398"/>
      <c r="H4" s="398"/>
      <c r="I4" s="398"/>
      <c r="J4" s="398"/>
    </row>
    <row r="5" spans="1:10">
      <c r="A5" s="396"/>
      <c r="B5" s="396"/>
      <c r="C5" s="396"/>
      <c r="D5" s="396"/>
      <c r="E5" s="396"/>
      <c r="F5" s="399" t="s">
        <v>341</v>
      </c>
      <c r="G5" s="399" t="s">
        <v>342</v>
      </c>
      <c r="H5" s="396"/>
      <c r="I5" s="396"/>
      <c r="J5" s="396"/>
    </row>
    <row r="6" spans="1:10">
      <c r="A6" s="396">
        <v>0</v>
      </c>
      <c r="B6" s="396" t="s">
        <v>264</v>
      </c>
      <c r="C6" s="396"/>
      <c r="D6" s="396"/>
      <c r="E6" s="400">
        <v>174000</v>
      </c>
      <c r="F6" s="401">
        <v>44607</v>
      </c>
      <c r="G6" s="401">
        <v>45702</v>
      </c>
      <c r="H6" s="396"/>
      <c r="I6" s="396"/>
      <c r="J6" s="396"/>
    </row>
    <row r="7" spans="1:10">
      <c r="A7" s="396"/>
      <c r="B7" s="396" t="s">
        <v>265</v>
      </c>
      <c r="C7" s="396"/>
      <c r="D7" s="396"/>
      <c r="E7" s="402">
        <v>0</v>
      </c>
      <c r="F7" s="396"/>
      <c r="G7" s="396"/>
      <c r="H7" s="396"/>
      <c r="I7" s="396"/>
      <c r="J7" s="396"/>
    </row>
    <row r="8" spans="1:10">
      <c r="A8" s="396"/>
      <c r="B8" s="396" t="s">
        <v>266</v>
      </c>
      <c r="C8" s="396"/>
      <c r="D8" s="396"/>
      <c r="E8" s="403">
        <v>0</v>
      </c>
      <c r="F8" s="396"/>
      <c r="G8" s="396"/>
      <c r="H8" s="396"/>
      <c r="I8" s="396"/>
      <c r="J8" s="396"/>
    </row>
    <row r="9" spans="1:10">
      <c r="A9" s="396"/>
      <c r="B9" s="396" t="s">
        <v>267</v>
      </c>
      <c r="C9" s="396"/>
      <c r="D9" s="396"/>
      <c r="E9" s="396">
        <v>3</v>
      </c>
      <c r="F9" s="396"/>
      <c r="G9" s="396"/>
      <c r="H9" s="396"/>
      <c r="I9" s="396"/>
      <c r="J9" s="396"/>
    </row>
    <row r="10" spans="1:10">
      <c r="A10" s="396"/>
      <c r="B10" s="396" t="s">
        <v>268</v>
      </c>
      <c r="C10" s="396"/>
      <c r="D10" s="396"/>
      <c r="E10" s="404">
        <v>0.1</v>
      </c>
      <c r="F10" s="396"/>
      <c r="G10" s="396"/>
      <c r="H10" s="396"/>
      <c r="I10" s="396"/>
      <c r="J10" s="396"/>
    </row>
    <row r="11" spans="1:10">
      <c r="A11" s="396"/>
      <c r="B11" s="396" t="s">
        <v>513</v>
      </c>
      <c r="C11" s="396"/>
      <c r="D11" s="396"/>
      <c r="E11" s="405">
        <f>ROUND(PV(E10,(G6-F6-1)/365,,E6,0),0)</f>
        <v>-130763</v>
      </c>
      <c r="F11" s="396"/>
      <c r="G11" s="396"/>
      <c r="H11" s="396"/>
      <c r="I11" s="396"/>
      <c r="J11" s="396"/>
    </row>
    <row r="12" spans="1:10" hidden="1">
      <c r="A12" s="396" t="s">
        <v>269</v>
      </c>
      <c r="B12" s="397" t="s">
        <v>270</v>
      </c>
      <c r="C12" s="398"/>
      <c r="D12" s="398"/>
      <c r="E12" s="398"/>
      <c r="F12" s="398"/>
      <c r="G12" s="398"/>
      <c r="H12" s="398"/>
      <c r="I12" s="398"/>
      <c r="J12" s="398"/>
    </row>
    <row r="13" spans="1:10" hidden="1">
      <c r="A13" s="396"/>
      <c r="B13" s="396"/>
      <c r="C13" s="396"/>
      <c r="D13" s="396"/>
      <c r="E13" s="396"/>
      <c r="F13" s="396"/>
      <c r="G13" s="396"/>
      <c r="H13" s="396"/>
      <c r="I13" s="396"/>
      <c r="J13" s="396"/>
    </row>
    <row r="14" spans="1:10" hidden="1">
      <c r="A14" s="396"/>
      <c r="B14" s="396"/>
      <c r="C14" s="396"/>
      <c r="D14" s="396"/>
      <c r="E14" s="399" t="s">
        <v>271</v>
      </c>
      <c r="F14" s="399" t="s">
        <v>272</v>
      </c>
      <c r="G14" s="399" t="s">
        <v>273</v>
      </c>
      <c r="H14" s="399" t="s">
        <v>317</v>
      </c>
      <c r="I14" s="399" t="s">
        <v>318</v>
      </c>
      <c r="J14" s="399"/>
    </row>
    <row r="15" spans="1:10" hidden="1">
      <c r="A15" s="396"/>
      <c r="B15" s="396"/>
      <c r="C15" s="396"/>
      <c r="D15" s="396"/>
      <c r="E15" s="396"/>
      <c r="F15" s="396"/>
      <c r="G15" s="396"/>
      <c r="H15" s="396"/>
      <c r="I15" s="396"/>
      <c r="J15" s="396"/>
    </row>
    <row r="16" spans="1:10" hidden="1">
      <c r="A16" s="396"/>
      <c r="B16" s="396" t="s">
        <v>274</v>
      </c>
      <c r="C16" s="396"/>
      <c r="D16" s="396"/>
      <c r="E16" s="406">
        <v>0</v>
      </c>
      <c r="F16" s="406">
        <v>0</v>
      </c>
      <c r="G16" s="406">
        <v>0</v>
      </c>
      <c r="H16" s="406">
        <v>0</v>
      </c>
      <c r="I16" s="406">
        <v>275000</v>
      </c>
      <c r="J16" s="406">
        <f>E6</f>
        <v>174000</v>
      </c>
    </row>
    <row r="17" spans="1:12" hidden="1">
      <c r="A17" s="396"/>
      <c r="B17" s="396" t="s">
        <v>275</v>
      </c>
      <c r="C17" s="396"/>
      <c r="D17" s="396"/>
      <c r="E17" s="406">
        <v>0</v>
      </c>
      <c r="F17" s="406">
        <v>0</v>
      </c>
      <c r="G17" s="406">
        <v>0</v>
      </c>
      <c r="H17" s="406">
        <v>0</v>
      </c>
      <c r="I17" s="406"/>
      <c r="J17" s="407"/>
    </row>
    <row r="18" spans="1:12" hidden="1">
      <c r="A18" s="396"/>
      <c r="B18" s="396"/>
      <c r="C18" s="396"/>
      <c r="D18" s="396"/>
      <c r="E18" s="408">
        <f t="shared" ref="E18:J18" si="0">E16+E17</f>
        <v>0</v>
      </c>
      <c r="F18" s="408">
        <f t="shared" si="0"/>
        <v>0</v>
      </c>
      <c r="G18" s="408">
        <f t="shared" si="0"/>
        <v>0</v>
      </c>
      <c r="H18" s="408">
        <f t="shared" si="0"/>
        <v>0</v>
      </c>
      <c r="I18" s="408">
        <f t="shared" si="0"/>
        <v>275000</v>
      </c>
      <c r="J18" s="408">
        <f t="shared" si="0"/>
        <v>174000</v>
      </c>
    </row>
    <row r="19" spans="1:12" hidden="1">
      <c r="A19" s="396"/>
      <c r="B19" s="396"/>
      <c r="C19" s="396"/>
      <c r="D19" s="396"/>
      <c r="E19" s="406"/>
      <c r="F19" s="406"/>
      <c r="G19" s="406"/>
      <c r="H19" s="406"/>
      <c r="I19" s="406"/>
      <c r="J19" s="406"/>
    </row>
    <row r="20" spans="1:12" hidden="1">
      <c r="A20" s="396"/>
      <c r="B20" s="396" t="s">
        <v>276</v>
      </c>
      <c r="C20" s="396"/>
      <c r="D20" s="396"/>
      <c r="E20" s="404">
        <f>E10</f>
        <v>0.1</v>
      </c>
      <c r="F20" s="403"/>
      <c r="G20" s="396" t="s">
        <v>277</v>
      </c>
      <c r="H20" s="396"/>
      <c r="I20" s="396"/>
      <c r="J20" s="396"/>
    </row>
    <row r="21" spans="1:12" hidden="1">
      <c r="A21" s="396"/>
      <c r="B21" s="396" t="s">
        <v>278</v>
      </c>
      <c r="C21" s="396"/>
      <c r="D21" s="396"/>
      <c r="E21" s="409">
        <f>NPV(E20,E18:I18)</f>
        <v>170753.36384126759</v>
      </c>
      <c r="F21" s="410"/>
      <c r="G21" s="411"/>
      <c r="H21" s="412"/>
      <c r="I21" s="396"/>
      <c r="J21" s="396"/>
    </row>
    <row r="22" spans="1:12">
      <c r="A22" s="396"/>
      <c r="B22" s="396"/>
      <c r="C22" s="396"/>
      <c r="D22" s="396"/>
      <c r="E22" s="396"/>
      <c r="F22" s="396"/>
      <c r="G22" s="396"/>
      <c r="H22" s="396"/>
      <c r="I22" s="396"/>
      <c r="J22" s="396"/>
    </row>
    <row r="23" spans="1:12">
      <c r="A23" s="396" t="s">
        <v>279</v>
      </c>
      <c r="B23" s="397" t="s">
        <v>280</v>
      </c>
      <c r="C23" s="398"/>
      <c r="D23" s="398"/>
      <c r="E23" s="398"/>
      <c r="F23" s="398"/>
      <c r="G23" s="398"/>
      <c r="H23" s="398"/>
      <c r="I23" s="398"/>
      <c r="J23" s="398"/>
    </row>
    <row r="24" spans="1:12">
      <c r="A24" s="396"/>
      <c r="B24" s="396"/>
      <c r="C24" s="396"/>
      <c r="D24" s="396"/>
      <c r="E24" s="396"/>
      <c r="F24" s="396"/>
      <c r="G24" s="396"/>
      <c r="H24" s="396"/>
      <c r="I24" s="396"/>
      <c r="J24" s="396"/>
    </row>
    <row r="25" spans="1:12">
      <c r="A25" s="396"/>
      <c r="B25" s="64" t="s">
        <v>281</v>
      </c>
      <c r="C25" s="398"/>
      <c r="D25" s="398"/>
      <c r="E25" s="398"/>
      <c r="F25" s="398"/>
      <c r="G25" s="398"/>
      <c r="H25" s="398"/>
      <c r="I25" s="398"/>
      <c r="J25" s="398"/>
    </row>
    <row r="26" spans="1:12">
      <c r="A26" s="396"/>
      <c r="B26" s="396"/>
      <c r="C26" s="396"/>
      <c r="D26" s="396"/>
      <c r="E26" s="396"/>
      <c r="F26" s="396"/>
      <c r="G26" s="396"/>
      <c r="H26" s="396"/>
      <c r="I26" s="396"/>
      <c r="J26" s="396"/>
    </row>
    <row r="27" spans="1:12">
      <c r="A27" s="396"/>
      <c r="B27" s="413" t="s">
        <v>1287</v>
      </c>
      <c r="C27" s="413"/>
      <c r="D27" s="413"/>
      <c r="E27" s="414"/>
      <c r="F27" s="415"/>
      <c r="G27" s="396"/>
      <c r="H27" s="396"/>
      <c r="I27" s="396"/>
      <c r="J27" s="415"/>
    </row>
    <row r="28" spans="1:12">
      <c r="A28" s="396"/>
      <c r="B28" s="413"/>
      <c r="C28" s="413"/>
      <c r="D28" s="413"/>
      <c r="E28" s="414"/>
      <c r="F28" s="415"/>
      <c r="G28" s="396"/>
      <c r="H28" s="396"/>
      <c r="I28" s="396"/>
      <c r="J28" s="415"/>
      <c r="K28" s="334" t="s">
        <v>377</v>
      </c>
      <c r="L28" s="334" t="s">
        <v>378</v>
      </c>
    </row>
    <row r="29" spans="1:12">
      <c r="A29" s="396"/>
      <c r="B29" s="416" t="s">
        <v>138</v>
      </c>
      <c r="C29" s="417"/>
      <c r="D29" s="417"/>
      <c r="E29" s="417"/>
      <c r="F29" s="417"/>
      <c r="G29" s="417" t="s">
        <v>282</v>
      </c>
      <c r="H29" s="418">
        <f>-E11</f>
        <v>130763</v>
      </c>
      <c r="I29" s="419"/>
      <c r="J29" s="420"/>
      <c r="K29" s="334">
        <f>+H29</f>
        <v>130763</v>
      </c>
    </row>
    <row r="30" spans="1:12">
      <c r="A30" s="396"/>
      <c r="B30" s="421" t="s">
        <v>283</v>
      </c>
      <c r="C30" s="396"/>
      <c r="D30" s="396"/>
      <c r="E30" s="396"/>
      <c r="F30" s="396"/>
      <c r="G30" s="396" t="s">
        <v>282</v>
      </c>
      <c r="H30" s="422">
        <f>J31-H29</f>
        <v>43237</v>
      </c>
      <c r="I30" s="423"/>
      <c r="J30" s="424"/>
      <c r="L30" s="334">
        <f>+H30</f>
        <v>43237</v>
      </c>
    </row>
    <row r="31" spans="1:12">
      <c r="A31" s="396"/>
      <c r="B31" s="421"/>
      <c r="C31" s="396" t="s">
        <v>284</v>
      </c>
      <c r="D31" s="396"/>
      <c r="E31" s="396"/>
      <c r="F31" s="396"/>
      <c r="G31" s="396" t="s">
        <v>285</v>
      </c>
      <c r="H31" s="423"/>
      <c r="I31" s="423"/>
      <c r="J31" s="425">
        <f>E6</f>
        <v>174000</v>
      </c>
    </row>
    <row r="32" spans="1:12">
      <c r="A32" s="396"/>
      <c r="B32" s="426" t="s">
        <v>286</v>
      </c>
      <c r="C32" s="398"/>
      <c r="D32" s="398"/>
      <c r="E32" s="398"/>
      <c r="F32" s="398"/>
      <c r="G32" s="398"/>
      <c r="H32" s="427"/>
      <c r="I32" s="427"/>
      <c r="J32" s="428"/>
    </row>
    <row r="33" spans="1:12">
      <c r="A33" s="396"/>
      <c r="B33" s="396"/>
      <c r="C33" s="396"/>
      <c r="D33" s="396"/>
      <c r="E33" s="396"/>
      <c r="F33" s="396"/>
      <c r="G33" s="396"/>
      <c r="H33" s="410"/>
      <c r="I33" s="410"/>
      <c r="J33" s="410"/>
    </row>
    <row r="34" spans="1:12">
      <c r="A34" s="396"/>
      <c r="B34" s="413" t="s">
        <v>1710</v>
      </c>
      <c r="C34" s="396"/>
      <c r="D34" s="396"/>
      <c r="E34" s="396"/>
      <c r="F34" s="396"/>
      <c r="G34" s="396"/>
      <c r="H34" s="410"/>
      <c r="I34" s="410"/>
      <c r="J34" s="410"/>
    </row>
    <row r="35" spans="1:12">
      <c r="A35" s="396"/>
      <c r="B35" s="413"/>
      <c r="C35" s="396"/>
      <c r="D35" s="396"/>
      <c r="E35" s="396"/>
      <c r="F35" s="396"/>
      <c r="G35" s="396"/>
      <c r="H35" s="410"/>
      <c r="I35" s="410"/>
      <c r="J35" s="410"/>
    </row>
    <row r="36" spans="1:12">
      <c r="A36" s="396"/>
      <c r="B36" s="416" t="s">
        <v>138</v>
      </c>
      <c r="C36" s="417"/>
      <c r="D36" s="417"/>
      <c r="E36" s="417"/>
      <c r="F36" s="417"/>
      <c r="G36" s="417" t="s">
        <v>282</v>
      </c>
      <c r="H36" s="429">
        <f>J37</f>
        <v>1576.3210958904112</v>
      </c>
      <c r="I36" s="419"/>
      <c r="J36" s="420"/>
      <c r="K36" s="334">
        <f>+H36+H29</f>
        <v>132339.32109589042</v>
      </c>
    </row>
    <row r="37" spans="1:12">
      <c r="A37" s="396"/>
      <c r="B37" s="421"/>
      <c r="C37" s="396" t="s">
        <v>287</v>
      </c>
      <c r="D37" s="396"/>
      <c r="E37" s="396"/>
      <c r="F37" s="396"/>
      <c r="G37" s="396" t="s">
        <v>285</v>
      </c>
      <c r="H37" s="423"/>
      <c r="I37" s="423"/>
      <c r="J37" s="425">
        <f>-E11*E10*(E40-D40)/365</f>
        <v>1576.3210958904112</v>
      </c>
    </row>
    <row r="38" spans="1:12">
      <c r="A38" s="396"/>
      <c r="B38" s="430" t="s">
        <v>288</v>
      </c>
      <c r="C38" s="398"/>
      <c r="D38" s="398"/>
      <c r="E38" s="398"/>
      <c r="F38" s="398"/>
      <c r="G38" s="398"/>
      <c r="H38" s="427"/>
      <c r="I38" s="427"/>
      <c r="J38" s="428"/>
    </row>
    <row r="39" spans="1:12">
      <c r="A39" s="396"/>
      <c r="B39" s="396"/>
      <c r="C39" s="396"/>
      <c r="D39" s="396"/>
      <c r="E39" s="396"/>
      <c r="F39" s="396"/>
      <c r="G39" s="396"/>
      <c r="H39" s="410"/>
      <c r="I39" s="410"/>
      <c r="J39" s="410"/>
    </row>
    <row r="40" spans="1:12">
      <c r="A40" s="396"/>
      <c r="B40" s="416" t="s">
        <v>289</v>
      </c>
      <c r="C40" s="417"/>
      <c r="D40" s="431">
        <f>+F6</f>
        <v>44607</v>
      </c>
      <c r="E40" s="431">
        <v>44651</v>
      </c>
      <c r="F40" s="417"/>
      <c r="G40" s="417" t="s">
        <v>282</v>
      </c>
      <c r="H40" s="432">
        <f>$H$30/($G$6-$F$6)*(E40-D40)</f>
        <v>1737.3771689497717</v>
      </c>
      <c r="I40" s="419"/>
      <c r="J40" s="420"/>
      <c r="L40" s="334">
        <f>+L30-H40</f>
        <v>41499.622831050227</v>
      </c>
    </row>
    <row r="41" spans="1:12">
      <c r="A41" s="396"/>
      <c r="B41" s="421"/>
      <c r="C41" s="396" t="s">
        <v>290</v>
      </c>
      <c r="D41" s="396"/>
      <c r="E41" s="396"/>
      <c r="F41" s="396"/>
      <c r="G41" s="396" t="s">
        <v>285</v>
      </c>
      <c r="H41" s="422"/>
      <c r="I41" s="423"/>
      <c r="J41" s="425">
        <f>H40</f>
        <v>1737.3771689497717</v>
      </c>
    </row>
    <row r="42" spans="1:12">
      <c r="A42" s="396"/>
      <c r="B42" s="430" t="s">
        <v>291</v>
      </c>
      <c r="C42" s="398"/>
      <c r="D42" s="398"/>
      <c r="E42" s="398"/>
      <c r="F42" s="398"/>
      <c r="G42" s="398"/>
      <c r="H42" s="427"/>
      <c r="I42" s="427"/>
      <c r="J42" s="428"/>
    </row>
    <row r="43" spans="1:12">
      <c r="A43" s="396"/>
      <c r="B43" s="396"/>
      <c r="C43" s="396"/>
      <c r="D43" s="396"/>
      <c r="E43" s="396"/>
      <c r="F43" s="396"/>
      <c r="G43" s="396"/>
      <c r="H43" s="396"/>
      <c r="I43" s="396"/>
      <c r="J43" s="396"/>
    </row>
    <row r="44" spans="1:12">
      <c r="A44" s="396"/>
      <c r="B44" s="413" t="s">
        <v>1281</v>
      </c>
      <c r="C44" s="396"/>
      <c r="D44" s="396"/>
      <c r="E44" s="396"/>
      <c r="F44" s="396"/>
      <c r="G44" s="396"/>
      <c r="H44" s="396"/>
      <c r="I44" s="396"/>
      <c r="J44" s="396"/>
    </row>
    <row r="45" spans="1:12">
      <c r="A45" s="396"/>
      <c r="B45" s="413"/>
      <c r="C45" s="396"/>
      <c r="D45" s="396"/>
      <c r="E45" s="396"/>
      <c r="F45" s="396"/>
      <c r="G45" s="396"/>
      <c r="H45" s="396"/>
      <c r="I45" s="396"/>
      <c r="J45" s="396"/>
    </row>
    <row r="46" spans="1:12">
      <c r="A46" s="396"/>
      <c r="B46" s="416" t="s">
        <v>138</v>
      </c>
      <c r="C46" s="417"/>
      <c r="D46" s="417"/>
      <c r="E46" s="417"/>
      <c r="F46" s="417"/>
      <c r="G46" s="417" t="s">
        <v>282</v>
      </c>
      <c r="H46" s="429">
        <f>ROUND((H29+H36)*E10,0)</f>
        <v>13234</v>
      </c>
      <c r="I46" s="419"/>
      <c r="J46" s="420"/>
      <c r="K46" s="334">
        <f>+K36+H46</f>
        <v>145573.32109589042</v>
      </c>
    </row>
    <row r="47" spans="1:12">
      <c r="A47" s="396"/>
      <c r="B47" s="421"/>
      <c r="C47" s="396" t="s">
        <v>287</v>
      </c>
      <c r="D47" s="396"/>
      <c r="E47" s="396"/>
      <c r="F47" s="396"/>
      <c r="G47" s="396" t="s">
        <v>285</v>
      </c>
      <c r="H47" s="422"/>
      <c r="I47" s="423"/>
      <c r="J47" s="425">
        <f>+H46</f>
        <v>13234</v>
      </c>
    </row>
    <row r="48" spans="1:12">
      <c r="A48" s="396"/>
      <c r="B48" s="430" t="s">
        <v>288</v>
      </c>
      <c r="C48" s="398"/>
      <c r="D48" s="398"/>
      <c r="E48" s="398"/>
      <c r="F48" s="398"/>
      <c r="G48" s="398"/>
      <c r="H48" s="427"/>
      <c r="I48" s="427"/>
      <c r="J48" s="428"/>
    </row>
    <row r="49" spans="1:14">
      <c r="A49" s="396"/>
      <c r="B49" s="396"/>
      <c r="C49" s="396"/>
      <c r="D49" s="396"/>
      <c r="E49" s="396"/>
      <c r="F49" s="396"/>
      <c r="G49" s="396"/>
      <c r="H49" s="410"/>
      <c r="I49" s="410"/>
      <c r="J49" s="410"/>
    </row>
    <row r="50" spans="1:14">
      <c r="A50" s="396"/>
      <c r="B50" s="416" t="s">
        <v>292</v>
      </c>
      <c r="C50" s="417"/>
      <c r="D50" s="431">
        <f>+E40</f>
        <v>44651</v>
      </c>
      <c r="E50" s="431">
        <v>45016</v>
      </c>
      <c r="F50" s="417"/>
      <c r="G50" s="417" t="s">
        <v>282</v>
      </c>
      <c r="H50" s="432">
        <f>$H$30/($G$6-$F$6)*(E50-D50)</f>
        <v>14412.333333333334</v>
      </c>
      <c r="I50" s="419"/>
      <c r="J50" s="420"/>
      <c r="L50" s="334">
        <f>+L40-H50</f>
        <v>27087.289497716891</v>
      </c>
    </row>
    <row r="51" spans="1:14">
      <c r="A51" s="396"/>
      <c r="B51" s="421"/>
      <c r="C51" s="396" t="s">
        <v>290</v>
      </c>
      <c r="D51" s="396"/>
      <c r="E51" s="396"/>
      <c r="F51" s="396"/>
      <c r="G51" s="396" t="s">
        <v>285</v>
      </c>
      <c r="H51" s="423"/>
      <c r="I51" s="423"/>
      <c r="J51" s="425">
        <f>H50</f>
        <v>14412.333333333334</v>
      </c>
    </row>
    <row r="52" spans="1:14">
      <c r="A52" s="396"/>
      <c r="B52" s="430" t="s">
        <v>291</v>
      </c>
      <c r="C52" s="398"/>
      <c r="D52" s="398"/>
      <c r="E52" s="398"/>
      <c r="F52" s="398"/>
      <c r="G52" s="398"/>
      <c r="H52" s="427"/>
      <c r="I52" s="427"/>
      <c r="J52" s="433"/>
    </row>
    <row r="53" spans="1:14">
      <c r="A53" s="396"/>
      <c r="B53" s="434"/>
      <c r="C53" s="396"/>
      <c r="D53" s="396"/>
      <c r="E53" s="396"/>
      <c r="F53" s="396"/>
      <c r="G53" s="396"/>
      <c r="H53" s="423"/>
      <c r="I53" s="423"/>
      <c r="J53" s="423"/>
    </row>
    <row r="54" spans="1:14">
      <c r="A54" s="396"/>
      <c r="B54" s="413" t="s">
        <v>1282</v>
      </c>
      <c r="C54" s="396"/>
      <c r="D54" s="396"/>
      <c r="E54" s="396"/>
      <c r="F54" s="396"/>
      <c r="G54" s="396"/>
      <c r="H54" s="423"/>
      <c r="I54" s="423"/>
      <c r="J54" s="423"/>
    </row>
    <row r="55" spans="1:14">
      <c r="A55" s="396"/>
      <c r="B55" s="434"/>
      <c r="C55" s="396"/>
      <c r="D55" s="396"/>
      <c r="E55" s="396"/>
      <c r="F55" s="396"/>
      <c r="G55" s="396"/>
      <c r="H55" s="423"/>
      <c r="I55" s="423"/>
      <c r="J55" s="423"/>
    </row>
    <row r="56" spans="1:14">
      <c r="A56" s="396"/>
      <c r="B56" s="416" t="s">
        <v>138</v>
      </c>
      <c r="C56" s="417"/>
      <c r="D56" s="417"/>
      <c r="E56" s="417"/>
      <c r="F56" s="417"/>
      <c r="G56" s="417" t="s">
        <v>282</v>
      </c>
      <c r="H56" s="429">
        <f>ROUND((H29+H36+H46)*E10,0)</f>
        <v>14557</v>
      </c>
      <c r="I56" s="419"/>
      <c r="J56" s="420"/>
      <c r="K56" s="334">
        <f>+H56+K46</f>
        <v>160130.32109589042</v>
      </c>
      <c r="N56" s="216" t="e">
        <f>+K56+#REF!</f>
        <v>#REF!</v>
      </c>
    </row>
    <row r="57" spans="1:14">
      <c r="A57" s="396"/>
      <c r="B57" s="421"/>
      <c r="C57" s="396" t="s">
        <v>287</v>
      </c>
      <c r="D57" s="396"/>
      <c r="E57" s="396"/>
      <c r="F57" s="396"/>
      <c r="G57" s="396" t="s">
        <v>285</v>
      </c>
      <c r="H57" s="423"/>
      <c r="I57" s="423"/>
      <c r="J57" s="435">
        <f>+H56</f>
        <v>14557</v>
      </c>
    </row>
    <row r="58" spans="1:14">
      <c r="A58" s="396"/>
      <c r="B58" s="430" t="s">
        <v>288</v>
      </c>
      <c r="C58" s="398"/>
      <c r="D58" s="398"/>
      <c r="E58" s="398"/>
      <c r="F58" s="398"/>
      <c r="G58" s="398"/>
      <c r="H58" s="427"/>
      <c r="I58" s="427"/>
      <c r="J58" s="428"/>
    </row>
    <row r="59" spans="1:14">
      <c r="A59" s="396"/>
      <c r="B59" s="434"/>
      <c r="C59" s="396"/>
      <c r="D59" s="396"/>
      <c r="E59" s="396"/>
      <c r="F59" s="396"/>
      <c r="G59" s="396"/>
      <c r="H59" s="423"/>
      <c r="I59" s="423"/>
      <c r="J59" s="423"/>
    </row>
    <row r="60" spans="1:14">
      <c r="A60" s="396"/>
      <c r="B60" s="416" t="s">
        <v>292</v>
      </c>
      <c r="C60" s="417"/>
      <c r="D60" s="431">
        <f>+E50</f>
        <v>45016</v>
      </c>
      <c r="E60" s="431">
        <v>45382</v>
      </c>
      <c r="F60" s="417"/>
      <c r="G60" s="417" t="s">
        <v>282</v>
      </c>
      <c r="H60" s="432">
        <f>$H$30/($G$6-$F$6)*(E60-D60)</f>
        <v>14451.819178082193</v>
      </c>
      <c r="I60" s="419"/>
      <c r="J60" s="420"/>
    </row>
    <row r="61" spans="1:14">
      <c r="A61" s="396"/>
      <c r="B61" s="421"/>
      <c r="C61" s="396" t="s">
        <v>290</v>
      </c>
      <c r="D61" s="396"/>
      <c r="E61" s="396"/>
      <c r="F61" s="396"/>
      <c r="G61" s="396" t="s">
        <v>285</v>
      </c>
      <c r="H61" s="423"/>
      <c r="I61" s="423"/>
      <c r="J61" s="425">
        <f>H60</f>
        <v>14451.819178082193</v>
      </c>
      <c r="L61" s="334">
        <f>+L50-H60</f>
        <v>12635.470319634698</v>
      </c>
      <c r="N61" s="216" t="e">
        <f>+L61+#REF!</f>
        <v>#REF!</v>
      </c>
    </row>
    <row r="62" spans="1:14">
      <c r="A62" s="396"/>
      <c r="B62" s="430" t="s">
        <v>291</v>
      </c>
      <c r="C62" s="398"/>
      <c r="D62" s="398"/>
      <c r="E62" s="398"/>
      <c r="F62" s="398"/>
      <c r="G62" s="398"/>
      <c r="H62" s="427"/>
      <c r="I62" s="427"/>
      <c r="J62" s="428"/>
    </row>
    <row r="63" spans="1:14">
      <c r="A63" s="396"/>
      <c r="B63" s="434"/>
      <c r="C63" s="396"/>
      <c r="D63" s="396"/>
      <c r="E63" s="396"/>
      <c r="F63" s="396"/>
      <c r="G63" s="396"/>
      <c r="H63" s="423"/>
      <c r="I63" s="423"/>
      <c r="J63" s="423"/>
    </row>
    <row r="64" spans="1:14">
      <c r="A64" s="396"/>
      <c r="B64" s="413" t="s">
        <v>1283</v>
      </c>
      <c r="C64" s="396"/>
      <c r="D64" s="396"/>
      <c r="E64" s="396"/>
      <c r="F64" s="396"/>
      <c r="G64" s="396"/>
      <c r="H64" s="423"/>
      <c r="I64" s="423"/>
      <c r="J64" s="423"/>
    </row>
    <row r="65" spans="1:12">
      <c r="A65" s="396"/>
      <c r="B65" s="434"/>
      <c r="C65" s="396"/>
      <c r="D65" s="396"/>
      <c r="E65" s="396"/>
      <c r="F65" s="396"/>
      <c r="G65" s="396"/>
      <c r="H65" s="423"/>
      <c r="I65" s="423"/>
      <c r="J65" s="423"/>
    </row>
    <row r="66" spans="1:12">
      <c r="A66" s="396"/>
      <c r="B66" s="416" t="s">
        <v>138</v>
      </c>
      <c r="C66" s="417"/>
      <c r="D66" s="417"/>
      <c r="E66" s="417"/>
      <c r="F66" s="417"/>
      <c r="G66" s="417" t="s">
        <v>282</v>
      </c>
      <c r="H66" s="429">
        <f>ROUND((H29+H36+H46+H56)*E10,0)-1756</f>
        <v>14257</v>
      </c>
      <c r="I66" s="419"/>
      <c r="J66" s="420"/>
      <c r="K66" s="334">
        <f>+K56+H66</f>
        <v>174387.32109589042</v>
      </c>
    </row>
    <row r="67" spans="1:12">
      <c r="A67" s="396"/>
      <c r="B67" s="421"/>
      <c r="C67" s="396" t="s">
        <v>287</v>
      </c>
      <c r="D67" s="396"/>
      <c r="E67" s="396"/>
      <c r="F67" s="396"/>
      <c r="G67" s="396" t="s">
        <v>285</v>
      </c>
      <c r="H67" s="423"/>
      <c r="I67" s="423"/>
      <c r="J67" s="435">
        <f>+H66</f>
        <v>14257</v>
      </c>
    </row>
    <row r="68" spans="1:12">
      <c r="A68" s="396"/>
      <c r="B68" s="430" t="s">
        <v>288</v>
      </c>
      <c r="C68" s="398"/>
      <c r="D68" s="398"/>
      <c r="E68" s="398"/>
      <c r="F68" s="398"/>
      <c r="G68" s="398"/>
      <c r="H68" s="427"/>
      <c r="I68" s="427"/>
      <c r="J68" s="428"/>
    </row>
    <row r="69" spans="1:12">
      <c r="A69" s="396"/>
      <c r="B69" s="434"/>
      <c r="C69" s="396"/>
      <c r="D69" s="396"/>
      <c r="E69" s="396"/>
      <c r="F69" s="396"/>
      <c r="G69" s="396"/>
      <c r="H69" s="423"/>
      <c r="I69" s="423"/>
      <c r="J69" s="423"/>
    </row>
    <row r="70" spans="1:12">
      <c r="A70" s="396"/>
      <c r="B70" s="416" t="s">
        <v>292</v>
      </c>
      <c r="C70" s="417"/>
      <c r="D70" s="431">
        <f>+E60</f>
        <v>45382</v>
      </c>
      <c r="E70" s="431">
        <f>+G6</f>
        <v>45702</v>
      </c>
      <c r="F70" s="417"/>
      <c r="G70" s="417" t="s">
        <v>282</v>
      </c>
      <c r="H70" s="432">
        <f>+H60-1370</f>
        <v>13081.819178082193</v>
      </c>
      <c r="I70" s="419"/>
      <c r="J70" s="420"/>
      <c r="L70" s="334">
        <f>+L61-H70</f>
        <v>-446.34885844749442</v>
      </c>
    </row>
    <row r="71" spans="1:12">
      <c r="A71" s="396"/>
      <c r="B71" s="421"/>
      <c r="C71" s="396" t="s">
        <v>290</v>
      </c>
      <c r="D71" s="396"/>
      <c r="E71" s="396"/>
      <c r="F71" s="396"/>
      <c r="G71" s="396" t="s">
        <v>285</v>
      </c>
      <c r="H71" s="423"/>
      <c r="I71" s="423"/>
      <c r="J71" s="425">
        <f>H70</f>
        <v>13081.819178082193</v>
      </c>
    </row>
    <row r="72" spans="1:12">
      <c r="A72" s="396"/>
      <c r="B72" s="430" t="s">
        <v>291</v>
      </c>
      <c r="C72" s="398"/>
      <c r="D72" s="398"/>
      <c r="E72" s="398"/>
      <c r="F72" s="398"/>
      <c r="G72" s="398"/>
      <c r="H72" s="427"/>
      <c r="I72" s="427"/>
      <c r="J72" s="428"/>
    </row>
    <row r="73" spans="1:12">
      <c r="A73" s="396"/>
      <c r="B73" s="436" t="s">
        <v>343</v>
      </c>
      <c r="C73" s="396"/>
      <c r="D73" s="396"/>
      <c r="E73" s="396"/>
      <c r="F73" s="396"/>
      <c r="G73" s="396"/>
      <c r="H73" s="396"/>
      <c r="I73" s="396"/>
      <c r="J73" s="396"/>
    </row>
    <row r="74" spans="1:12">
      <c r="A74" s="396"/>
      <c r="B74" s="416" t="s">
        <v>284</v>
      </c>
      <c r="C74" s="417"/>
      <c r="D74" s="417"/>
      <c r="E74" s="417"/>
      <c r="F74" s="417"/>
      <c r="G74" s="417" t="s">
        <v>282</v>
      </c>
      <c r="H74" s="429">
        <f>E6</f>
        <v>174000</v>
      </c>
      <c r="I74" s="419"/>
      <c r="J74" s="420"/>
    </row>
    <row r="75" spans="1:12">
      <c r="A75" s="396"/>
      <c r="B75" s="421"/>
      <c r="C75" s="396" t="s">
        <v>138</v>
      </c>
      <c r="D75" s="396"/>
      <c r="E75" s="396"/>
      <c r="F75" s="396"/>
      <c r="G75" s="396" t="s">
        <v>285</v>
      </c>
      <c r="H75" s="423"/>
      <c r="I75" s="423"/>
      <c r="J75" s="425">
        <f>H74</f>
        <v>174000</v>
      </c>
    </row>
    <row r="76" spans="1:12">
      <c r="A76" s="396"/>
      <c r="B76" s="430" t="s">
        <v>293</v>
      </c>
      <c r="C76" s="398"/>
      <c r="D76" s="398"/>
      <c r="E76" s="398"/>
      <c r="F76" s="398"/>
      <c r="G76" s="398"/>
      <c r="H76" s="427"/>
      <c r="I76" s="427"/>
      <c r="J76" s="428"/>
    </row>
    <row r="77" spans="1:12">
      <c r="A77" s="396"/>
      <c r="B77" s="396"/>
      <c r="C77" s="396"/>
      <c r="D77" s="396"/>
      <c r="E77" s="396"/>
      <c r="F77" s="396"/>
      <c r="G77" s="396"/>
      <c r="H77" s="396"/>
      <c r="I77" s="396"/>
      <c r="J77" s="396"/>
    </row>
    <row r="78" spans="1:12">
      <c r="A78" s="396"/>
      <c r="B78" s="396"/>
      <c r="C78" s="396"/>
      <c r="D78" s="396"/>
      <c r="E78" s="396"/>
      <c r="F78" s="396"/>
      <c r="G78" s="396"/>
      <c r="H78" s="396"/>
      <c r="I78" s="396"/>
      <c r="J78" s="396"/>
    </row>
    <row r="79" spans="1:12">
      <c r="A79" s="396"/>
      <c r="B79" s="64" t="s">
        <v>294</v>
      </c>
      <c r="C79" s="398"/>
      <c r="D79" s="398"/>
      <c r="E79" s="398"/>
      <c r="F79" s="398"/>
      <c r="G79" s="398"/>
      <c r="H79" s="398"/>
      <c r="I79" s="398"/>
      <c r="J79" s="398"/>
      <c r="K79" s="437"/>
    </row>
    <row r="80" spans="1:12">
      <c r="A80" s="396"/>
      <c r="B80" s="396"/>
      <c r="C80" s="396"/>
      <c r="D80" s="396"/>
      <c r="E80" s="396"/>
      <c r="F80" s="396"/>
      <c r="G80" s="396"/>
      <c r="H80" s="396"/>
      <c r="I80" s="396"/>
      <c r="J80" s="396"/>
    </row>
    <row r="81" spans="1:14">
      <c r="A81" s="396"/>
      <c r="B81" s="436" t="s">
        <v>295</v>
      </c>
      <c r="C81" s="396"/>
      <c r="D81" s="396"/>
      <c r="E81" s="396"/>
      <c r="F81" s="396"/>
      <c r="G81" s="436" t="s">
        <v>296</v>
      </c>
      <c r="H81" s="438"/>
      <c r="I81" s="396"/>
      <c r="J81" s="396"/>
    </row>
    <row r="82" spans="1:14">
      <c r="A82" s="396">
        <v>22</v>
      </c>
      <c r="B82" s="417" t="s">
        <v>297</v>
      </c>
      <c r="C82" s="439">
        <f>H29</f>
        <v>130763</v>
      </c>
      <c r="D82" s="416"/>
      <c r="E82" s="440"/>
      <c r="F82" s="396">
        <v>22</v>
      </c>
      <c r="G82" s="417" t="s">
        <v>297</v>
      </c>
      <c r="H82" s="439">
        <f>H30</f>
        <v>43237</v>
      </c>
      <c r="I82" s="417"/>
      <c r="J82" s="416" t="s">
        <v>298</v>
      </c>
      <c r="K82" s="441">
        <f>J41</f>
        <v>1737.3771689497717</v>
      </c>
      <c r="L82" s="334">
        <v>110899</v>
      </c>
      <c r="M82" s="215">
        <v>62760</v>
      </c>
      <c r="N82" s="216">
        <f>+L82+M82</f>
        <v>173659</v>
      </c>
    </row>
    <row r="83" spans="1:14">
      <c r="A83" s="396"/>
      <c r="B83" s="396" t="s">
        <v>299</v>
      </c>
      <c r="C83" s="442">
        <f>H36</f>
        <v>1576.3210958904112</v>
      </c>
      <c r="D83" s="421" t="s">
        <v>300</v>
      </c>
      <c r="E83" s="442">
        <f>C84-E82</f>
        <v>132339.32109589042</v>
      </c>
      <c r="F83" s="396"/>
      <c r="G83" s="396"/>
      <c r="H83" s="442"/>
      <c r="I83" s="396"/>
      <c r="J83" s="421" t="s">
        <v>300</v>
      </c>
      <c r="K83" s="443">
        <f>H84-K82</f>
        <v>41499.622831050227</v>
      </c>
      <c r="L83" s="334">
        <f>+E83-L82</f>
        <v>21440.321095890424</v>
      </c>
      <c r="M83" s="216">
        <f>+K83-M82</f>
        <v>-21260.377168949773</v>
      </c>
      <c r="N83" s="332">
        <f>+E83+K83</f>
        <v>173838.94392694064</v>
      </c>
    </row>
    <row r="84" spans="1:14">
      <c r="A84" s="396"/>
      <c r="B84" s="396"/>
      <c r="C84" s="444">
        <f>SUM(C82:C83)</f>
        <v>132339.32109589042</v>
      </c>
      <c r="D84" s="421"/>
      <c r="E84" s="444">
        <f>SUM(E82:E83)</f>
        <v>132339.32109589042</v>
      </c>
      <c r="F84" s="396"/>
      <c r="G84" s="396"/>
      <c r="H84" s="444">
        <f>SUM(H82:H83)</f>
        <v>43237</v>
      </c>
      <c r="I84" s="396"/>
      <c r="J84" s="421"/>
      <c r="K84" s="445">
        <f>SUM(K82:K83)</f>
        <v>43237</v>
      </c>
      <c r="N84" s="332">
        <f>+N82-N83</f>
        <v>-179.943926940643</v>
      </c>
    </row>
    <row r="85" spans="1:14">
      <c r="A85" s="396">
        <v>23</v>
      </c>
      <c r="B85" s="396" t="s">
        <v>301</v>
      </c>
      <c r="C85" s="442">
        <f>E83</f>
        <v>132339.32109589042</v>
      </c>
      <c r="D85" s="421" t="s">
        <v>302</v>
      </c>
      <c r="E85" s="442"/>
      <c r="F85" s="396">
        <v>23</v>
      </c>
      <c r="G85" s="396" t="s">
        <v>303</v>
      </c>
      <c r="H85" s="442">
        <f>K83</f>
        <v>41499.622831050227</v>
      </c>
      <c r="I85" s="396"/>
      <c r="J85" s="421" t="s">
        <v>304</v>
      </c>
      <c r="K85" s="443">
        <f>C96</f>
        <v>14412.333333333334</v>
      </c>
      <c r="L85" s="334">
        <f>+L83+M83</f>
        <v>179.94392694065027</v>
      </c>
      <c r="N85" s="446"/>
    </row>
    <row r="86" spans="1:14">
      <c r="A86" s="396"/>
      <c r="B86" s="396" t="s">
        <v>305</v>
      </c>
      <c r="C86" s="442">
        <f>H46</f>
        <v>13234</v>
      </c>
      <c r="D86" s="421" t="s">
        <v>300</v>
      </c>
      <c r="E86" s="442">
        <f>C87-E85</f>
        <v>145573.32109589042</v>
      </c>
      <c r="F86" s="396"/>
      <c r="G86" s="396"/>
      <c r="H86" s="442"/>
      <c r="I86" s="396"/>
      <c r="J86" s="421" t="s">
        <v>300</v>
      </c>
      <c r="K86" s="443">
        <f>H87-K85</f>
        <v>27087.289497716891</v>
      </c>
    </row>
    <row r="87" spans="1:14">
      <c r="A87" s="396"/>
      <c r="B87" s="396"/>
      <c r="C87" s="444">
        <f>SUM(C85:C86)</f>
        <v>145573.32109589042</v>
      </c>
      <c r="D87" s="421"/>
      <c r="E87" s="444">
        <f>SUM(E85:E86)</f>
        <v>145573.32109589042</v>
      </c>
      <c r="F87" s="396"/>
      <c r="G87" s="396"/>
      <c r="H87" s="444">
        <f>SUM(H85:H86)</f>
        <v>41499.622831050227</v>
      </c>
      <c r="I87" s="396"/>
      <c r="J87" s="421"/>
      <c r="K87" s="445">
        <f>SUM(K85:K86)</f>
        <v>41499.622831050227</v>
      </c>
    </row>
    <row r="88" spans="1:14">
      <c r="A88" s="396">
        <v>24</v>
      </c>
      <c r="B88" s="396" t="s">
        <v>306</v>
      </c>
      <c r="C88" s="447">
        <f>E86</f>
        <v>145573.32109589042</v>
      </c>
      <c r="D88" s="421"/>
      <c r="E88" s="442"/>
      <c r="F88" s="396">
        <v>24</v>
      </c>
      <c r="G88" s="396" t="s">
        <v>306</v>
      </c>
      <c r="H88" s="447">
        <f>K86</f>
        <v>27087.289497716891</v>
      </c>
      <c r="I88" s="396"/>
      <c r="J88" s="421" t="s">
        <v>307</v>
      </c>
      <c r="K88" s="443">
        <f>C99</f>
        <v>14451.819178082193</v>
      </c>
    </row>
    <row r="89" spans="1:14">
      <c r="A89" s="396"/>
      <c r="B89" s="396" t="s">
        <v>308</v>
      </c>
      <c r="C89" s="442">
        <f>H56</f>
        <v>14557</v>
      </c>
      <c r="D89" s="421" t="s">
        <v>300</v>
      </c>
      <c r="E89" s="442">
        <f>C90-E88</f>
        <v>160130.32109589042</v>
      </c>
      <c r="F89" s="396"/>
      <c r="G89" s="396"/>
      <c r="H89" s="442"/>
      <c r="I89" s="396"/>
      <c r="J89" s="421" t="s">
        <v>300</v>
      </c>
      <c r="K89" s="443">
        <f>H90-K88</f>
        <v>12635.470319634698</v>
      </c>
      <c r="M89" s="448">
        <f>+E89</f>
        <v>160130.32109589042</v>
      </c>
    </row>
    <row r="90" spans="1:14">
      <c r="A90" s="396"/>
      <c r="B90" s="396"/>
      <c r="C90" s="449">
        <f>SUM(C88:C89)</f>
        <v>160130.32109589042</v>
      </c>
      <c r="D90" s="396"/>
      <c r="E90" s="444">
        <f>SUM(E88:E89)</f>
        <v>160130.32109589042</v>
      </c>
      <c r="F90" s="396"/>
      <c r="G90" s="396"/>
      <c r="H90" s="450">
        <f>+H88</f>
        <v>27087.289497716891</v>
      </c>
      <c r="I90" s="396"/>
      <c r="J90" s="396"/>
      <c r="K90" s="445">
        <f>SUM(K88:K89)</f>
        <v>27087.289497716891</v>
      </c>
      <c r="M90" s="216">
        <f>+K89</f>
        <v>12635.470319634698</v>
      </c>
    </row>
    <row r="91" spans="1:14">
      <c r="A91" s="396"/>
      <c r="B91" s="396"/>
      <c r="C91" s="411"/>
      <c r="D91" s="396"/>
      <c r="E91" s="396"/>
      <c r="F91" s="396"/>
      <c r="G91" s="396"/>
      <c r="H91" s="396"/>
      <c r="I91" s="396"/>
      <c r="J91" s="396"/>
      <c r="K91" s="443"/>
      <c r="M91" s="448">
        <f>SUM(M89:M90)</f>
        <v>172765.79141552513</v>
      </c>
    </row>
    <row r="92" spans="1:14">
      <c r="A92" s="396"/>
      <c r="B92" s="436" t="s">
        <v>309</v>
      </c>
      <c r="C92" s="396"/>
      <c r="D92" s="396"/>
      <c r="E92" s="396"/>
      <c r="F92" s="396"/>
      <c r="G92" s="436" t="s">
        <v>287</v>
      </c>
      <c r="H92" s="438"/>
      <c r="I92" s="396"/>
      <c r="J92" s="396"/>
    </row>
    <row r="93" spans="1:14">
      <c r="A93" s="396">
        <v>22</v>
      </c>
      <c r="B93" s="417" t="s">
        <v>310</v>
      </c>
      <c r="C93" s="439">
        <f>H40</f>
        <v>1737.3771689497717</v>
      </c>
      <c r="D93" s="416"/>
      <c r="E93" s="417"/>
      <c r="F93" s="396"/>
      <c r="G93" s="417"/>
      <c r="H93" s="439"/>
      <c r="I93" s="417"/>
      <c r="J93" s="416" t="s">
        <v>311</v>
      </c>
      <c r="K93" s="441">
        <f>J37</f>
        <v>1576.3210958904112</v>
      </c>
    </row>
    <row r="94" spans="1:14" s="334" customFormat="1">
      <c r="A94" s="396"/>
      <c r="B94" s="396"/>
      <c r="C94" s="442"/>
      <c r="D94" s="421" t="s">
        <v>312</v>
      </c>
      <c r="E94" s="442">
        <f>C93</f>
        <v>1737.3771689497717</v>
      </c>
      <c r="F94" s="396">
        <v>22</v>
      </c>
      <c r="G94" s="396" t="s">
        <v>312</v>
      </c>
      <c r="H94" s="442">
        <f>K93</f>
        <v>1576.3210958904112</v>
      </c>
      <c r="I94" s="396"/>
      <c r="J94" s="421"/>
      <c r="M94" s="215"/>
      <c r="N94" s="215"/>
    </row>
    <row r="95" spans="1:14" s="334" customFormat="1">
      <c r="A95" s="396"/>
      <c r="B95" s="396"/>
      <c r="C95" s="450">
        <f>SUM(C93:C94)</f>
        <v>1737.3771689497717</v>
      </c>
      <c r="D95" s="421"/>
      <c r="E95" s="450">
        <f>SUM(E93:E94)</f>
        <v>1737.3771689497717</v>
      </c>
      <c r="F95" s="396"/>
      <c r="G95" s="396"/>
      <c r="H95" s="444">
        <f>SUM(H94)</f>
        <v>1576.3210958904112</v>
      </c>
      <c r="I95" s="396"/>
      <c r="J95" s="421"/>
      <c r="K95" s="445">
        <f>SUM(K93:K94)</f>
        <v>1576.3210958904112</v>
      </c>
      <c r="M95" s="215"/>
      <c r="N95" s="215"/>
    </row>
    <row r="96" spans="1:14" s="334" customFormat="1">
      <c r="A96" s="396">
        <v>23</v>
      </c>
      <c r="B96" s="396" t="s">
        <v>313</v>
      </c>
      <c r="C96" s="442">
        <f>H50</f>
        <v>14412.333333333334</v>
      </c>
      <c r="D96" s="421"/>
      <c r="E96" s="442"/>
      <c r="F96" s="396"/>
      <c r="G96" s="396"/>
      <c r="H96" s="442"/>
      <c r="I96" s="396"/>
      <c r="J96" s="421" t="s">
        <v>314</v>
      </c>
      <c r="K96" s="443">
        <f>J47</f>
        <v>13234</v>
      </c>
      <c r="M96" s="215"/>
      <c r="N96" s="215"/>
    </row>
    <row r="97" spans="1:14" s="334" customFormat="1">
      <c r="A97" s="396"/>
      <c r="B97" s="396"/>
      <c r="C97" s="442"/>
      <c r="D97" s="421" t="s">
        <v>312</v>
      </c>
      <c r="E97" s="442">
        <f>C96</f>
        <v>14412.333333333334</v>
      </c>
      <c r="F97" s="396">
        <v>23</v>
      </c>
      <c r="G97" s="396" t="s">
        <v>312</v>
      </c>
      <c r="H97" s="442">
        <f>K96</f>
        <v>13234</v>
      </c>
      <c r="I97" s="396"/>
      <c r="J97" s="421"/>
      <c r="M97" s="215"/>
      <c r="N97" s="215"/>
    </row>
    <row r="98" spans="1:14" s="334" customFormat="1">
      <c r="A98" s="396"/>
      <c r="B98" s="396"/>
      <c r="C98" s="450">
        <f>SUM(C96:C97)</f>
        <v>14412.333333333334</v>
      </c>
      <c r="D98" s="421"/>
      <c r="E98" s="444">
        <f>SUM(E97)</f>
        <v>14412.333333333334</v>
      </c>
      <c r="F98" s="396"/>
      <c r="G98" s="396"/>
      <c r="H98" s="444">
        <f>SUM(H97)</f>
        <v>13234</v>
      </c>
      <c r="I98" s="396"/>
      <c r="J98" s="421"/>
      <c r="K98" s="445">
        <f>SUM(K96:K97)</f>
        <v>13234</v>
      </c>
      <c r="M98" s="215"/>
      <c r="N98" s="215"/>
    </row>
    <row r="99" spans="1:14" s="334" customFormat="1">
      <c r="A99" s="396">
        <v>24</v>
      </c>
      <c r="B99" s="396" t="s">
        <v>315</v>
      </c>
      <c r="C99" s="451">
        <f>H60</f>
        <v>14451.819178082193</v>
      </c>
      <c r="D99" s="396"/>
      <c r="E99" s="442"/>
      <c r="F99" s="396"/>
      <c r="G99" s="396"/>
      <c r="H99" s="451"/>
      <c r="I99" s="396"/>
      <c r="J99" s="421" t="s">
        <v>379</v>
      </c>
      <c r="K99" s="334">
        <f>J57</f>
        <v>14557</v>
      </c>
      <c r="M99" s="215"/>
      <c r="N99" s="215"/>
    </row>
    <row r="100" spans="1:14" s="334" customFormat="1">
      <c r="A100" s="396"/>
      <c r="B100" s="396"/>
      <c r="C100" s="452"/>
      <c r="D100" s="421" t="s">
        <v>312</v>
      </c>
      <c r="E100" s="442">
        <f>C99</f>
        <v>14451.819178082193</v>
      </c>
      <c r="F100" s="396">
        <v>24</v>
      </c>
      <c r="G100" s="396" t="s">
        <v>312</v>
      </c>
      <c r="H100" s="453">
        <f>K99</f>
        <v>14557</v>
      </c>
      <c r="I100" s="396"/>
      <c r="J100" s="396"/>
      <c r="M100" s="215"/>
      <c r="N100" s="215"/>
    </row>
    <row r="101" spans="1:14" s="334" customFormat="1">
      <c r="A101" s="396"/>
      <c r="B101" s="396"/>
      <c r="C101" s="450">
        <f>SUM(C99:C100)</f>
        <v>14451.819178082193</v>
      </c>
      <c r="D101" s="396"/>
      <c r="E101" s="444">
        <f>SUM(E100)</f>
        <v>14451.819178082193</v>
      </c>
      <c r="F101" s="396"/>
      <c r="G101" s="396"/>
      <c r="H101" s="444">
        <f>SUM(H100)</f>
        <v>14557</v>
      </c>
      <c r="I101" s="396"/>
      <c r="J101" s="396"/>
      <c r="K101" s="445">
        <f>SUM(K99:K100)</f>
        <v>14557</v>
      </c>
      <c r="M101" s="215"/>
      <c r="N101" s="215"/>
    </row>
    <row r="102" spans="1:14" s="334" customFormat="1">
      <c r="A102" s="396"/>
      <c r="B102" s="396"/>
      <c r="C102" s="396"/>
      <c r="D102" s="396"/>
      <c r="E102" s="396"/>
      <c r="F102" s="396"/>
      <c r="G102" s="396"/>
      <c r="H102" s="396"/>
      <c r="I102" s="396"/>
      <c r="J102" s="396"/>
      <c r="M102" s="215"/>
      <c r="N102" s="215"/>
    </row>
    <row r="103" spans="1:14" s="334" customFormat="1">
      <c r="A103" s="396"/>
      <c r="B103" s="396"/>
      <c r="C103" s="396"/>
      <c r="D103" s="396"/>
      <c r="E103" s="396"/>
      <c r="F103" s="396"/>
      <c r="G103" s="396"/>
      <c r="H103" s="396"/>
      <c r="I103" s="396"/>
      <c r="J103" s="396"/>
      <c r="M103" s="215"/>
      <c r="N103" s="215"/>
    </row>
    <row r="104" spans="1:14" s="334" customFormat="1">
      <c r="A104" s="396"/>
      <c r="B104" s="396"/>
      <c r="C104" s="396"/>
      <c r="D104" s="396"/>
      <c r="E104" s="396"/>
      <c r="F104" s="396"/>
      <c r="G104" s="396"/>
      <c r="H104" s="442"/>
      <c r="I104" s="396"/>
      <c r="J104" s="396"/>
      <c r="M104" s="215"/>
      <c r="N104" s="215"/>
    </row>
    <row r="105" spans="1:14" s="334" customFormat="1">
      <c r="A105" s="396"/>
      <c r="B105" s="396"/>
      <c r="C105" s="396"/>
      <c r="D105" s="396"/>
      <c r="E105" s="396"/>
      <c r="F105" s="396"/>
      <c r="G105" s="396"/>
      <c r="H105" s="396"/>
      <c r="I105" s="396"/>
      <c r="J105" s="396"/>
      <c r="M105" s="215"/>
      <c r="N105" s="215"/>
    </row>
    <row r="106" spans="1:14" s="334" customFormat="1">
      <c r="A106" s="396"/>
      <c r="B106" s="396"/>
      <c r="C106" s="396"/>
      <c r="D106" s="396"/>
      <c r="E106" s="396"/>
      <c r="F106" s="396"/>
      <c r="G106" s="396"/>
      <c r="H106" s="442"/>
      <c r="I106" s="396"/>
      <c r="J106" s="396"/>
      <c r="M106" s="215"/>
      <c r="N106" s="215"/>
    </row>
    <row r="107" spans="1:14" s="334" customFormat="1">
      <c r="A107" s="396"/>
      <c r="B107" s="396"/>
      <c r="C107" s="396"/>
      <c r="D107" s="396"/>
      <c r="E107" s="396"/>
      <c r="F107" s="396"/>
      <c r="G107" s="396"/>
      <c r="H107" s="396"/>
      <c r="I107" s="396"/>
      <c r="J107" s="396"/>
      <c r="M107" s="215"/>
      <c r="N107" s="215"/>
    </row>
    <row r="108" spans="1:14" s="334" customFormat="1">
      <c r="A108" s="396"/>
      <c r="B108" s="396"/>
      <c r="C108" s="396"/>
      <c r="D108" s="396"/>
      <c r="E108" s="396"/>
      <c r="F108" s="396"/>
      <c r="G108" s="396"/>
      <c r="H108" s="442"/>
      <c r="I108" s="396"/>
      <c r="J108" s="396"/>
      <c r="M108" s="215"/>
      <c r="N108" s="215"/>
    </row>
    <row r="109" spans="1:14" s="334" customFormat="1">
      <c r="A109" s="396"/>
      <c r="B109" s="396"/>
      <c r="C109" s="396"/>
      <c r="D109" s="396"/>
      <c r="E109" s="396"/>
      <c r="F109" s="396"/>
      <c r="G109" s="396"/>
      <c r="H109" s="396"/>
      <c r="I109" s="396"/>
      <c r="J109" s="396"/>
      <c r="M109" s="215"/>
      <c r="N109" s="215"/>
    </row>
    <row r="110" spans="1:14" s="334" customFormat="1">
      <c r="A110" s="396"/>
      <c r="B110" s="396"/>
      <c r="C110" s="396"/>
      <c r="D110" s="396"/>
      <c r="E110" s="396"/>
      <c r="F110" s="396"/>
      <c r="G110" s="396"/>
      <c r="H110" s="396"/>
      <c r="I110" s="396"/>
      <c r="J110" s="396"/>
      <c r="M110" s="215"/>
      <c r="N110" s="215"/>
    </row>
    <row r="111" spans="1:14" s="334" customFormat="1">
      <c r="A111" s="396"/>
      <c r="B111" s="396"/>
      <c r="C111" s="396"/>
      <c r="D111" s="396"/>
      <c r="E111" s="396"/>
      <c r="F111" s="396"/>
      <c r="G111" s="396"/>
      <c r="H111" s="396"/>
      <c r="I111" s="396"/>
      <c r="J111" s="396"/>
      <c r="M111" s="215"/>
      <c r="N111" s="215"/>
    </row>
    <row r="112" spans="1:14" s="334" customFormat="1">
      <c r="A112" s="396"/>
      <c r="B112" s="396"/>
      <c r="C112" s="396"/>
      <c r="D112" s="396"/>
      <c r="E112" s="396"/>
      <c r="F112" s="396"/>
      <c r="G112" s="396"/>
      <c r="H112" s="396"/>
      <c r="I112" s="396"/>
      <c r="J112" s="396"/>
      <c r="M112" s="215"/>
      <c r="N112" s="215"/>
    </row>
    <row r="113" spans="1:14" s="334" customFormat="1">
      <c r="A113" s="396"/>
      <c r="B113" s="396"/>
      <c r="C113" s="396"/>
      <c r="D113" s="396"/>
      <c r="E113" s="396"/>
      <c r="F113" s="396"/>
      <c r="G113" s="396"/>
      <c r="H113" s="396"/>
      <c r="I113" s="396"/>
      <c r="J113" s="396"/>
      <c r="M113" s="215"/>
      <c r="N113" s="215"/>
    </row>
    <row r="114" spans="1:14" s="334" customFormat="1">
      <c r="A114" s="396"/>
      <c r="B114" s="396"/>
      <c r="C114" s="396"/>
      <c r="D114" s="396"/>
      <c r="E114" s="396"/>
      <c r="F114" s="396"/>
      <c r="G114" s="396"/>
      <c r="H114" s="396"/>
      <c r="I114" s="396"/>
      <c r="J114" s="396"/>
      <c r="M114" s="215"/>
      <c r="N114" s="215"/>
    </row>
    <row r="115" spans="1:14" s="334" customFormat="1">
      <c r="A115" s="396"/>
      <c r="B115" s="396"/>
      <c r="C115" s="396"/>
      <c r="D115" s="396"/>
      <c r="E115" s="396"/>
      <c r="F115" s="396"/>
      <c r="G115" s="396"/>
      <c r="H115" s="396"/>
      <c r="I115" s="396"/>
      <c r="J115" s="396"/>
      <c r="M115" s="215"/>
      <c r="N115" s="215"/>
    </row>
    <row r="116" spans="1:14" s="334" customFormat="1">
      <c r="A116" s="396"/>
      <c r="B116" s="396"/>
      <c r="C116" s="396"/>
      <c r="D116" s="396"/>
      <c r="E116" s="396"/>
      <c r="F116" s="396"/>
      <c r="G116" s="396"/>
      <c r="H116" s="396"/>
      <c r="I116" s="396"/>
      <c r="J116" s="396"/>
      <c r="M116" s="215"/>
      <c r="N116" s="215"/>
    </row>
    <row r="117" spans="1:14" s="334" customFormat="1">
      <c r="A117" s="396"/>
      <c r="B117" s="396"/>
      <c r="C117" s="396"/>
      <c r="D117" s="396"/>
      <c r="E117" s="396"/>
      <c r="F117" s="396"/>
      <c r="G117" s="396"/>
      <c r="H117" s="396"/>
      <c r="I117" s="396"/>
      <c r="J117" s="396"/>
      <c r="M117" s="215"/>
      <c r="N117" s="215"/>
    </row>
    <row r="118" spans="1:14" s="334" customFormat="1">
      <c r="A118" s="396"/>
      <c r="B118" s="396"/>
      <c r="C118" s="396"/>
      <c r="D118" s="396"/>
      <c r="E118" s="396"/>
      <c r="F118" s="396"/>
      <c r="G118" s="396"/>
      <c r="H118" s="396"/>
      <c r="I118" s="396"/>
      <c r="J118" s="396"/>
      <c r="M118" s="215"/>
      <c r="N118" s="215"/>
    </row>
    <row r="119" spans="1:14" s="334" customFormat="1">
      <c r="A119" s="396"/>
      <c r="B119" s="396"/>
      <c r="C119" s="396"/>
      <c r="D119" s="396"/>
      <c r="E119" s="396"/>
      <c r="F119" s="396"/>
      <c r="G119" s="396"/>
      <c r="H119" s="396"/>
      <c r="I119" s="396"/>
      <c r="J119" s="396"/>
      <c r="M119" s="215"/>
      <c r="N119" s="215"/>
    </row>
    <row r="120" spans="1:14" s="334" customFormat="1">
      <c r="A120" s="396"/>
      <c r="B120" s="396"/>
      <c r="C120" s="396"/>
      <c r="D120" s="396"/>
      <c r="E120" s="396"/>
      <c r="F120" s="396"/>
      <c r="G120" s="396"/>
      <c r="H120" s="396"/>
      <c r="I120" s="396"/>
      <c r="J120" s="396"/>
      <c r="M120" s="215"/>
      <c r="N120" s="215"/>
    </row>
  </sheetData>
  <mergeCells count="1">
    <mergeCell ref="A2:J2"/>
  </mergeCells>
  <printOptions horizontalCentered="1" verticalCentered="1"/>
  <pageMargins left="0.1" right="0.1" top="0.1" bottom="0.1" header="0.3" footer="0.3"/>
  <pageSetup scale="4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8"/>
  <dimension ref="A1:T54"/>
  <sheetViews>
    <sheetView topLeftCell="A32" zoomScale="80" zoomScaleNormal="80" workbookViewId="0">
      <selection activeCell="B25" sqref="B25"/>
    </sheetView>
  </sheetViews>
  <sheetFormatPr baseColWidth="10" defaultColWidth="9.1640625" defaultRowHeight="15"/>
  <cols>
    <col min="1" max="1" width="27.83203125" style="1" bestFit="1" customWidth="1"/>
    <col min="2" max="2" width="15.1640625" style="1" bestFit="1" customWidth="1"/>
    <col min="3" max="3" width="18.6640625" style="1" bestFit="1" customWidth="1"/>
    <col min="4" max="5" width="11.33203125" style="1" bestFit="1" customWidth="1"/>
    <col min="6" max="6" width="14.5" style="1" bestFit="1" customWidth="1"/>
    <col min="7" max="7" width="10.1640625" style="1" bestFit="1" customWidth="1"/>
    <col min="8" max="8" width="18.6640625" style="1" bestFit="1" customWidth="1"/>
    <col min="9" max="9" width="10.33203125" style="1" bestFit="1" customWidth="1"/>
    <col min="10" max="10" width="16.6640625" style="1" bestFit="1" customWidth="1"/>
    <col min="11" max="11" width="9.5" style="1" bestFit="1" customWidth="1"/>
    <col min="12" max="12" width="24.5" style="1" bestFit="1" customWidth="1"/>
    <col min="13" max="13" width="11.5" style="1" bestFit="1" customWidth="1"/>
    <col min="14" max="14" width="11.33203125" style="1" bestFit="1" customWidth="1"/>
    <col min="15" max="15" width="11.33203125" style="1" customWidth="1"/>
    <col min="16" max="20" width="11" style="1" bestFit="1" customWidth="1"/>
    <col min="21" max="16384" width="9.1640625" style="1"/>
  </cols>
  <sheetData>
    <row r="1" spans="1:20" ht="16" thickBot="1">
      <c r="A1" s="1" t="s">
        <v>1268</v>
      </c>
      <c r="L1" s="355" t="s">
        <v>1269</v>
      </c>
      <c r="M1" s="1" t="s">
        <v>1271</v>
      </c>
      <c r="N1" s="1" t="s">
        <v>1272</v>
      </c>
    </row>
    <row r="2" spans="1:20" ht="16">
      <c r="A2" s="356" t="s">
        <v>0</v>
      </c>
      <c r="B2" s="357"/>
      <c r="C2" s="357"/>
      <c r="D2" s="273" t="s">
        <v>481</v>
      </c>
      <c r="E2" s="273" t="s">
        <v>482</v>
      </c>
      <c r="F2" s="273" t="s">
        <v>565</v>
      </c>
      <c r="G2" s="273" t="s">
        <v>566</v>
      </c>
      <c r="H2" s="273" t="s">
        <v>573</v>
      </c>
      <c r="I2" s="1" t="s">
        <v>574</v>
      </c>
      <c r="L2" s="356" t="s">
        <v>0</v>
      </c>
      <c r="M2" s="357"/>
      <c r="N2" s="357"/>
      <c r="O2" s="357" t="s">
        <v>564</v>
      </c>
      <c r="P2" s="273" t="s">
        <v>565</v>
      </c>
      <c r="Q2" s="273" t="s">
        <v>566</v>
      </c>
      <c r="R2" s="273" t="s">
        <v>573</v>
      </c>
      <c r="S2" s="273" t="s">
        <v>1273</v>
      </c>
      <c r="T2" s="273" t="s">
        <v>1274</v>
      </c>
    </row>
    <row r="3" spans="1:20">
      <c r="A3" s="358"/>
      <c r="B3" s="359"/>
      <c r="C3" s="359"/>
      <c r="D3" s="360"/>
      <c r="E3" s="360"/>
      <c r="F3" s="360"/>
      <c r="G3" s="360"/>
      <c r="H3" s="360"/>
      <c r="L3" s="358"/>
      <c r="M3" s="359"/>
      <c r="N3" s="359"/>
      <c r="O3" s="361"/>
      <c r="P3" s="360" t="s">
        <v>1276</v>
      </c>
      <c r="Q3" s="360" t="s">
        <v>1277</v>
      </c>
      <c r="R3" s="360" t="s">
        <v>1278</v>
      </c>
      <c r="S3" s="360"/>
      <c r="T3" s="360"/>
    </row>
    <row r="4" spans="1:20">
      <c r="A4" s="237" t="s">
        <v>571</v>
      </c>
      <c r="B4" s="237">
        <v>1.5</v>
      </c>
      <c r="C4" s="237">
        <f>12-B4</f>
        <v>10.5</v>
      </c>
      <c r="D4" s="226">
        <v>25000</v>
      </c>
      <c r="E4" s="226">
        <v>26250</v>
      </c>
      <c r="F4" s="226">
        <f>+E4*1.05</f>
        <v>27562.5</v>
      </c>
      <c r="G4" s="226"/>
      <c r="H4" s="226"/>
      <c r="I4" s="1">
        <v>150000</v>
      </c>
      <c r="L4" s="237" t="s">
        <v>1270</v>
      </c>
      <c r="M4" s="362">
        <v>44607</v>
      </c>
      <c r="N4" s="362">
        <v>45702</v>
      </c>
      <c r="O4" s="363">
        <v>174000</v>
      </c>
      <c r="P4" s="226">
        <v>29000</v>
      </c>
      <c r="Q4" s="226">
        <v>30450</v>
      </c>
      <c r="R4" s="226">
        <v>31970</v>
      </c>
      <c r="S4" s="226"/>
      <c r="T4" s="226"/>
    </row>
    <row r="5" spans="1:20">
      <c r="A5" s="237" t="s">
        <v>572</v>
      </c>
      <c r="B5" s="237">
        <v>4</v>
      </c>
      <c r="C5" s="237">
        <f>12-B5</f>
        <v>8</v>
      </c>
      <c r="D5" s="226">
        <v>50000</v>
      </c>
      <c r="E5" s="226">
        <f>+D5*1.1</f>
        <v>55000.000000000007</v>
      </c>
      <c r="F5" s="226">
        <v>0</v>
      </c>
      <c r="G5" s="226"/>
      <c r="H5" s="226"/>
      <c r="I5" s="1">
        <v>250000</v>
      </c>
      <c r="L5" s="237"/>
      <c r="M5" s="237"/>
      <c r="N5" s="237"/>
      <c r="O5" s="237"/>
      <c r="P5" s="226"/>
      <c r="Q5" s="226"/>
      <c r="R5" s="226"/>
      <c r="S5" s="226"/>
      <c r="T5" s="226"/>
    </row>
    <row r="6" spans="1:20">
      <c r="A6" s="237" t="s">
        <v>568</v>
      </c>
      <c r="B6" s="237">
        <v>4</v>
      </c>
      <c r="C6" s="237">
        <f>12-B6</f>
        <v>8</v>
      </c>
      <c r="D6" s="226">
        <v>143728</v>
      </c>
      <c r="E6" s="226">
        <v>143728</v>
      </c>
      <c r="F6" s="226">
        <v>0</v>
      </c>
      <c r="G6" s="226">
        <v>0</v>
      </c>
      <c r="H6" s="226">
        <v>0</v>
      </c>
      <c r="I6" s="1">
        <v>431434</v>
      </c>
      <c r="L6" s="237"/>
      <c r="M6" s="237"/>
      <c r="N6" s="237"/>
      <c r="O6" s="237"/>
      <c r="P6" s="226"/>
      <c r="Q6" s="226"/>
      <c r="R6" s="226"/>
      <c r="S6" s="226">
        <v>0</v>
      </c>
      <c r="T6" s="226">
        <v>0</v>
      </c>
    </row>
    <row r="7" spans="1:20" ht="16" thickBot="1">
      <c r="A7" s="364" t="s">
        <v>51</v>
      </c>
      <c r="B7" s="365"/>
      <c r="C7" s="365"/>
      <c r="D7" s="58">
        <f t="shared" ref="D7:I7" si="0">SUM(D4:D6)</f>
        <v>218728</v>
      </c>
      <c r="E7" s="58">
        <f t="shared" si="0"/>
        <v>224978</v>
      </c>
      <c r="F7" s="58">
        <f t="shared" si="0"/>
        <v>27562.5</v>
      </c>
      <c r="G7" s="58">
        <f t="shared" si="0"/>
        <v>0</v>
      </c>
      <c r="H7" s="58">
        <f t="shared" si="0"/>
        <v>0</v>
      </c>
      <c r="I7" s="58">
        <f t="shared" si="0"/>
        <v>831434</v>
      </c>
      <c r="L7" s="364" t="s">
        <v>51</v>
      </c>
      <c r="M7" s="365"/>
      <c r="N7" s="365"/>
      <c r="O7" s="365"/>
      <c r="P7" s="58">
        <f>SUM(P4:P6)</f>
        <v>29000</v>
      </c>
      <c r="Q7" s="58">
        <f>SUM(Q4:Q6)</f>
        <v>30450</v>
      </c>
      <c r="R7" s="58">
        <f>SUM(R4:R6)</f>
        <v>31970</v>
      </c>
      <c r="S7" s="58">
        <f>SUM(S4:S6)</f>
        <v>0</v>
      </c>
      <c r="T7" s="58">
        <f>SUM(T4:T6)</f>
        <v>0</v>
      </c>
    </row>
    <row r="8" spans="1:20" ht="17" thickTop="1" thickBot="1">
      <c r="A8" s="364" t="s">
        <v>570</v>
      </c>
      <c r="B8" s="365"/>
      <c r="C8" s="365"/>
      <c r="D8" s="366"/>
      <c r="E8" s="366"/>
      <c r="F8" s="366"/>
      <c r="G8" s="366"/>
      <c r="H8" s="366"/>
      <c r="L8" s="364" t="s">
        <v>570</v>
      </c>
      <c r="M8" s="365"/>
      <c r="N8" s="365"/>
      <c r="O8" s="365"/>
      <c r="P8" s="366"/>
      <c r="Q8" s="366"/>
      <c r="R8" s="366"/>
      <c r="S8" s="366"/>
      <c r="T8" s="366"/>
    </row>
    <row r="9" spans="1:20" ht="16">
      <c r="A9" s="356" t="s">
        <v>0</v>
      </c>
      <c r="B9" s="357"/>
      <c r="C9" s="357"/>
      <c r="D9" s="273" t="s">
        <v>481</v>
      </c>
      <c r="E9" s="273" t="s">
        <v>482</v>
      </c>
      <c r="F9" s="273" t="s">
        <v>565</v>
      </c>
      <c r="G9" s="273" t="s">
        <v>566</v>
      </c>
      <c r="H9" s="273" t="s">
        <v>573</v>
      </c>
      <c r="L9" s="356" t="s">
        <v>0</v>
      </c>
      <c r="M9" s="357" t="s">
        <v>1275</v>
      </c>
      <c r="N9" s="357" t="s">
        <v>1279</v>
      </c>
      <c r="O9" s="357" t="s">
        <v>1280</v>
      </c>
      <c r="P9" s="367">
        <v>44651</v>
      </c>
      <c r="Q9" s="367">
        <v>45016</v>
      </c>
      <c r="R9" s="367">
        <v>45382</v>
      </c>
      <c r="S9" s="367">
        <v>45702</v>
      </c>
      <c r="T9" s="367">
        <v>44651</v>
      </c>
    </row>
    <row r="10" spans="1:20">
      <c r="A10" s="358"/>
      <c r="B10" s="359"/>
      <c r="C10" s="359"/>
      <c r="D10" s="360"/>
      <c r="E10" s="360"/>
      <c r="F10" s="360"/>
      <c r="G10" s="360"/>
      <c r="H10" s="360"/>
      <c r="L10" s="358"/>
      <c r="M10" s="359"/>
      <c r="N10" s="359"/>
      <c r="O10" s="361"/>
      <c r="P10" s="360">
        <f>+P9-M4</f>
        <v>44</v>
      </c>
      <c r="Q10" s="360">
        <f>+Q9-P9</f>
        <v>365</v>
      </c>
      <c r="R10" s="360">
        <f>+R9-Q9</f>
        <v>366</v>
      </c>
      <c r="S10" s="360">
        <f>+S9-R9</f>
        <v>320</v>
      </c>
      <c r="T10" s="360"/>
    </row>
    <row r="11" spans="1:20">
      <c r="A11" s="237" t="s">
        <v>569</v>
      </c>
      <c r="B11" s="237"/>
      <c r="C11" s="237"/>
      <c r="D11" s="226">
        <f>+D4*$C$4+E4*$B$4</f>
        <v>301875</v>
      </c>
      <c r="E11" s="226">
        <f>+E4*$C$4+F4*$B$4</f>
        <v>316968.75</v>
      </c>
      <c r="F11" s="226">
        <f>+F4*$C$4+G4*$B$4</f>
        <v>289406.25</v>
      </c>
      <c r="G11" s="226">
        <f>+G4*$C$4+H4*$B$4</f>
        <v>0</v>
      </c>
      <c r="H11" s="226"/>
      <c r="L11" s="237" t="str">
        <f>+L4</f>
        <v>JB Advani &amp; Co. 5%</v>
      </c>
      <c r="M11" s="363">
        <f>+N4-M4</f>
        <v>1095</v>
      </c>
      <c r="N11" s="368">
        <f>P4*12+Q4*12+R4*12</f>
        <v>1097040</v>
      </c>
      <c r="O11" s="369">
        <f>+N11/M11</f>
        <v>1001.8630136986301</v>
      </c>
      <c r="P11" s="226">
        <f>ROUND($O$11*P10,0)</f>
        <v>44082</v>
      </c>
      <c r="Q11" s="226">
        <f>ROUND($O$11*Q10,0)</f>
        <v>365680</v>
      </c>
      <c r="R11" s="226">
        <f>ROUND($O$11*R10,0)</f>
        <v>366682</v>
      </c>
      <c r="S11" s="226">
        <f>ROUND($O$11*S10,0)</f>
        <v>320596</v>
      </c>
      <c r="T11" s="226"/>
    </row>
    <row r="12" spans="1:20">
      <c r="A12" s="237" t="s">
        <v>567</v>
      </c>
      <c r="B12" s="237"/>
      <c r="C12" s="237"/>
      <c r="D12" s="226">
        <f>+D5*$C$5+E5*$B$5</f>
        <v>620000</v>
      </c>
      <c r="E12" s="226">
        <f>+E5*$C$5+F5*$B$5</f>
        <v>440000.00000000006</v>
      </c>
      <c r="F12" s="226">
        <f>+F5*$C$5+G5*$B$5</f>
        <v>0</v>
      </c>
      <c r="G12" s="226">
        <f>+G5*$C$5+H5*$B$5</f>
        <v>0</v>
      </c>
      <c r="H12" s="226"/>
      <c r="L12" s="237"/>
      <c r="M12" s="237"/>
      <c r="N12" s="237"/>
      <c r="O12" s="237"/>
      <c r="P12" s="226">
        <f>+P5*$C$5+Q5*$B$5</f>
        <v>0</v>
      </c>
      <c r="Q12" s="226">
        <f>+Q5*$C$5+R5*$B$5</f>
        <v>0</v>
      </c>
      <c r="R12" s="226">
        <f>+R5*$C$5+S5*$B$5</f>
        <v>0</v>
      </c>
      <c r="S12" s="226">
        <f>+S5*$C$5+T5*$B$5</f>
        <v>0</v>
      </c>
      <c r="T12" s="226"/>
    </row>
    <row r="13" spans="1:20">
      <c r="A13" s="237" t="s">
        <v>568</v>
      </c>
      <c r="B13" s="237"/>
      <c r="C13" s="237"/>
      <c r="D13" s="226">
        <f>+D6*C6</f>
        <v>1149824</v>
      </c>
      <c r="E13" s="226">
        <v>0</v>
      </c>
      <c r="F13" s="226">
        <v>0</v>
      </c>
      <c r="G13" s="226">
        <v>0</v>
      </c>
      <c r="H13" s="226">
        <v>0</v>
      </c>
      <c r="L13" s="237"/>
      <c r="M13" s="237"/>
      <c r="N13" s="237"/>
      <c r="O13" s="237"/>
      <c r="P13" s="226">
        <f>+P6*N6</f>
        <v>0</v>
      </c>
      <c r="Q13" s="226">
        <v>0</v>
      </c>
      <c r="R13" s="226">
        <v>0</v>
      </c>
      <c r="S13" s="226">
        <v>0</v>
      </c>
      <c r="T13" s="226">
        <v>0</v>
      </c>
    </row>
    <row r="14" spans="1:20" ht="16" thickBot="1">
      <c r="A14" s="364" t="s">
        <v>51</v>
      </c>
      <c r="B14" s="365"/>
      <c r="C14" s="365"/>
      <c r="D14" s="58">
        <f>SUM(D11:D13)</f>
        <v>2071699</v>
      </c>
      <c r="E14" s="58">
        <f>SUM(E11:E13)</f>
        <v>756968.75</v>
      </c>
      <c r="F14" s="58">
        <f>SUM(F11:F13)</f>
        <v>289406.25</v>
      </c>
      <c r="G14" s="58">
        <f>SUM(G11:G13)</f>
        <v>0</v>
      </c>
      <c r="H14" s="58">
        <f>SUM(H11:H13)</f>
        <v>0</v>
      </c>
      <c r="L14" s="364" t="s">
        <v>51</v>
      </c>
      <c r="M14" s="364"/>
      <c r="N14" s="364"/>
      <c r="O14" s="364"/>
      <c r="P14" s="58">
        <f>SUM(P11:P13)</f>
        <v>44082</v>
      </c>
      <c r="Q14" s="58">
        <f>SUM(Q11:Q13)</f>
        <v>365680</v>
      </c>
      <c r="R14" s="58">
        <f>SUM(R11:R13)</f>
        <v>366682</v>
      </c>
      <c r="S14" s="58">
        <f>SUM(S11:S13)</f>
        <v>320596</v>
      </c>
      <c r="T14" s="58">
        <f>SUM(T11:T13)</f>
        <v>0</v>
      </c>
    </row>
    <row r="15" spans="1:20" ht="16" thickTop="1">
      <c r="D15" s="370">
        <f>SUM(D1:D14)</f>
        <v>4580854</v>
      </c>
      <c r="P15" s="370">
        <f>SUM(P1:P14)</f>
        <v>190859</v>
      </c>
    </row>
    <row r="16" spans="1:20" ht="16" thickBot="1"/>
    <row r="17" spans="1:20" ht="16">
      <c r="A17" s="356" t="s">
        <v>0</v>
      </c>
      <c r="B17" s="357"/>
      <c r="C17" s="357"/>
      <c r="D17" s="273" t="s">
        <v>481</v>
      </c>
      <c r="E17" s="273" t="s">
        <v>482</v>
      </c>
      <c r="F17" s="273" t="s">
        <v>565</v>
      </c>
      <c r="L17" s="356" t="s">
        <v>0</v>
      </c>
      <c r="M17" s="357"/>
      <c r="N17" s="357"/>
      <c r="O17" s="357"/>
      <c r="P17" s="273" t="str">
        <f>+P2</f>
        <v>2021-22</v>
      </c>
      <c r="Q17" s="273" t="str">
        <f>+Q2</f>
        <v>2022-23</v>
      </c>
      <c r="R17" s="273" t="str">
        <f>+R2</f>
        <v>2023-24</v>
      </c>
      <c r="S17" s="273" t="str">
        <f>+S2</f>
        <v>2024-25</v>
      </c>
      <c r="T17" s="273" t="str">
        <f>+T2</f>
        <v>2025-26</v>
      </c>
    </row>
    <row r="18" spans="1:20">
      <c r="A18" s="358"/>
      <c r="B18" s="359"/>
      <c r="C18" s="359"/>
      <c r="D18" s="360"/>
      <c r="E18" s="360"/>
      <c r="L18" s="358"/>
      <c r="M18" s="359"/>
      <c r="N18" s="359"/>
      <c r="O18" s="361"/>
      <c r="P18" s="360"/>
      <c r="Q18" s="360"/>
      <c r="R18" s="360"/>
      <c r="S18" s="360"/>
      <c r="T18" s="360"/>
    </row>
    <row r="19" spans="1:20">
      <c r="A19" s="237" t="s">
        <v>471</v>
      </c>
      <c r="B19" s="237"/>
      <c r="C19" s="237"/>
      <c r="D19" s="226">
        <f>E14</f>
        <v>756968.75</v>
      </c>
      <c r="E19" s="226">
        <f>+E14</f>
        <v>756968.75</v>
      </c>
      <c r="F19" s="292">
        <f>+F14</f>
        <v>289406.25</v>
      </c>
      <c r="L19" s="237" t="s">
        <v>471</v>
      </c>
      <c r="M19" s="237"/>
      <c r="N19" s="237"/>
      <c r="O19" s="237"/>
      <c r="P19" s="226">
        <f>Q14</f>
        <v>365680</v>
      </c>
      <c r="Q19" s="226">
        <f>R14</f>
        <v>366682</v>
      </c>
      <c r="R19" s="226">
        <f>S14</f>
        <v>320596</v>
      </c>
      <c r="S19" s="226">
        <f>T14</f>
        <v>0</v>
      </c>
      <c r="T19" s="226">
        <f>U14</f>
        <v>0</v>
      </c>
    </row>
    <row r="20" spans="1:20">
      <c r="A20" s="237" t="s">
        <v>472</v>
      </c>
      <c r="B20" s="237"/>
      <c r="C20" s="237"/>
      <c r="D20" s="226">
        <f>+F14+G14</f>
        <v>289406.25</v>
      </c>
      <c r="E20" s="226">
        <f>+G14</f>
        <v>0</v>
      </c>
      <c r="F20" s="1">
        <v>0</v>
      </c>
      <c r="L20" s="237" t="s">
        <v>472</v>
      </c>
      <c r="M20" s="237"/>
      <c r="N20" s="237"/>
      <c r="O20" s="237"/>
      <c r="P20" s="226">
        <f>+R14+S14</f>
        <v>687278</v>
      </c>
      <c r="Q20" s="226">
        <f>+S14+T14</f>
        <v>320596</v>
      </c>
      <c r="R20" s="226">
        <f>+T14+U14</f>
        <v>0</v>
      </c>
      <c r="S20" s="226">
        <f>+U14+V14</f>
        <v>0</v>
      </c>
      <c r="T20" s="226">
        <f>+V14+W14</f>
        <v>0</v>
      </c>
    </row>
    <row r="21" spans="1:20">
      <c r="A21" s="237" t="s">
        <v>473</v>
      </c>
      <c r="B21" s="237"/>
      <c r="C21" s="237"/>
      <c r="D21" s="226"/>
      <c r="E21" s="226">
        <v>0</v>
      </c>
      <c r="F21" s="1">
        <v>0</v>
      </c>
      <c r="L21" s="237" t="s">
        <v>473</v>
      </c>
      <c r="M21" s="237"/>
      <c r="N21" s="237"/>
      <c r="O21" s="237"/>
      <c r="P21" s="226"/>
      <c r="Q21" s="226"/>
      <c r="R21" s="226"/>
      <c r="S21" s="226"/>
      <c r="T21" s="226"/>
    </row>
    <row r="22" spans="1:20" ht="16" thickBot="1">
      <c r="A22" s="364" t="s">
        <v>51</v>
      </c>
      <c r="B22" s="365"/>
      <c r="C22" s="365"/>
      <c r="D22" s="58">
        <f>SUM(D19:D21)</f>
        <v>1046375</v>
      </c>
      <c r="E22" s="58">
        <f>SUM(E19:E21)</f>
        <v>756968.75</v>
      </c>
      <c r="F22" s="1">
        <v>756968.75</v>
      </c>
      <c r="L22" s="364" t="s">
        <v>51</v>
      </c>
      <c r="M22" s="364"/>
      <c r="N22" s="364"/>
      <c r="O22" s="364"/>
      <c r="P22" s="58">
        <f>SUM(P19:P21)</f>
        <v>1052958</v>
      </c>
      <c r="Q22" s="58">
        <f>SUM(Q19:Q21)</f>
        <v>687278</v>
      </c>
      <c r="R22" s="58">
        <f>SUM(R19:R21)</f>
        <v>320596</v>
      </c>
      <c r="S22" s="58">
        <f>SUM(S19:S21)</f>
        <v>0</v>
      </c>
      <c r="T22" s="58">
        <f>SUM(T19:T21)</f>
        <v>0</v>
      </c>
    </row>
    <row r="23" spans="1:20" ht="16" thickTop="1"/>
    <row r="26" spans="1:20">
      <c r="A26" s="6" t="s">
        <v>1386</v>
      </c>
      <c r="B26" s="6"/>
      <c r="C26" s="6"/>
      <c r="D26" s="6"/>
      <c r="E26" s="6"/>
      <c r="F26" s="6"/>
      <c r="G26" s="6"/>
      <c r="H26" s="6"/>
    </row>
    <row r="27" spans="1:20" s="6" customFormat="1"/>
    <row r="28" spans="1:20" s="6" customFormat="1"/>
    <row r="29" spans="1:20">
      <c r="A29" s="1" t="s">
        <v>1359</v>
      </c>
      <c r="B29" s="1" t="s">
        <v>1360</v>
      </c>
    </row>
    <row r="30" spans="1:20" s="6" customFormat="1">
      <c r="A30" s="1" t="s">
        <v>1361</v>
      </c>
      <c r="B30" s="371">
        <f>+M4</f>
        <v>44607</v>
      </c>
      <c r="C30" s="371"/>
      <c r="D30" s="371"/>
      <c r="E30" s="371"/>
      <c r="F30" s="371"/>
      <c r="G30" s="371"/>
      <c r="H30" s="371"/>
    </row>
    <row r="31" spans="1:20" s="6" customFormat="1">
      <c r="A31" s="1" t="s">
        <v>1362</v>
      </c>
      <c r="B31" s="343">
        <v>3</v>
      </c>
      <c r="C31" s="343"/>
      <c r="D31" s="343"/>
      <c r="E31" s="343"/>
      <c r="F31" s="343"/>
      <c r="G31" s="343"/>
      <c r="H31" s="343"/>
    </row>
    <row r="32" spans="1:20" s="6" customFormat="1">
      <c r="A32" s="1" t="s">
        <v>1363</v>
      </c>
      <c r="B32" s="371">
        <f>+N4</f>
        <v>45702</v>
      </c>
      <c r="C32" s="371"/>
      <c r="D32" s="371"/>
      <c r="E32" s="371"/>
      <c r="F32" s="371"/>
      <c r="G32" s="371"/>
      <c r="H32" s="371"/>
    </row>
    <row r="33" spans="1:13" s="6" customFormat="1">
      <c r="A33" s="1" t="s">
        <v>1364</v>
      </c>
      <c r="B33" s="50">
        <f>+N11/3</f>
        <v>365680</v>
      </c>
      <c r="C33" s="50"/>
      <c r="D33" s="50">
        <f>+B33/12</f>
        <v>30473.333333333332</v>
      </c>
      <c r="E33" s="50"/>
      <c r="F33" s="50"/>
      <c r="G33" s="50"/>
      <c r="H33" s="50"/>
    </row>
    <row r="34" spans="1:13" s="6" customFormat="1">
      <c r="A34" s="1" t="s">
        <v>1365</v>
      </c>
      <c r="B34" s="372">
        <v>0.1</v>
      </c>
      <c r="C34" s="373"/>
      <c r="D34" s="373"/>
      <c r="E34" s="373"/>
      <c r="F34" s="373"/>
      <c r="G34" s="373"/>
      <c r="H34" s="373"/>
    </row>
    <row r="35" spans="1:13" s="6" customFormat="1">
      <c r="A35" s="1"/>
      <c r="B35" s="373"/>
      <c r="C35" s="373"/>
      <c r="D35" s="373"/>
      <c r="E35" s="373"/>
      <c r="F35" s="373"/>
      <c r="G35" s="373"/>
      <c r="H35" s="373"/>
    </row>
    <row r="36" spans="1:13" s="6" customFormat="1">
      <c r="A36" s="6" t="s">
        <v>1366</v>
      </c>
      <c r="B36" s="189">
        <f>+PV(B34,B31,-B33,0,0)</f>
        <v>909392.03606311127</v>
      </c>
      <c r="C36" s="374"/>
      <c r="D36" s="374"/>
      <c r="E36" s="374"/>
      <c r="F36" s="374"/>
      <c r="G36" s="374"/>
      <c r="H36" s="374"/>
    </row>
    <row r="37" spans="1:13" s="6" customFormat="1">
      <c r="B37" s="374"/>
      <c r="C37" s="374"/>
      <c r="D37" s="374"/>
      <c r="E37" s="374"/>
      <c r="F37" s="374"/>
      <c r="G37" s="374"/>
      <c r="H37" s="374"/>
    </row>
    <row r="38" spans="1:13" s="6" customFormat="1">
      <c r="A38" s="375" t="s">
        <v>1367</v>
      </c>
      <c r="B38" s="376" t="s">
        <v>1368</v>
      </c>
      <c r="C38" s="376" t="s">
        <v>1369</v>
      </c>
      <c r="D38" s="377" t="s">
        <v>72</v>
      </c>
      <c r="E38" s="376" t="s">
        <v>1370</v>
      </c>
      <c r="F38" s="377" t="s">
        <v>1371</v>
      </c>
      <c r="G38" s="376" t="s">
        <v>1372</v>
      </c>
      <c r="H38" s="377" t="s">
        <v>1373</v>
      </c>
      <c r="I38" s="375" t="s">
        <v>1374</v>
      </c>
      <c r="J38" s="375" t="s">
        <v>1375</v>
      </c>
      <c r="L38" s="6" t="s">
        <v>1374</v>
      </c>
    </row>
    <row r="39" spans="1:13" s="6" customFormat="1">
      <c r="A39" s="2" t="s">
        <v>1376</v>
      </c>
      <c r="B39" s="5">
        <f>+B36</f>
        <v>909392.03606311127</v>
      </c>
      <c r="C39" s="226">
        <v>0</v>
      </c>
      <c r="D39" s="74">
        <f>+B39-C39</f>
        <v>909392.03606311127</v>
      </c>
      <c r="E39" s="5">
        <v>3</v>
      </c>
      <c r="F39" s="74">
        <v>0</v>
      </c>
      <c r="G39" s="226">
        <f>+M11</f>
        <v>1095</v>
      </c>
      <c r="H39" s="74">
        <f>+P10</f>
        <v>44</v>
      </c>
      <c r="I39" s="226">
        <f>+G39-H39</f>
        <v>1051</v>
      </c>
      <c r="J39" s="5">
        <f>+ROUND((D39/G39*H39),0)</f>
        <v>36542</v>
      </c>
    </row>
    <row r="40" spans="1:13" s="6" customFormat="1">
      <c r="A40" s="2" t="s">
        <v>1377</v>
      </c>
      <c r="B40" s="5">
        <f>+B39</f>
        <v>909392.03606311127</v>
      </c>
      <c r="C40" s="226">
        <f>+C39+J39</f>
        <v>36542</v>
      </c>
      <c r="D40" s="74">
        <f>+B40-C40</f>
        <v>872850.03606311127</v>
      </c>
      <c r="E40" s="5">
        <v>3</v>
      </c>
      <c r="F40" s="74">
        <v>0</v>
      </c>
      <c r="G40" s="226">
        <f>+G39-H39</f>
        <v>1051</v>
      </c>
      <c r="H40" s="74">
        <v>365</v>
      </c>
      <c r="I40" s="226">
        <f>+G40-H40</f>
        <v>686</v>
      </c>
      <c r="J40" s="5">
        <f>+ROUND((D40/G40*H40),0)</f>
        <v>303131</v>
      </c>
      <c r="M40" s="6">
        <f>+D40-J40</f>
        <v>569719.03606311127</v>
      </c>
    </row>
    <row r="41" spans="1:13" s="6" customFormat="1">
      <c r="A41" s="2" t="s">
        <v>1387</v>
      </c>
      <c r="B41" s="5">
        <f>+B40</f>
        <v>909392.03606311127</v>
      </c>
      <c r="C41" s="226">
        <f>+C40+J40</f>
        <v>339673</v>
      </c>
      <c r="D41" s="74">
        <f>+B41-C41</f>
        <v>569719.03606311127</v>
      </c>
      <c r="E41" s="5">
        <v>3</v>
      </c>
      <c r="F41" s="74">
        <v>0</v>
      </c>
      <c r="G41" s="226">
        <f>+G40-H40</f>
        <v>686</v>
      </c>
      <c r="H41" s="74">
        <v>366</v>
      </c>
      <c r="I41" s="226">
        <f>+G41-H41</f>
        <v>320</v>
      </c>
      <c r="J41" s="5">
        <f>+ROUND((D41/G41*H41),0)</f>
        <v>303961</v>
      </c>
      <c r="M41" s="6">
        <f>+D41-J41</f>
        <v>265758.03606311127</v>
      </c>
    </row>
    <row r="42" spans="1:13" s="6" customFormat="1">
      <c r="A42" s="378" t="s">
        <v>1388</v>
      </c>
      <c r="B42" s="178">
        <f>+B41</f>
        <v>909392.03606311127</v>
      </c>
      <c r="C42" s="379">
        <f>+C41+J41</f>
        <v>643634</v>
      </c>
      <c r="D42" s="380">
        <f>+B42-C42</f>
        <v>265758.03606311127</v>
      </c>
      <c r="E42" s="178">
        <v>3</v>
      </c>
      <c r="F42" s="380">
        <v>0</v>
      </c>
      <c r="G42" s="379">
        <f>+G41-H41</f>
        <v>320</v>
      </c>
      <c r="H42" s="380">
        <f>+S10</f>
        <v>320</v>
      </c>
      <c r="I42" s="379">
        <f>+G42-H42</f>
        <v>0</v>
      </c>
      <c r="J42" s="178">
        <f>+ROUND((D42/G42*H42),0)</f>
        <v>265758</v>
      </c>
      <c r="M42" s="381">
        <f>+D42-J42</f>
        <v>3.6063111270777881E-2</v>
      </c>
    </row>
    <row r="43" spans="1:13" s="6" customFormat="1">
      <c r="B43" s="50"/>
      <c r="C43" s="292"/>
      <c r="D43" s="50"/>
      <c r="E43" s="50"/>
      <c r="F43" s="50"/>
      <c r="G43" s="374"/>
      <c r="H43" s="374"/>
      <c r="L43" s="382"/>
      <c r="M43" s="374" t="e">
        <f>+#REF!*5%</f>
        <v>#REF!</v>
      </c>
    </row>
    <row r="44" spans="1:13" s="6" customFormat="1">
      <c r="B44" s="374"/>
      <c r="C44" s="215"/>
      <c r="D44" s="383"/>
      <c r="E44" s="384"/>
      <c r="F44" s="383"/>
      <c r="G44" s="383"/>
      <c r="H44" s="374"/>
      <c r="L44" s="382"/>
      <c r="M44" s="385" t="e">
        <f>+M42-M43</f>
        <v>#REF!</v>
      </c>
    </row>
    <row r="45" spans="1:13" s="6" customFormat="1">
      <c r="B45" s="374"/>
      <c r="C45" s="215"/>
      <c r="D45" s="333"/>
      <c r="E45" s="384"/>
      <c r="F45" s="383"/>
      <c r="G45" s="383"/>
      <c r="H45" s="374"/>
    </row>
    <row r="46" spans="1:13" s="6" customFormat="1">
      <c r="B46" s="374"/>
      <c r="C46" s="215"/>
      <c r="D46" s="333"/>
      <c r="E46" s="384"/>
      <c r="F46" s="383"/>
      <c r="G46" s="383"/>
      <c r="J46" s="6">
        <v>44082</v>
      </c>
      <c r="K46" s="381">
        <f>+J39</f>
        <v>36542</v>
      </c>
    </row>
    <row r="47" spans="1:13" s="6" customFormat="1" ht="14.25" customHeight="1">
      <c r="A47" s="1"/>
      <c r="B47" s="373"/>
      <c r="C47" s="373"/>
      <c r="D47" s="373"/>
      <c r="E47" s="373"/>
      <c r="F47" s="373"/>
      <c r="G47" s="373"/>
      <c r="H47" s="373"/>
      <c r="K47" s="381">
        <f>+D50</f>
        <v>10962.509589041096</v>
      </c>
      <c r="L47" s="381">
        <f>+J46-K46</f>
        <v>7540</v>
      </c>
    </row>
    <row r="48" spans="1:13" s="6" customFormat="1">
      <c r="A48" s="6" t="s">
        <v>1378</v>
      </c>
      <c r="L48" s="381">
        <f>+K47-L47</f>
        <v>3422.5095890410958</v>
      </c>
    </row>
    <row r="49" spans="1:12" s="389" customFormat="1" ht="64">
      <c r="A49" s="386" t="s">
        <v>1367</v>
      </c>
      <c r="B49" s="387" t="s">
        <v>1379</v>
      </c>
      <c r="C49" s="388" t="s">
        <v>1380</v>
      </c>
      <c r="D49" s="387" t="s">
        <v>1381</v>
      </c>
      <c r="E49" s="387" t="s">
        <v>325</v>
      </c>
      <c r="F49" s="387" t="s">
        <v>1382</v>
      </c>
      <c r="G49" s="388" t="s">
        <v>1383</v>
      </c>
      <c r="H49" s="388" t="s">
        <v>1384</v>
      </c>
      <c r="I49" s="388" t="s">
        <v>1385</v>
      </c>
      <c r="K49" s="390"/>
    </row>
    <row r="50" spans="1:12" s="6" customFormat="1">
      <c r="A50" s="2" t="s">
        <v>1376</v>
      </c>
      <c r="B50" s="391">
        <f>+B36</f>
        <v>909392.03606311127</v>
      </c>
      <c r="C50" s="392">
        <f>+P11</f>
        <v>44082</v>
      </c>
      <c r="D50" s="391">
        <f>+ROUND((B50*$B$34),0)/365*P10</f>
        <v>10962.509589041096</v>
      </c>
      <c r="E50" s="391">
        <v>0</v>
      </c>
      <c r="F50" s="391">
        <f>+C50-D50</f>
        <v>33119.490410958904</v>
      </c>
      <c r="G50" s="392">
        <f>+B50-F50</f>
        <v>876272.54565215239</v>
      </c>
      <c r="H50" s="392">
        <f>+J39</f>
        <v>36542</v>
      </c>
      <c r="I50" s="392">
        <f>+B39-H50</f>
        <v>872850.03606311127</v>
      </c>
      <c r="J50" s="381">
        <f>+I50-G50</f>
        <v>-3422.5095890411176</v>
      </c>
      <c r="K50" s="393"/>
      <c r="L50" s="381">
        <f>+C50-D50</f>
        <v>33119.490410958904</v>
      </c>
    </row>
    <row r="51" spans="1:12" s="6" customFormat="1">
      <c r="A51" s="2" t="s">
        <v>1377</v>
      </c>
      <c r="B51" s="391">
        <f>+G50</f>
        <v>876272.54565215239</v>
      </c>
      <c r="C51" s="392">
        <f>+Q11</f>
        <v>365680</v>
      </c>
      <c r="D51" s="391">
        <f>+ROUND((B50*$B$34),0)/365*Q10</f>
        <v>90939</v>
      </c>
      <c r="E51" s="391">
        <v>0</v>
      </c>
      <c r="F51" s="391">
        <f>+C51-D51</f>
        <v>274741</v>
      </c>
      <c r="G51" s="392">
        <f>+B51-F51</f>
        <v>601531.54565215239</v>
      </c>
      <c r="H51" s="392">
        <f>+J40</f>
        <v>303131</v>
      </c>
      <c r="I51" s="392">
        <f>+I50-H51</f>
        <v>569719.03606311127</v>
      </c>
      <c r="J51" s="381">
        <f>+G50-G51</f>
        <v>274741</v>
      </c>
      <c r="K51" s="393"/>
    </row>
    <row r="52" spans="1:12" s="6" customFormat="1">
      <c r="A52" s="2" t="s">
        <v>1387</v>
      </c>
      <c r="B52" s="391">
        <f>+G51</f>
        <v>601531.54565215239</v>
      </c>
      <c r="C52" s="392">
        <f>+R11</f>
        <v>366682</v>
      </c>
      <c r="D52" s="391">
        <f>+ROUND((B50*$B$34),0)/365*R10</f>
        <v>91188.147945205477</v>
      </c>
      <c r="E52" s="391">
        <v>0</v>
      </c>
      <c r="F52" s="391">
        <f>+C52-D52</f>
        <v>275493.85205479455</v>
      </c>
      <c r="G52" s="392">
        <f>+B52-F52</f>
        <v>326037.69359735784</v>
      </c>
      <c r="H52" s="392">
        <f>+J41</f>
        <v>303961</v>
      </c>
      <c r="I52" s="392">
        <f>+I51-H52</f>
        <v>265758.03606311127</v>
      </c>
      <c r="K52" s="393"/>
    </row>
    <row r="53" spans="1:12" s="6" customFormat="1">
      <c r="A53" s="378" t="s">
        <v>1388</v>
      </c>
      <c r="B53" s="394">
        <f>+G52</f>
        <v>326037.69359735784</v>
      </c>
      <c r="C53" s="395">
        <f>+S11</f>
        <v>320596</v>
      </c>
      <c r="D53" s="394">
        <f>+ROUND((B50*$B$34),0)/365*S10</f>
        <v>79727.342465753434</v>
      </c>
      <c r="E53" s="394">
        <v>0</v>
      </c>
      <c r="F53" s="394">
        <f>+C53-D53</f>
        <v>240868.65753424657</v>
      </c>
      <c r="G53" s="395">
        <f>+B53-F53</f>
        <v>85169.036063111271</v>
      </c>
      <c r="H53" s="395">
        <f>+J42</f>
        <v>265758</v>
      </c>
      <c r="I53" s="395">
        <f>+I52-H53</f>
        <v>3.6063111270777881E-2</v>
      </c>
      <c r="K53" s="393"/>
    </row>
    <row r="54" spans="1:12" s="6" customFormat="1">
      <c r="A54" s="1"/>
      <c r="D54" s="381"/>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95235-5360-408E-8B77-A07AC594A862}">
  <dimension ref="A1:P87"/>
  <sheetViews>
    <sheetView workbookViewId="0">
      <selection activeCell="B25" sqref="B25"/>
    </sheetView>
  </sheetViews>
  <sheetFormatPr baseColWidth="10" defaultColWidth="9.1640625" defaultRowHeight="15"/>
  <cols>
    <col min="1" max="1" width="7.5" style="215" customWidth="1"/>
    <col min="2" max="2" width="57.1640625" style="215" bestFit="1" customWidth="1"/>
    <col min="3" max="4" width="15.33203125" style="215" bestFit="1" customWidth="1"/>
    <col min="5" max="5" width="15" style="215" bestFit="1" customWidth="1"/>
    <col min="6" max="6" width="15.6640625" style="215" customWidth="1"/>
    <col min="7" max="8" width="15" style="215" customWidth="1"/>
    <col min="9" max="9" width="12.83203125" style="215" bestFit="1" customWidth="1"/>
    <col min="10" max="10" width="27.5" style="215" customWidth="1"/>
    <col min="11" max="11" width="12.83203125" style="215" bestFit="1" customWidth="1"/>
    <col min="12" max="12" width="9.1640625" style="215"/>
    <col min="13" max="13" width="12.1640625" style="215" bestFit="1" customWidth="1"/>
    <col min="14" max="16384" width="9.1640625" style="215"/>
  </cols>
  <sheetData>
    <row r="1" spans="1:12">
      <c r="A1" s="1158" t="s">
        <v>927</v>
      </c>
      <c r="B1" s="1158"/>
      <c r="C1" s="1158"/>
      <c r="D1" s="1158"/>
      <c r="E1" s="1158"/>
      <c r="F1" s="312"/>
      <c r="G1" s="312"/>
      <c r="H1" s="312"/>
      <c r="J1" s="215" t="s">
        <v>1093</v>
      </c>
    </row>
    <row r="2" spans="1:12">
      <c r="A2" s="1158" t="s">
        <v>1678</v>
      </c>
      <c r="B2" s="1158"/>
      <c r="C2" s="1158"/>
      <c r="D2" s="1158"/>
      <c r="E2" s="1158"/>
      <c r="F2" s="312"/>
      <c r="G2" s="312"/>
      <c r="H2" s="312"/>
      <c r="J2" s="347" t="s">
        <v>1095</v>
      </c>
      <c r="K2" s="215">
        <v>22</v>
      </c>
    </row>
    <row r="3" spans="1:12">
      <c r="A3" s="1"/>
      <c r="B3" s="1"/>
      <c r="C3" s="306"/>
      <c r="D3" s="306"/>
      <c r="E3" s="306"/>
      <c r="F3" s="306"/>
      <c r="G3" s="306"/>
      <c r="H3" s="306"/>
      <c r="J3" s="347" t="s">
        <v>1096</v>
      </c>
      <c r="K3" s="215">
        <v>0</v>
      </c>
    </row>
    <row r="4" spans="1:12" ht="48">
      <c r="A4" s="313" t="s">
        <v>928</v>
      </c>
      <c r="B4" s="314" t="s">
        <v>0</v>
      </c>
      <c r="C4" s="315" t="s">
        <v>929</v>
      </c>
      <c r="D4" s="316" t="s">
        <v>929</v>
      </c>
      <c r="E4" s="315" t="s">
        <v>1118</v>
      </c>
      <c r="F4" s="348" t="s">
        <v>1683</v>
      </c>
      <c r="G4" s="348" t="s">
        <v>1098</v>
      </c>
      <c r="H4" s="337"/>
      <c r="J4" s="349" t="s">
        <v>1099</v>
      </c>
      <c r="K4" s="215">
        <f>(K2+K3)*0.04</f>
        <v>0.88</v>
      </c>
    </row>
    <row r="5" spans="1:12">
      <c r="A5" s="2"/>
      <c r="B5" s="1"/>
      <c r="C5" s="317"/>
      <c r="D5" s="318"/>
      <c r="E5" s="317"/>
      <c r="F5" s="317"/>
      <c r="G5" s="350"/>
      <c r="H5" s="318"/>
      <c r="J5" s="347" t="s">
        <v>1100</v>
      </c>
      <c r="K5" s="215">
        <f>+K2+K3+K4</f>
        <v>22.88</v>
      </c>
    </row>
    <row r="6" spans="1:12" ht="16">
      <c r="A6" s="319"/>
      <c r="B6" s="320" t="s">
        <v>931</v>
      </c>
      <c r="C6" s="321"/>
      <c r="D6" s="322"/>
      <c r="E6" s="321"/>
      <c r="F6" s="321"/>
      <c r="G6" s="351"/>
      <c r="H6" s="322"/>
    </row>
    <row r="7" spans="1:12">
      <c r="A7" s="2"/>
      <c r="B7" s="1"/>
      <c r="C7" s="317"/>
      <c r="D7" s="318"/>
      <c r="E7" s="317"/>
      <c r="F7" s="317"/>
      <c r="G7" s="350"/>
      <c r="H7" s="318"/>
    </row>
    <row r="8" spans="1:12">
      <c r="A8" s="323">
        <v>1</v>
      </c>
      <c r="B8" s="324" t="s">
        <v>932</v>
      </c>
      <c r="C8" s="317"/>
      <c r="D8" s="318"/>
      <c r="E8" s="317"/>
      <c r="F8" s="317"/>
      <c r="G8" s="350"/>
      <c r="H8" s="318"/>
      <c r="J8" s="215">
        <f>+L4+K4</f>
        <v>0.88</v>
      </c>
    </row>
    <row r="9" spans="1:12">
      <c r="A9" s="2"/>
      <c r="B9" s="1" t="s">
        <v>1679</v>
      </c>
      <c r="C9" s="317"/>
      <c r="D9" s="318"/>
      <c r="E9" s="317"/>
      <c r="F9" s="317"/>
      <c r="G9" s="350"/>
      <c r="H9" s="318"/>
      <c r="I9" s="333"/>
    </row>
    <row r="10" spans="1:12">
      <c r="A10" s="2"/>
      <c r="B10" s="1" t="s">
        <v>933</v>
      </c>
      <c r="C10" s="317">
        <f>'Dep as per IT'!O60</f>
        <v>13595064</v>
      </c>
      <c r="D10" s="318"/>
      <c r="E10" s="317"/>
      <c r="F10" s="317"/>
      <c r="G10" s="350"/>
      <c r="H10" s="318"/>
      <c r="I10" s="333"/>
      <c r="L10" s="215">
        <v>392034</v>
      </c>
    </row>
    <row r="11" spans="1:12" ht="18">
      <c r="A11" s="2"/>
      <c r="B11" s="1"/>
      <c r="C11" s="317"/>
      <c r="D11" s="318"/>
      <c r="E11" s="317"/>
      <c r="F11" s="317"/>
      <c r="G11" s="350"/>
      <c r="H11" s="354" t="s">
        <v>1501</v>
      </c>
    </row>
    <row r="12" spans="1:12">
      <c r="A12" s="2"/>
      <c r="B12" s="6" t="s">
        <v>934</v>
      </c>
      <c r="C12" s="317"/>
      <c r="D12" s="318"/>
      <c r="E12" s="317"/>
      <c r="F12" s="317"/>
      <c r="G12" s="350"/>
      <c r="H12" s="318"/>
    </row>
    <row r="13" spans="1:12">
      <c r="A13" s="2"/>
      <c r="B13" s="1" t="s">
        <v>1679</v>
      </c>
      <c r="C13" s="317"/>
      <c r="D13" s="318"/>
      <c r="E13" s="317"/>
      <c r="F13" s="317"/>
      <c r="G13" s="350"/>
      <c r="H13" s="318"/>
    </row>
    <row r="14" spans="1:12" ht="18">
      <c r="A14" s="2"/>
      <c r="B14" s="1" t="s">
        <v>935</v>
      </c>
      <c r="C14" s="325">
        <f>BS!D9+BS!D10</f>
        <v>15634555</v>
      </c>
      <c r="D14" s="63">
        <f>C10-C14</f>
        <v>-2039491</v>
      </c>
      <c r="E14" s="317">
        <f>ROUND(D14*J15%,0)</f>
        <v>-467043</v>
      </c>
      <c r="F14" s="317">
        <f>'Deferred tax 21-22'!E14</f>
        <v>282270</v>
      </c>
      <c r="G14" s="350">
        <f>+(E14-F14)</f>
        <v>-749313</v>
      </c>
      <c r="H14" s="354"/>
      <c r="L14" s="215">
        <v>586287</v>
      </c>
    </row>
    <row r="15" spans="1:12">
      <c r="A15" s="2"/>
      <c r="B15" s="1" t="s">
        <v>936</v>
      </c>
      <c r="C15" s="317"/>
      <c r="D15" s="318"/>
      <c r="E15" s="317"/>
      <c r="F15" s="317"/>
      <c r="G15" s="350"/>
      <c r="H15" s="318"/>
      <c r="I15" s="215" t="s">
        <v>1101</v>
      </c>
      <c r="J15" s="326">
        <v>22.9</v>
      </c>
    </row>
    <row r="16" spans="1:12" ht="16" thickBot="1">
      <c r="A16" s="2"/>
      <c r="B16" s="1"/>
      <c r="C16" s="317"/>
      <c r="D16" s="318"/>
      <c r="E16" s="327">
        <f>+E14+E15</f>
        <v>-467043</v>
      </c>
      <c r="F16" s="328"/>
      <c r="G16" s="352"/>
      <c r="H16" s="337"/>
    </row>
    <row r="17" spans="1:14" ht="16" thickTop="1">
      <c r="A17" s="2"/>
      <c r="B17" s="1"/>
      <c r="C17" s="317"/>
      <c r="D17" s="318"/>
      <c r="E17" s="328"/>
      <c r="F17" s="328"/>
      <c r="G17" s="352"/>
      <c r="H17" s="337"/>
    </row>
    <row r="18" spans="1:14">
      <c r="A18" s="323">
        <v>2</v>
      </c>
      <c r="B18" s="324" t="s">
        <v>937</v>
      </c>
      <c r="C18" s="317"/>
      <c r="D18" s="318"/>
      <c r="E18" s="317"/>
      <c r="F18" s="317"/>
      <c r="G18" s="350"/>
      <c r="H18" s="318"/>
    </row>
    <row r="19" spans="1:14">
      <c r="A19" s="323"/>
      <c r="B19" s="1" t="s">
        <v>938</v>
      </c>
      <c r="C19" s="317"/>
      <c r="D19" s="318"/>
      <c r="E19" s="317">
        <f>Notes!C23</f>
        <v>8165446</v>
      </c>
      <c r="F19" s="317"/>
      <c r="G19" s="350"/>
      <c r="H19" s="318"/>
    </row>
    <row r="20" spans="1:14">
      <c r="A20" s="323"/>
      <c r="B20" s="329"/>
      <c r="C20" s="317"/>
      <c r="D20" s="318"/>
      <c r="E20" s="317"/>
      <c r="F20" s="317"/>
      <c r="G20" s="350"/>
      <c r="H20" s="318"/>
    </row>
    <row r="21" spans="1:14">
      <c r="A21" s="323"/>
      <c r="B21" s="330"/>
      <c r="C21" s="317"/>
      <c r="D21" s="318"/>
      <c r="E21" s="317"/>
      <c r="F21" s="317"/>
      <c r="G21" s="350"/>
      <c r="H21" s="318"/>
      <c r="J21" s="215" t="s">
        <v>989</v>
      </c>
      <c r="L21" s="215">
        <v>228983.83199999999</v>
      </c>
    </row>
    <row r="22" spans="1:14" ht="18">
      <c r="A22" s="2"/>
      <c r="B22" s="1"/>
      <c r="C22" s="325"/>
      <c r="D22" s="307"/>
      <c r="E22" s="317"/>
      <c r="F22" s="317"/>
      <c r="G22" s="350">
        <f>+E22</f>
        <v>0</v>
      </c>
      <c r="H22" s="354"/>
      <c r="J22" s="215" t="s">
        <v>990</v>
      </c>
      <c r="L22" s="215" t="s">
        <v>996</v>
      </c>
      <c r="M22" s="215" t="s">
        <v>997</v>
      </c>
      <c r="N22" s="215" t="s">
        <v>998</v>
      </c>
    </row>
    <row r="23" spans="1:14">
      <c r="A23" s="2"/>
      <c r="B23" s="324" t="s">
        <v>937</v>
      </c>
      <c r="C23" s="317"/>
      <c r="D23" s="318"/>
      <c r="E23" s="328">
        <f>+E19+E22</f>
        <v>8165446</v>
      </c>
      <c r="F23" s="328"/>
      <c r="G23" s="352"/>
      <c r="H23" s="337"/>
      <c r="J23" s="215" t="s">
        <v>991</v>
      </c>
      <c r="L23" s="215">
        <f>L21/4</f>
        <v>57245.957999999999</v>
      </c>
      <c r="M23" s="215">
        <v>55338</v>
      </c>
      <c r="N23" s="215">
        <f>L23-M23</f>
        <v>1907.9579999999987</v>
      </c>
    </row>
    <row r="24" spans="1:14">
      <c r="A24" s="2"/>
      <c r="B24" s="1"/>
      <c r="C24" s="317"/>
      <c r="D24" s="318"/>
      <c r="E24" s="317"/>
      <c r="F24" s="317"/>
      <c r="G24" s="350"/>
      <c r="H24" s="318"/>
      <c r="J24" s="215" t="s">
        <v>992</v>
      </c>
      <c r="L24" s="215">
        <f>L23</f>
        <v>57245.957999999999</v>
      </c>
      <c r="M24" s="215">
        <v>47705</v>
      </c>
      <c r="N24" s="215">
        <f>L24-M24</f>
        <v>9540.9579999999987</v>
      </c>
    </row>
    <row r="25" spans="1:14">
      <c r="A25" s="2"/>
      <c r="B25" s="1" t="s">
        <v>940</v>
      </c>
      <c r="C25" s="317">
        <v>0</v>
      </c>
      <c r="D25" s="318"/>
      <c r="E25" s="317"/>
      <c r="F25" s="317"/>
      <c r="G25" s="350"/>
      <c r="H25" s="318"/>
      <c r="J25" s="215" t="s">
        <v>993</v>
      </c>
      <c r="L25" s="215">
        <f>L24</f>
        <v>57245.957999999999</v>
      </c>
      <c r="M25" s="331">
        <f>L25+N24+N23</f>
        <v>68694.873999999996</v>
      </c>
      <c r="N25" s="215">
        <f>L25-M25</f>
        <v>-11448.915999999997</v>
      </c>
    </row>
    <row r="26" spans="1:14">
      <c r="A26" s="2"/>
      <c r="B26" s="1" t="s">
        <v>127</v>
      </c>
      <c r="C26" s="317">
        <f>Notes!C319+Notes!C382</f>
        <v>730309</v>
      </c>
      <c r="D26" s="318"/>
      <c r="E26" s="317"/>
      <c r="F26" s="317"/>
      <c r="G26" s="350"/>
      <c r="H26" s="318"/>
      <c r="I26" s="215" t="s">
        <v>1101</v>
      </c>
      <c r="J26" s="215" t="s">
        <v>994</v>
      </c>
      <c r="L26" s="215">
        <f>L25</f>
        <v>57245.957999999999</v>
      </c>
      <c r="M26" s="215">
        <f>L26</f>
        <v>57245.957999999999</v>
      </c>
      <c r="N26" s="215">
        <f>L26-M26</f>
        <v>0</v>
      </c>
    </row>
    <row r="27" spans="1:14">
      <c r="A27" s="2"/>
      <c r="B27" s="1" t="s">
        <v>941</v>
      </c>
      <c r="C27" s="317">
        <f>Notes!C320+Notes!C383</f>
        <v>1662078</v>
      </c>
      <c r="D27" s="318">
        <f>SUM(C25:C27)</f>
        <v>2392387</v>
      </c>
      <c r="E27" s="317">
        <f>ROUND(D27*J15%,0)</f>
        <v>547857</v>
      </c>
      <c r="F27" s="317">
        <f>'Deferred tax 21-22'!E27</f>
        <v>409978</v>
      </c>
      <c r="G27" s="350">
        <f>+E27-F27</f>
        <v>137879</v>
      </c>
      <c r="H27" s="318"/>
      <c r="I27" s="215">
        <f>+'Deferred tax 18-19'!E27</f>
        <v>53538</v>
      </c>
      <c r="L27" s="215">
        <f>SUM(L23:L26)</f>
        <v>228983.83199999999</v>
      </c>
      <c r="M27" s="215">
        <f>SUM(M23:M26)</f>
        <v>228983.83199999999</v>
      </c>
      <c r="N27" s="215">
        <f>SUM(N23:N26)</f>
        <v>0</v>
      </c>
    </row>
    <row r="28" spans="1:14">
      <c r="A28" s="2"/>
      <c r="B28" s="1"/>
      <c r="C28" s="317"/>
      <c r="D28" s="318"/>
      <c r="E28" s="317"/>
      <c r="F28" s="317"/>
      <c r="G28" s="350"/>
      <c r="H28" s="318"/>
    </row>
    <row r="29" spans="1:14">
      <c r="A29" s="323">
        <v>3</v>
      </c>
      <c r="B29" s="324" t="s">
        <v>932</v>
      </c>
      <c r="C29" s="317"/>
      <c r="D29" s="318"/>
      <c r="E29" s="317"/>
      <c r="F29" s="317"/>
      <c r="G29" s="350"/>
      <c r="H29" s="318"/>
    </row>
    <row r="30" spans="1:14">
      <c r="A30" s="323"/>
      <c r="B30" s="324"/>
      <c r="C30" s="317"/>
      <c r="D30" s="318"/>
      <c r="E30" s="317"/>
      <c r="F30" s="317"/>
      <c r="G30" s="350"/>
      <c r="H30" s="318"/>
    </row>
    <row r="31" spans="1:14">
      <c r="A31" s="323"/>
      <c r="B31" s="6" t="s">
        <v>57</v>
      </c>
      <c r="C31" s="317"/>
      <c r="D31" s="318"/>
      <c r="E31" s="317"/>
      <c r="F31" s="317"/>
      <c r="G31" s="350"/>
      <c r="H31" s="318"/>
      <c r="J31" s="215" t="s">
        <v>989</v>
      </c>
      <c r="L31" s="215">
        <v>209104</v>
      </c>
    </row>
    <row r="32" spans="1:14">
      <c r="A32" s="323"/>
      <c r="B32" s="1" t="s">
        <v>942</v>
      </c>
      <c r="C32" s="317">
        <v>138359</v>
      </c>
      <c r="D32" s="318"/>
      <c r="E32" s="317"/>
      <c r="F32" s="317"/>
      <c r="G32" s="350"/>
      <c r="H32" s="318"/>
    </row>
    <row r="33" spans="1:16">
      <c r="A33" s="323"/>
      <c r="B33" s="1" t="s">
        <v>943</v>
      </c>
      <c r="C33" s="317">
        <v>482066</v>
      </c>
      <c r="D33" s="318"/>
      <c r="E33" s="317"/>
      <c r="F33" s="317"/>
      <c r="G33" s="350"/>
      <c r="H33" s="318"/>
    </row>
    <row r="34" spans="1:16">
      <c r="A34" s="323"/>
      <c r="B34" s="1" t="s">
        <v>944</v>
      </c>
      <c r="C34" s="317">
        <v>470795</v>
      </c>
      <c r="D34" s="318"/>
      <c r="E34" s="317"/>
      <c r="F34" s="317"/>
      <c r="G34" s="350"/>
      <c r="H34" s="318"/>
    </row>
    <row r="35" spans="1:16">
      <c r="A35" s="323"/>
      <c r="B35" s="1" t="s">
        <v>1103</v>
      </c>
      <c r="C35" s="325">
        <v>403432</v>
      </c>
      <c r="D35" s="318"/>
      <c r="E35" s="317"/>
      <c r="F35" s="317"/>
      <c r="G35" s="350"/>
      <c r="H35" s="318"/>
      <c r="J35" s="215" t="s">
        <v>1104</v>
      </c>
    </row>
    <row r="36" spans="1:16">
      <c r="A36" s="323"/>
      <c r="B36" s="1" t="s">
        <v>1105</v>
      </c>
      <c r="C36" s="317">
        <f>+'Dep as per IT'!K27</f>
        <v>392034</v>
      </c>
      <c r="D36" s="318"/>
      <c r="E36" s="317"/>
      <c r="F36" s="317"/>
      <c r="G36" s="350"/>
      <c r="H36" s="318"/>
    </row>
    <row r="37" spans="1:16">
      <c r="A37" s="323"/>
      <c r="B37" s="1" t="s">
        <v>1199</v>
      </c>
      <c r="C37" s="317">
        <f>'Dep as per IT'!K38</f>
        <v>1111755</v>
      </c>
      <c r="D37" s="318"/>
      <c r="E37" s="317"/>
      <c r="F37" s="317"/>
      <c r="G37" s="350"/>
      <c r="H37" s="318"/>
    </row>
    <row r="38" spans="1:16">
      <c r="A38" s="323"/>
      <c r="B38" s="1" t="s">
        <v>1500</v>
      </c>
      <c r="C38" s="317">
        <f>'Dep as per IT'!K49</f>
        <v>3247855</v>
      </c>
      <c r="D38" s="318"/>
      <c r="E38" s="317"/>
      <c r="F38" s="317"/>
      <c r="G38" s="350"/>
      <c r="H38" s="318"/>
    </row>
    <row r="39" spans="1:16">
      <c r="A39" s="323"/>
      <c r="B39" s="1" t="s">
        <v>1681</v>
      </c>
      <c r="C39" s="317">
        <f>'Dep as per IT'!K60</f>
        <v>4365955</v>
      </c>
      <c r="D39" s="318"/>
      <c r="E39" s="317"/>
      <c r="F39" s="317"/>
      <c r="G39" s="350"/>
      <c r="H39" s="318"/>
    </row>
    <row r="40" spans="1:16">
      <c r="A40" s="323"/>
      <c r="B40" s="1"/>
      <c r="C40" s="317"/>
      <c r="D40" s="318"/>
      <c r="E40" s="317"/>
      <c r="F40" s="317"/>
      <c r="G40" s="350"/>
      <c r="H40" s="318"/>
    </row>
    <row r="41" spans="1:16">
      <c r="A41" s="323"/>
      <c r="B41" s="1"/>
      <c r="C41" s="328">
        <f>SUM(C32:C40)</f>
        <v>10612251</v>
      </c>
      <c r="D41" s="318"/>
      <c r="E41" s="317"/>
      <c r="F41" s="317"/>
      <c r="G41" s="350"/>
      <c r="H41" s="318"/>
      <c r="J41" s="215" t="s">
        <v>1106</v>
      </c>
      <c r="K41" s="215">
        <v>0</v>
      </c>
    </row>
    <row r="42" spans="1:16">
      <c r="A42" s="323"/>
      <c r="B42" s="6" t="s">
        <v>945</v>
      </c>
      <c r="C42" s="317"/>
      <c r="D42" s="318"/>
      <c r="E42" s="317"/>
      <c r="F42" s="317"/>
      <c r="G42" s="350"/>
      <c r="H42" s="318"/>
      <c r="J42" s="215" t="s">
        <v>991</v>
      </c>
      <c r="K42" s="215">
        <v>4488703</v>
      </c>
    </row>
    <row r="43" spans="1:16">
      <c r="A43" s="323"/>
      <c r="B43" s="1" t="s">
        <v>946</v>
      </c>
      <c r="C43" s="317">
        <f>4118444</f>
        <v>4118444</v>
      </c>
      <c r="D43" s="318"/>
      <c r="E43" s="317"/>
      <c r="F43" s="317"/>
      <c r="G43" s="350"/>
      <c r="H43" s="318"/>
      <c r="J43" s="215" t="s">
        <v>992</v>
      </c>
      <c r="K43" s="215">
        <v>7881410</v>
      </c>
    </row>
    <row r="44" spans="1:16">
      <c r="A44" s="323"/>
      <c r="B44" s="1" t="s">
        <v>947</v>
      </c>
      <c r="C44" s="317">
        <f>10586171</f>
        <v>10586171</v>
      </c>
      <c r="D44" s="318"/>
      <c r="E44" s="317"/>
      <c r="F44" s="317"/>
      <c r="G44" s="350"/>
      <c r="H44" s="318"/>
      <c r="J44" s="215" t="s">
        <v>993</v>
      </c>
      <c r="K44" s="215">
        <v>-4488703</v>
      </c>
    </row>
    <row r="45" spans="1:16">
      <c r="A45" s="323"/>
      <c r="B45" s="1" t="s">
        <v>948</v>
      </c>
      <c r="C45" s="317">
        <v>15265437</v>
      </c>
      <c r="D45" s="318"/>
      <c r="E45" s="317"/>
      <c r="F45" s="317"/>
      <c r="G45" s="350"/>
      <c r="H45" s="318"/>
      <c r="J45" s="215" t="s">
        <v>994</v>
      </c>
    </row>
    <row r="46" spans="1:16">
      <c r="A46" s="323"/>
      <c r="B46" s="1" t="s">
        <v>1107</v>
      </c>
      <c r="C46" s="317">
        <v>17121449</v>
      </c>
      <c r="D46" s="318"/>
      <c r="E46" s="317"/>
      <c r="F46" s="317"/>
      <c r="G46" s="350"/>
      <c r="H46" s="318"/>
      <c r="K46" s="333">
        <f>SUM(K41:K45)</f>
        <v>7881410</v>
      </c>
      <c r="M46" s="333"/>
      <c r="P46" s="215">
        <v>17121449</v>
      </c>
    </row>
    <row r="47" spans="1:16">
      <c r="A47" s="323"/>
      <c r="B47" s="1" t="s">
        <v>1108</v>
      </c>
      <c r="C47" s="317">
        <v>27614014</v>
      </c>
      <c r="D47" s="318"/>
      <c r="E47" s="317"/>
      <c r="F47" s="317"/>
      <c r="G47" s="350"/>
      <c r="H47" s="318"/>
      <c r="K47" s="333"/>
      <c r="M47" s="333"/>
    </row>
    <row r="48" spans="1:16">
      <c r="A48" s="323"/>
      <c r="B48" s="1" t="s">
        <v>1200</v>
      </c>
      <c r="C48" s="317">
        <v>30606878</v>
      </c>
      <c r="D48" s="318"/>
      <c r="E48" s="317"/>
      <c r="F48" s="317"/>
      <c r="G48" s="350"/>
      <c r="H48" s="318"/>
      <c r="K48" s="333"/>
      <c r="M48" s="333"/>
    </row>
    <row r="49" spans="1:16">
      <c r="A49" s="323"/>
      <c r="B49" s="1" t="s">
        <v>1499</v>
      </c>
      <c r="C49" s="317">
        <f>-PL!E36</f>
        <v>60117060</v>
      </c>
      <c r="D49" s="318"/>
      <c r="E49" s="317"/>
      <c r="F49" s="317"/>
      <c r="G49" s="350"/>
      <c r="H49" s="318"/>
      <c r="K49" s="333"/>
      <c r="M49" s="333"/>
    </row>
    <row r="50" spans="1:16">
      <c r="A50" s="323"/>
      <c r="B50" s="1" t="s">
        <v>1682</v>
      </c>
      <c r="C50" s="317">
        <f>-PL!D36</f>
        <v>70151405</v>
      </c>
      <c r="D50" s="318"/>
      <c r="E50" s="317"/>
      <c r="F50" s="317"/>
      <c r="G50" s="350"/>
      <c r="H50" s="318"/>
      <c r="K50" s="333"/>
      <c r="M50" s="333"/>
    </row>
    <row r="51" spans="1:16">
      <c r="A51" s="323"/>
      <c r="B51" s="1"/>
      <c r="C51" s="317"/>
      <c r="D51" s="318"/>
      <c r="E51" s="317"/>
      <c r="F51" s="317"/>
      <c r="G51" s="350"/>
      <c r="H51" s="318"/>
      <c r="K51" s="333"/>
      <c r="M51" s="333"/>
    </row>
    <row r="52" spans="1:16">
      <c r="A52" s="323"/>
      <c r="B52" s="1"/>
      <c r="C52" s="328">
        <f>SUM(C43:C51)</f>
        <v>235580858</v>
      </c>
      <c r="D52" s="318">
        <f>+C41+C52</f>
        <v>246193109</v>
      </c>
      <c r="E52" s="317">
        <f>ROUND(D52*J15%,0)</f>
        <v>56378222</v>
      </c>
      <c r="F52" s="317">
        <f>'Deferred tax 21-22'!E50</f>
        <v>39313744</v>
      </c>
      <c r="G52" s="350">
        <f>+E52-F52</f>
        <v>17064478</v>
      </c>
      <c r="H52" s="318"/>
      <c r="J52" s="215" t="s">
        <v>1109</v>
      </c>
      <c r="K52" s="333">
        <f>E52-K46</f>
        <v>48496812</v>
      </c>
      <c r="P52" s="215">
        <v>403432</v>
      </c>
    </row>
    <row r="53" spans="1:16">
      <c r="A53" s="2"/>
      <c r="B53" s="1"/>
      <c r="C53" s="317"/>
      <c r="D53" s="318"/>
      <c r="E53" s="317"/>
      <c r="F53" s="317"/>
      <c r="G53" s="350"/>
      <c r="H53" s="318"/>
      <c r="P53" s="215">
        <f>+P46+P52</f>
        <v>17524881</v>
      </c>
    </row>
    <row r="54" spans="1:16">
      <c r="A54" s="2"/>
      <c r="B54" s="1"/>
      <c r="C54" s="317"/>
      <c r="D54" s="318"/>
      <c r="E54" s="317"/>
      <c r="F54" s="317"/>
      <c r="G54" s="350"/>
      <c r="H54" s="318"/>
    </row>
    <row r="55" spans="1:16">
      <c r="A55" s="2"/>
      <c r="B55" s="1"/>
      <c r="C55" s="317"/>
      <c r="D55" s="318"/>
      <c r="E55" s="317"/>
      <c r="F55" s="317"/>
      <c r="G55" s="350"/>
      <c r="H55" s="318"/>
    </row>
    <row r="56" spans="1:16">
      <c r="A56" s="2"/>
      <c r="B56" s="1" t="s">
        <v>984</v>
      </c>
      <c r="C56" s="317"/>
      <c r="D56" s="318"/>
      <c r="E56" s="317"/>
      <c r="F56" s="317"/>
      <c r="G56" s="350"/>
      <c r="H56" s="318"/>
      <c r="M56" s="333"/>
    </row>
    <row r="57" spans="1:16">
      <c r="A57" s="2"/>
      <c r="B57" s="1"/>
      <c r="C57" s="317"/>
      <c r="D57" s="318"/>
      <c r="E57" s="317"/>
      <c r="F57" s="317"/>
      <c r="G57" s="350"/>
      <c r="H57" s="318"/>
    </row>
    <row r="58" spans="1:16">
      <c r="A58" s="2"/>
      <c r="B58" s="312" t="s">
        <v>949</v>
      </c>
      <c r="C58" s="335"/>
      <c r="D58" s="336"/>
      <c r="E58" s="315">
        <f>+E16+E23+E27+E52+E56</f>
        <v>64624482</v>
      </c>
      <c r="F58" s="328"/>
      <c r="G58" s="352"/>
      <c r="H58" s="337"/>
      <c r="I58" s="333">
        <f>+K52+E27+E22+E16+I16+I27</f>
        <v>48631164</v>
      </c>
    </row>
    <row r="59" spans="1:16">
      <c r="A59" s="2"/>
      <c r="B59" s="1"/>
      <c r="C59" s="317"/>
      <c r="D59" s="318"/>
      <c r="E59" s="317"/>
      <c r="F59" s="317"/>
      <c r="G59" s="350"/>
      <c r="H59" s="318"/>
    </row>
    <row r="60" spans="1:16">
      <c r="A60" s="2"/>
      <c r="B60" s="1"/>
      <c r="C60" s="317"/>
      <c r="D60" s="318"/>
      <c r="E60" s="317"/>
      <c r="F60" s="317"/>
      <c r="G60" s="350"/>
      <c r="H60" s="318"/>
    </row>
    <row r="61" spans="1:16">
      <c r="A61" s="2"/>
      <c r="B61" s="1" t="s">
        <v>1201</v>
      </c>
      <c r="C61" s="317"/>
      <c r="D61" s="318"/>
      <c r="E61" s="317">
        <f>E19</f>
        <v>8165446</v>
      </c>
      <c r="F61" s="317"/>
      <c r="G61" s="350"/>
      <c r="H61" s="318"/>
    </row>
    <row r="62" spans="1:16">
      <c r="A62" s="2"/>
      <c r="B62" s="1" t="s">
        <v>57</v>
      </c>
      <c r="C62" s="317"/>
      <c r="D62" s="318"/>
      <c r="E62" s="317"/>
      <c r="F62" s="317"/>
      <c r="G62" s="350"/>
      <c r="H62" s="318"/>
    </row>
    <row r="63" spans="1:16">
      <c r="A63" s="2"/>
      <c r="B63" s="6" t="s">
        <v>950</v>
      </c>
      <c r="C63" s="317"/>
      <c r="D63" s="318"/>
      <c r="E63" s="317"/>
      <c r="F63" s="317"/>
      <c r="G63" s="350"/>
      <c r="H63" s="318"/>
    </row>
    <row r="64" spans="1:16">
      <c r="A64" s="2"/>
      <c r="B64" s="1" t="s">
        <v>951</v>
      </c>
      <c r="C64" s="317"/>
      <c r="D64" s="318"/>
      <c r="E64" s="317"/>
      <c r="F64" s="317"/>
      <c r="G64" s="350"/>
      <c r="H64" s="318"/>
    </row>
    <row r="65" spans="1:8">
      <c r="A65" s="2"/>
      <c r="B65" s="1"/>
      <c r="C65" s="317"/>
      <c r="D65" s="318"/>
      <c r="E65" s="317"/>
      <c r="F65" s="317"/>
      <c r="G65" s="350"/>
      <c r="H65" s="318"/>
    </row>
    <row r="66" spans="1:8">
      <c r="A66" s="2"/>
      <c r="B66" s="1" t="s">
        <v>984</v>
      </c>
      <c r="C66" s="317"/>
      <c r="D66" s="318"/>
      <c r="E66" s="317"/>
      <c r="F66" s="317"/>
      <c r="G66" s="350"/>
      <c r="H66" s="318"/>
    </row>
    <row r="67" spans="1:8">
      <c r="A67" s="2"/>
      <c r="B67" s="1"/>
      <c r="C67" s="317"/>
      <c r="D67" s="318"/>
      <c r="E67" s="317"/>
      <c r="F67" s="317"/>
      <c r="G67" s="350"/>
      <c r="H67" s="318"/>
    </row>
    <row r="68" spans="1:8">
      <c r="A68" s="2"/>
      <c r="B68" s="6" t="s">
        <v>952</v>
      </c>
      <c r="C68" s="317"/>
      <c r="D68" s="318"/>
      <c r="E68" s="317"/>
      <c r="F68" s="317"/>
      <c r="G68" s="350"/>
      <c r="H68" s="318"/>
    </row>
    <row r="69" spans="1:8">
      <c r="A69" s="2"/>
      <c r="B69" s="1" t="s">
        <v>953</v>
      </c>
      <c r="C69" s="317"/>
      <c r="D69" s="318"/>
      <c r="E69" s="317">
        <f>E22*0</f>
        <v>0</v>
      </c>
      <c r="F69" s="317"/>
      <c r="G69" s="350"/>
      <c r="H69" s="318"/>
    </row>
    <row r="70" spans="1:8">
      <c r="A70" s="2"/>
      <c r="B70" s="1"/>
      <c r="C70" s="317"/>
      <c r="D70" s="318"/>
      <c r="E70" s="317"/>
      <c r="F70" s="317"/>
      <c r="G70" s="350"/>
      <c r="H70" s="318"/>
    </row>
    <row r="71" spans="1:8" ht="16" thickBot="1">
      <c r="A71" s="2"/>
      <c r="B71" s="6" t="s">
        <v>987</v>
      </c>
      <c r="C71" s="328"/>
      <c r="D71" s="337"/>
      <c r="E71" s="327">
        <f>SUM(E61:E70)</f>
        <v>8165446</v>
      </c>
      <c r="F71" s="328"/>
      <c r="G71" s="352"/>
      <c r="H71" s="337"/>
    </row>
    <row r="72" spans="1:8" ht="16" thickTop="1">
      <c r="A72" s="2"/>
      <c r="B72" s="1"/>
      <c r="C72" s="317"/>
      <c r="D72" s="318"/>
      <c r="E72" s="317"/>
      <c r="F72" s="317"/>
      <c r="G72" s="350"/>
      <c r="H72" s="318"/>
    </row>
    <row r="73" spans="1:8" s="338" customFormat="1">
      <c r="A73" s="4"/>
      <c r="B73" s="6" t="s">
        <v>986</v>
      </c>
      <c r="C73" s="328"/>
      <c r="D73" s="337"/>
      <c r="E73" s="328">
        <f>E71-E61</f>
        <v>0</v>
      </c>
      <c r="F73" s="328"/>
      <c r="G73" s="352"/>
      <c r="H73" s="337"/>
    </row>
    <row r="74" spans="1:8">
      <c r="A74" s="339"/>
      <c r="B74" s="340"/>
      <c r="C74" s="341"/>
      <c r="D74" s="342"/>
      <c r="E74" s="341"/>
      <c r="F74" s="341"/>
      <c r="G74" s="353"/>
      <c r="H74" s="344"/>
    </row>
    <row r="75" spans="1:8">
      <c r="A75" s="343"/>
      <c r="B75" s="1"/>
      <c r="C75" s="344"/>
      <c r="D75" s="344"/>
      <c r="E75" s="344"/>
      <c r="F75" s="344"/>
      <c r="G75" s="344"/>
      <c r="H75" s="344"/>
    </row>
    <row r="76" spans="1:8">
      <c r="A76" s="1"/>
      <c r="B76" s="1"/>
      <c r="C76" s="306"/>
      <c r="D76" s="306"/>
      <c r="E76" s="306"/>
      <c r="F76" s="306"/>
      <c r="G76" s="306"/>
      <c r="H76" s="306"/>
    </row>
    <row r="77" spans="1:8">
      <c r="A77" s="1"/>
      <c r="B77" s="6" t="s">
        <v>0</v>
      </c>
      <c r="C77" s="306"/>
      <c r="D77" s="345" t="s">
        <v>954</v>
      </c>
      <c r="E77" s="345" t="s">
        <v>955</v>
      </c>
      <c r="F77" s="345" t="s">
        <v>956</v>
      </c>
      <c r="G77" s="345" t="s">
        <v>1110</v>
      </c>
      <c r="H77" s="345"/>
    </row>
    <row r="78" spans="1:8">
      <c r="A78" s="1"/>
      <c r="B78" s="1"/>
      <c r="C78" s="306"/>
      <c r="D78" s="306"/>
      <c r="E78" s="306"/>
      <c r="F78" s="306"/>
      <c r="H78" s="306"/>
    </row>
    <row r="79" spans="1:8">
      <c r="A79" s="1"/>
      <c r="B79" s="1" t="s">
        <v>957</v>
      </c>
      <c r="C79" s="306"/>
      <c r="D79" s="306">
        <f>C32+C43</f>
        <v>4256803</v>
      </c>
      <c r="E79" s="306">
        <v>11068237</v>
      </c>
      <c r="F79" s="306">
        <v>15736232</v>
      </c>
      <c r="G79" s="333">
        <f>+C35+C46</f>
        <v>17524881</v>
      </c>
      <c r="H79" s="306"/>
    </row>
    <row r="80" spans="1:8">
      <c r="A80" s="1"/>
      <c r="B80" s="1"/>
      <c r="C80" s="306"/>
      <c r="D80" s="306"/>
      <c r="E80" s="306"/>
      <c r="F80" s="306"/>
      <c r="H80" s="306"/>
    </row>
    <row r="81" spans="1:11">
      <c r="A81" s="1"/>
      <c r="B81" s="1" t="s">
        <v>958</v>
      </c>
      <c r="C81" s="306"/>
      <c r="D81" s="307">
        <f>+C32</f>
        <v>138359</v>
      </c>
      <c r="E81" s="307">
        <f>+C33</f>
        <v>482066</v>
      </c>
      <c r="F81" s="307">
        <v>470795</v>
      </c>
      <c r="G81" s="346">
        <f>+C35</f>
        <v>403432</v>
      </c>
      <c r="H81" s="307"/>
      <c r="K81" s="333"/>
    </row>
    <row r="82" spans="1:11">
      <c r="A82" s="1"/>
      <c r="B82" s="1" t="s">
        <v>959</v>
      </c>
      <c r="C82" s="306"/>
      <c r="D82" s="306">
        <f>+D79-D81</f>
        <v>4118444</v>
      </c>
      <c r="E82" s="306">
        <f>+E79-E81</f>
        <v>10586171</v>
      </c>
      <c r="F82" s="306">
        <f>+F79-F81</f>
        <v>15265437</v>
      </c>
      <c r="G82" s="306">
        <f>+G79-G81</f>
        <v>17121449</v>
      </c>
      <c r="H82" s="306"/>
    </row>
    <row r="83" spans="1:11">
      <c r="A83" s="1"/>
      <c r="B83" s="1"/>
      <c r="C83" s="306"/>
      <c r="D83" s="306"/>
      <c r="E83" s="306"/>
      <c r="F83" s="306"/>
      <c r="G83" s="306"/>
      <c r="H83" s="306"/>
    </row>
    <row r="84" spans="1:11">
      <c r="A84" s="1"/>
      <c r="B84" s="1"/>
      <c r="C84" s="306"/>
      <c r="D84" s="306"/>
      <c r="E84" s="306"/>
      <c r="F84" s="306"/>
      <c r="G84" s="306"/>
      <c r="H84" s="306"/>
    </row>
    <row r="85" spans="1:11">
      <c r="A85" s="1"/>
      <c r="B85" s="1"/>
      <c r="C85" s="306"/>
      <c r="D85" s="306"/>
      <c r="E85" s="306"/>
      <c r="F85" s="306"/>
      <c r="G85" s="306"/>
      <c r="H85" s="306"/>
    </row>
    <row r="86" spans="1:11">
      <c r="A86" s="1"/>
      <c r="B86" s="1"/>
      <c r="C86" s="306"/>
      <c r="D86" s="306"/>
      <c r="E86" s="306"/>
      <c r="F86" s="306"/>
      <c r="G86" s="306"/>
      <c r="H86" s="306"/>
    </row>
    <row r="87" spans="1:11">
      <c r="A87" s="1"/>
      <c r="B87" s="1"/>
      <c r="C87" s="306"/>
      <c r="D87" s="306"/>
      <c r="E87" s="306"/>
      <c r="F87" s="306"/>
      <c r="G87" s="306"/>
      <c r="H87" s="306"/>
    </row>
  </sheetData>
  <mergeCells count="2">
    <mergeCell ref="A1:E1"/>
    <mergeCell ref="A2:E2"/>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4092D-CACC-4DA2-A34D-70540A0CBFB7}">
  <dimension ref="A1:P85"/>
  <sheetViews>
    <sheetView showGridLines="0" topLeftCell="A5" zoomScale="115" zoomScaleNormal="115" workbookViewId="0">
      <selection activeCell="B25" sqref="B25"/>
    </sheetView>
  </sheetViews>
  <sheetFormatPr baseColWidth="10" defaultColWidth="9.1640625" defaultRowHeight="15"/>
  <cols>
    <col min="1" max="1" width="7.5" style="215" customWidth="1"/>
    <col min="2" max="2" width="57.1640625" style="215" bestFit="1" customWidth="1"/>
    <col min="3" max="4" width="15.33203125" style="215" bestFit="1" customWidth="1"/>
    <col min="5" max="5" width="15" style="215" bestFit="1" customWidth="1"/>
    <col min="6" max="6" width="15.6640625" style="215" customWidth="1"/>
    <col min="7" max="8" width="15" style="215" customWidth="1"/>
    <col min="9" max="9" width="12.83203125" style="215" bestFit="1" customWidth="1"/>
    <col min="10" max="10" width="27.5" style="215" customWidth="1"/>
    <col min="11" max="11" width="12.83203125" style="215" bestFit="1" customWidth="1"/>
    <col min="12" max="12" width="9.1640625" style="215"/>
    <col min="13" max="13" width="12.1640625" style="215" bestFit="1" customWidth="1"/>
    <col min="14" max="16384" width="9.1640625" style="215"/>
  </cols>
  <sheetData>
    <row r="1" spans="1:12">
      <c r="A1" s="1158" t="s">
        <v>927</v>
      </c>
      <c r="B1" s="1158"/>
      <c r="C1" s="1158"/>
      <c r="D1" s="1158"/>
      <c r="E1" s="1158"/>
      <c r="F1" s="312"/>
      <c r="G1" s="312"/>
      <c r="H1" s="312"/>
      <c r="J1" s="215" t="s">
        <v>1093</v>
      </c>
    </row>
    <row r="2" spans="1:12">
      <c r="A2" s="1158" t="s">
        <v>1493</v>
      </c>
      <c r="B2" s="1158"/>
      <c r="C2" s="1158"/>
      <c r="D2" s="1158"/>
      <c r="E2" s="1158"/>
      <c r="F2" s="312"/>
      <c r="G2" s="312"/>
      <c r="H2" s="312"/>
      <c r="J2" s="347" t="s">
        <v>1095</v>
      </c>
      <c r="K2" s="215">
        <v>22</v>
      </c>
    </row>
    <row r="3" spans="1:12">
      <c r="A3" s="1"/>
      <c r="B3" s="1"/>
      <c r="C3" s="306"/>
      <c r="D3" s="306"/>
      <c r="E3" s="306"/>
      <c r="F3" s="306"/>
      <c r="G3" s="306"/>
      <c r="H3" s="306"/>
      <c r="J3" s="347" t="s">
        <v>1096</v>
      </c>
      <c r="K3" s="215">
        <v>0</v>
      </c>
    </row>
    <row r="4" spans="1:12" ht="48">
      <c r="A4" s="313" t="s">
        <v>928</v>
      </c>
      <c r="B4" s="314" t="s">
        <v>0</v>
      </c>
      <c r="C4" s="315" t="s">
        <v>929</v>
      </c>
      <c r="D4" s="316" t="s">
        <v>929</v>
      </c>
      <c r="E4" s="315" t="s">
        <v>1118</v>
      </c>
      <c r="F4" s="348" t="s">
        <v>1497</v>
      </c>
      <c r="G4" s="348" t="s">
        <v>1098</v>
      </c>
      <c r="H4" s="337"/>
      <c r="J4" s="349" t="s">
        <v>1099</v>
      </c>
      <c r="K4" s="215">
        <f>(K2+K3)*0.04</f>
        <v>0.88</v>
      </c>
    </row>
    <row r="5" spans="1:12">
      <c r="A5" s="2"/>
      <c r="B5" s="1"/>
      <c r="C5" s="317"/>
      <c r="D5" s="318"/>
      <c r="E5" s="317"/>
      <c r="F5" s="317"/>
      <c r="G5" s="350"/>
      <c r="H5" s="318"/>
      <c r="J5" s="347" t="s">
        <v>1100</v>
      </c>
      <c r="K5" s="215">
        <f>+K2+K3+K4</f>
        <v>22.88</v>
      </c>
    </row>
    <row r="6" spans="1:12" ht="16">
      <c r="A6" s="319"/>
      <c r="B6" s="320" t="s">
        <v>931</v>
      </c>
      <c r="C6" s="321"/>
      <c r="D6" s="322"/>
      <c r="E6" s="321"/>
      <c r="F6" s="321"/>
      <c r="G6" s="351"/>
      <c r="H6" s="322"/>
    </row>
    <row r="7" spans="1:12">
      <c r="A7" s="2"/>
      <c r="B7" s="1"/>
      <c r="C7" s="317"/>
      <c r="D7" s="318"/>
      <c r="E7" s="317"/>
      <c r="F7" s="317"/>
      <c r="G7" s="350"/>
      <c r="H7" s="318"/>
    </row>
    <row r="8" spans="1:12">
      <c r="A8" s="323">
        <v>1</v>
      </c>
      <c r="B8" s="324" t="s">
        <v>932</v>
      </c>
      <c r="C8" s="317"/>
      <c r="D8" s="318"/>
      <c r="E8" s="317"/>
      <c r="F8" s="317"/>
      <c r="G8" s="350"/>
      <c r="H8" s="318"/>
      <c r="J8" s="215">
        <f>+L4+K4</f>
        <v>0.88</v>
      </c>
    </row>
    <row r="9" spans="1:12">
      <c r="A9" s="2"/>
      <c r="B9" s="1" t="s">
        <v>1494</v>
      </c>
      <c r="C9" s="317"/>
      <c r="D9" s="318"/>
      <c r="E9" s="317"/>
      <c r="F9" s="317"/>
      <c r="G9" s="350"/>
      <c r="H9" s="318"/>
      <c r="I9" s="333"/>
    </row>
    <row r="10" spans="1:12">
      <c r="A10" s="2"/>
      <c r="B10" s="1" t="s">
        <v>933</v>
      </c>
      <c r="C10" s="317">
        <f>'Dep as per IT'!O49</f>
        <v>16867176</v>
      </c>
      <c r="D10" s="318"/>
      <c r="E10" s="317"/>
      <c r="F10" s="317"/>
      <c r="G10" s="350"/>
      <c r="H10" s="318"/>
      <c r="I10" s="333"/>
      <c r="L10" s="215">
        <v>392034</v>
      </c>
    </row>
    <row r="11" spans="1:12" ht="18">
      <c r="A11" s="2"/>
      <c r="B11" s="1"/>
      <c r="C11" s="317"/>
      <c r="D11" s="318"/>
      <c r="E11" s="317"/>
      <c r="F11" s="317"/>
      <c r="G11" s="350"/>
      <c r="H11" s="354" t="s">
        <v>1501</v>
      </c>
    </row>
    <row r="12" spans="1:12">
      <c r="A12" s="2"/>
      <c r="B12" s="6" t="s">
        <v>934</v>
      </c>
      <c r="C12" s="317"/>
      <c r="D12" s="318"/>
      <c r="E12" s="317"/>
      <c r="F12" s="317"/>
      <c r="G12" s="350"/>
      <c r="H12" s="318"/>
    </row>
    <row r="13" spans="1:12">
      <c r="A13" s="2"/>
      <c r="B13" s="1" t="s">
        <v>1494</v>
      </c>
      <c r="C13" s="317"/>
      <c r="D13" s="318"/>
      <c r="E13" s="317"/>
      <c r="F13" s="317"/>
      <c r="G13" s="350"/>
      <c r="H13" s="318"/>
    </row>
    <row r="14" spans="1:12" ht="18">
      <c r="A14" s="2"/>
      <c r="B14" s="1" t="s">
        <v>935</v>
      </c>
      <c r="C14" s="325">
        <f>BS!D9+BS!D10</f>
        <v>15634555</v>
      </c>
      <c r="D14" s="63">
        <f>C10-C14</f>
        <v>1232621</v>
      </c>
      <c r="E14" s="317">
        <f>ROUND(D14*J15%,0)</f>
        <v>282270</v>
      </c>
      <c r="F14" s="317">
        <f>'Deferred tax 20-21'!F14</f>
        <v>220856</v>
      </c>
      <c r="G14" s="350">
        <f>+(E14-F14)</f>
        <v>61414</v>
      </c>
      <c r="H14" s="354" t="s">
        <v>1498</v>
      </c>
      <c r="L14" s="215">
        <v>586287</v>
      </c>
    </row>
    <row r="15" spans="1:12">
      <c r="A15" s="2"/>
      <c r="B15" s="1" t="s">
        <v>936</v>
      </c>
      <c r="C15" s="317"/>
      <c r="D15" s="318"/>
      <c r="E15" s="317"/>
      <c r="F15" s="317"/>
      <c r="G15" s="350"/>
      <c r="H15" s="318"/>
      <c r="I15" s="215" t="s">
        <v>1101</v>
      </c>
      <c r="J15" s="326">
        <v>22.9</v>
      </c>
    </row>
    <row r="16" spans="1:12" ht="16" thickBot="1">
      <c r="A16" s="2"/>
      <c r="B16" s="1"/>
      <c r="C16" s="317"/>
      <c r="D16" s="318"/>
      <c r="E16" s="327">
        <f>+E14+E15</f>
        <v>282270</v>
      </c>
      <c r="F16" s="328"/>
      <c r="G16" s="352"/>
      <c r="H16" s="337"/>
    </row>
    <row r="17" spans="1:14" ht="16" thickTop="1">
      <c r="A17" s="2"/>
      <c r="B17" s="1"/>
      <c r="C17" s="317"/>
      <c r="D17" s="318"/>
      <c r="E17" s="328"/>
      <c r="F17" s="328"/>
      <c r="G17" s="352"/>
      <c r="H17" s="337"/>
    </row>
    <row r="18" spans="1:14">
      <c r="A18" s="323">
        <v>2</v>
      </c>
      <c r="B18" s="324" t="s">
        <v>937</v>
      </c>
      <c r="C18" s="317"/>
      <c r="D18" s="318"/>
      <c r="E18" s="317"/>
      <c r="F18" s="317"/>
      <c r="G18" s="350"/>
      <c r="H18" s="318"/>
    </row>
    <row r="19" spans="1:14">
      <c r="A19" s="323"/>
      <c r="B19" s="1" t="s">
        <v>938</v>
      </c>
      <c r="C19" s="317"/>
      <c r="D19" s="318"/>
      <c r="E19" s="317">
        <f>Notes!C23</f>
        <v>8165446</v>
      </c>
      <c r="F19" s="317"/>
      <c r="G19" s="350"/>
      <c r="H19" s="318"/>
    </row>
    <row r="20" spans="1:14">
      <c r="A20" s="323"/>
      <c r="B20" s="329" t="s">
        <v>939</v>
      </c>
      <c r="C20" s="317"/>
      <c r="D20" s="318"/>
      <c r="E20" s="317"/>
      <c r="F20" s="317"/>
      <c r="G20" s="350"/>
      <c r="H20" s="318"/>
    </row>
    <row r="21" spans="1:14">
      <c r="A21" s="323"/>
      <c r="B21" s="330" t="s">
        <v>1194</v>
      </c>
      <c r="C21" s="317">
        <f>926310/5</f>
        <v>185262</v>
      </c>
      <c r="D21" s="318"/>
      <c r="E21" s="317"/>
      <c r="F21" s="317"/>
      <c r="G21" s="350"/>
      <c r="H21" s="318"/>
      <c r="J21" s="215" t="s">
        <v>989</v>
      </c>
      <c r="L21" s="215">
        <v>228983.83199999999</v>
      </c>
    </row>
    <row r="22" spans="1:14" ht="18">
      <c r="A22" s="2"/>
      <c r="B22" s="1"/>
      <c r="C22" s="325"/>
      <c r="D22" s="307">
        <f>+SUM(C19:C22)</f>
        <v>185262</v>
      </c>
      <c r="E22" s="317">
        <f>-ROUND(M25,0)</f>
        <v>-68695</v>
      </c>
      <c r="F22" s="317"/>
      <c r="G22" s="350">
        <f>+E22</f>
        <v>-68695</v>
      </c>
      <c r="H22" s="354" t="s">
        <v>1498</v>
      </c>
      <c r="J22" s="215" t="s">
        <v>990</v>
      </c>
      <c r="L22" s="215" t="s">
        <v>996</v>
      </c>
      <c r="M22" s="215" t="s">
        <v>997</v>
      </c>
      <c r="N22" s="215" t="s">
        <v>998</v>
      </c>
    </row>
    <row r="23" spans="1:14">
      <c r="A23" s="2"/>
      <c r="B23" s="324" t="s">
        <v>937</v>
      </c>
      <c r="C23" s="317"/>
      <c r="D23" s="318"/>
      <c r="E23" s="328">
        <f>+E19+E22</f>
        <v>8096751</v>
      </c>
      <c r="F23" s="328"/>
      <c r="G23" s="352"/>
      <c r="H23" s="337"/>
      <c r="J23" s="215" t="s">
        <v>991</v>
      </c>
      <c r="L23" s="215">
        <f>L21/4</f>
        <v>57245.957999999999</v>
      </c>
      <c r="M23" s="215">
        <v>55338</v>
      </c>
      <c r="N23" s="215">
        <f>L23-M23</f>
        <v>1907.9579999999987</v>
      </c>
    </row>
    <row r="24" spans="1:14">
      <c r="A24" s="2"/>
      <c r="B24" s="1"/>
      <c r="C24" s="317"/>
      <c r="D24" s="318"/>
      <c r="E24" s="317"/>
      <c r="F24" s="317"/>
      <c r="G24" s="350"/>
      <c r="H24" s="318"/>
      <c r="J24" s="215" t="s">
        <v>992</v>
      </c>
      <c r="L24" s="215">
        <f>L23</f>
        <v>57245.957999999999</v>
      </c>
      <c r="M24" s="215">
        <v>47705</v>
      </c>
      <c r="N24" s="215">
        <f>L24-M24</f>
        <v>9540.9579999999987</v>
      </c>
    </row>
    <row r="25" spans="1:14">
      <c r="A25" s="2"/>
      <c r="B25" s="1" t="s">
        <v>940</v>
      </c>
      <c r="C25" s="317">
        <v>0</v>
      </c>
      <c r="D25" s="318"/>
      <c r="E25" s="317"/>
      <c r="F25" s="317"/>
      <c r="G25" s="350"/>
      <c r="H25" s="318"/>
      <c r="J25" s="215" t="s">
        <v>993</v>
      </c>
      <c r="L25" s="215">
        <f>L24</f>
        <v>57245.957999999999</v>
      </c>
      <c r="M25" s="331">
        <f>L25+N24+N23</f>
        <v>68694.873999999996</v>
      </c>
      <c r="N25" s="215">
        <f>L25-M25</f>
        <v>-11448.915999999997</v>
      </c>
    </row>
    <row r="26" spans="1:14">
      <c r="A26" s="2"/>
      <c r="B26" s="1" t="s">
        <v>127</v>
      </c>
      <c r="C26" s="317">
        <f>Notes!D319+Notes!D382</f>
        <v>477450</v>
      </c>
      <c r="D26" s="318"/>
      <c r="E26" s="317"/>
      <c r="F26" s="317"/>
      <c r="G26" s="350"/>
      <c r="H26" s="318"/>
      <c r="I26" s="215" t="s">
        <v>1101</v>
      </c>
      <c r="J26" s="215" t="s">
        <v>994</v>
      </c>
      <c r="L26" s="215">
        <f>L25</f>
        <v>57245.957999999999</v>
      </c>
      <c r="M26" s="215">
        <f>L26</f>
        <v>57245.957999999999</v>
      </c>
      <c r="N26" s="215">
        <f>L26-M26</f>
        <v>0</v>
      </c>
    </row>
    <row r="27" spans="1:14">
      <c r="A27" s="2"/>
      <c r="B27" s="1" t="s">
        <v>941</v>
      </c>
      <c r="C27" s="317">
        <f>Notes!D320+Notes!D383</f>
        <v>1312847</v>
      </c>
      <c r="D27" s="318">
        <f>SUM(C25:C27)</f>
        <v>1790297</v>
      </c>
      <c r="E27" s="317">
        <f>ROUND(D27*J15%,0)</f>
        <v>409978</v>
      </c>
      <c r="F27" s="317">
        <f>'Deferred tax 20-21'!E27</f>
        <v>304114</v>
      </c>
      <c r="G27" s="350">
        <f>+E27-F27</f>
        <v>105864</v>
      </c>
      <c r="H27" s="318"/>
      <c r="I27" s="215">
        <f>+'Deferred tax 18-19'!E27</f>
        <v>53538</v>
      </c>
      <c r="L27" s="215">
        <f>SUM(L23:L26)</f>
        <v>228983.83199999999</v>
      </c>
      <c r="M27" s="215">
        <f>SUM(M23:M26)</f>
        <v>228983.83199999999</v>
      </c>
      <c r="N27" s="215">
        <f>SUM(N23:N26)</f>
        <v>0</v>
      </c>
    </row>
    <row r="28" spans="1:14">
      <c r="A28" s="2"/>
      <c r="B28" s="1"/>
      <c r="C28" s="317"/>
      <c r="D28" s="318"/>
      <c r="E28" s="317"/>
      <c r="F28" s="317"/>
      <c r="G28" s="350"/>
      <c r="H28" s="318"/>
    </row>
    <row r="29" spans="1:14">
      <c r="A29" s="323">
        <v>3</v>
      </c>
      <c r="B29" s="324" t="s">
        <v>932</v>
      </c>
      <c r="C29" s="317"/>
      <c r="D29" s="318"/>
      <c r="E29" s="317"/>
      <c r="F29" s="317"/>
      <c r="G29" s="350"/>
      <c r="H29" s="318"/>
    </row>
    <row r="30" spans="1:14">
      <c r="A30" s="323"/>
      <c r="B30" s="324"/>
      <c r="C30" s="317"/>
      <c r="D30" s="318"/>
      <c r="E30" s="317"/>
      <c r="F30" s="317"/>
      <c r="G30" s="350"/>
      <c r="H30" s="318"/>
    </row>
    <row r="31" spans="1:14">
      <c r="A31" s="323"/>
      <c r="B31" s="6" t="s">
        <v>57</v>
      </c>
      <c r="C31" s="317"/>
      <c r="D31" s="318"/>
      <c r="E31" s="317"/>
      <c r="F31" s="317"/>
      <c r="G31" s="350"/>
      <c r="H31" s="318"/>
      <c r="J31" s="215" t="s">
        <v>989</v>
      </c>
      <c r="L31" s="215">
        <v>209104</v>
      </c>
    </row>
    <row r="32" spans="1:14">
      <c r="A32" s="323"/>
      <c r="B32" s="1" t="s">
        <v>942</v>
      </c>
      <c r="C32" s="317">
        <v>138359</v>
      </c>
      <c r="D32" s="318"/>
      <c r="E32" s="317"/>
      <c r="F32" s="317"/>
      <c r="G32" s="350"/>
      <c r="H32" s="318"/>
    </row>
    <row r="33" spans="1:16">
      <c r="A33" s="323"/>
      <c r="B33" s="1" t="s">
        <v>943</v>
      </c>
      <c r="C33" s="317">
        <v>482066</v>
      </c>
      <c r="D33" s="318"/>
      <c r="E33" s="317"/>
      <c r="F33" s="317"/>
      <c r="G33" s="350"/>
      <c r="H33" s="318"/>
    </row>
    <row r="34" spans="1:16">
      <c r="A34" s="323"/>
      <c r="B34" s="1" t="s">
        <v>944</v>
      </c>
      <c r="C34" s="317">
        <v>470795</v>
      </c>
      <c r="D34" s="318"/>
      <c r="E34" s="317"/>
      <c r="F34" s="317"/>
      <c r="G34" s="350"/>
      <c r="H34" s="318"/>
    </row>
    <row r="35" spans="1:16">
      <c r="A35" s="323"/>
      <c r="B35" s="1" t="s">
        <v>1103</v>
      </c>
      <c r="C35" s="325">
        <v>403432</v>
      </c>
      <c r="D35" s="318"/>
      <c r="E35" s="317"/>
      <c r="F35" s="317"/>
      <c r="G35" s="350"/>
      <c r="H35" s="318"/>
      <c r="J35" s="215" t="s">
        <v>1104</v>
      </c>
    </row>
    <row r="36" spans="1:16">
      <c r="A36" s="323"/>
      <c r="B36" s="1" t="s">
        <v>1105</v>
      </c>
      <c r="C36" s="317">
        <f>+'Dep as per IT'!K27</f>
        <v>392034</v>
      </c>
      <c r="D36" s="318"/>
      <c r="E36" s="317"/>
      <c r="F36" s="317"/>
      <c r="G36" s="350"/>
      <c r="H36" s="318"/>
    </row>
    <row r="37" spans="1:16">
      <c r="A37" s="323"/>
      <c r="B37" s="1" t="s">
        <v>1199</v>
      </c>
      <c r="C37" s="317">
        <f>'Dep as per IT'!K38</f>
        <v>1111755</v>
      </c>
      <c r="D37" s="318"/>
      <c r="E37" s="317"/>
      <c r="F37" s="317"/>
      <c r="G37" s="350"/>
      <c r="H37" s="318"/>
    </row>
    <row r="38" spans="1:16">
      <c r="A38" s="323"/>
      <c r="B38" s="1" t="s">
        <v>1500</v>
      </c>
      <c r="C38" s="317">
        <f>'Dep as per IT'!K49</f>
        <v>3247855</v>
      </c>
      <c r="D38" s="318"/>
      <c r="E38" s="317"/>
      <c r="F38" s="317"/>
      <c r="G38" s="350"/>
      <c r="H38" s="318"/>
    </row>
    <row r="39" spans="1:16">
      <c r="A39" s="323"/>
      <c r="B39" s="1"/>
      <c r="C39" s="317"/>
      <c r="D39" s="318"/>
      <c r="E39" s="317"/>
      <c r="F39" s="317"/>
      <c r="G39" s="350"/>
      <c r="H39" s="318"/>
    </row>
    <row r="40" spans="1:16">
      <c r="A40" s="323"/>
      <c r="B40" s="1"/>
      <c r="C40" s="328">
        <f>SUM(C32:C39)</f>
        <v>6246296</v>
      </c>
      <c r="D40" s="318"/>
      <c r="E40" s="317"/>
      <c r="F40" s="317"/>
      <c r="G40" s="350"/>
      <c r="H40" s="318"/>
      <c r="J40" s="215" t="s">
        <v>1106</v>
      </c>
      <c r="K40" s="215">
        <v>0</v>
      </c>
    </row>
    <row r="41" spans="1:16">
      <c r="A41" s="323"/>
      <c r="B41" s="6" t="s">
        <v>945</v>
      </c>
      <c r="C41" s="317"/>
      <c r="D41" s="318"/>
      <c r="E41" s="317"/>
      <c r="F41" s="317"/>
      <c r="G41" s="350"/>
      <c r="H41" s="318"/>
      <c r="J41" s="215" t="s">
        <v>991</v>
      </c>
      <c r="K41" s="215">
        <v>4488703</v>
      </c>
    </row>
    <row r="42" spans="1:16">
      <c r="A42" s="323"/>
      <c r="B42" s="1" t="s">
        <v>946</v>
      </c>
      <c r="C42" s="317">
        <f>4118444</f>
        <v>4118444</v>
      </c>
      <c r="D42" s="318"/>
      <c r="E42" s="317"/>
      <c r="F42" s="317"/>
      <c r="G42" s="350"/>
      <c r="H42" s="318"/>
      <c r="J42" s="215" t="s">
        <v>992</v>
      </c>
      <c r="K42" s="215">
        <v>7881410</v>
      </c>
    </row>
    <row r="43" spans="1:16">
      <c r="A43" s="323"/>
      <c r="B43" s="1" t="s">
        <v>947</v>
      </c>
      <c r="C43" s="317">
        <f>10586171</f>
        <v>10586171</v>
      </c>
      <c r="D43" s="318"/>
      <c r="E43" s="317"/>
      <c r="F43" s="317"/>
      <c r="G43" s="350"/>
      <c r="H43" s="318"/>
      <c r="J43" s="215" t="s">
        <v>993</v>
      </c>
      <c r="K43" s="215">
        <v>-4488703</v>
      </c>
    </row>
    <row r="44" spans="1:16">
      <c r="A44" s="323"/>
      <c r="B44" s="1" t="s">
        <v>948</v>
      </c>
      <c r="C44" s="317">
        <v>15265437</v>
      </c>
      <c r="D44" s="318"/>
      <c r="E44" s="317"/>
      <c r="F44" s="317"/>
      <c r="G44" s="350"/>
      <c r="H44" s="318"/>
      <c r="J44" s="215" t="s">
        <v>994</v>
      </c>
    </row>
    <row r="45" spans="1:16">
      <c r="A45" s="323"/>
      <c r="B45" s="1" t="s">
        <v>1107</v>
      </c>
      <c r="C45" s="317">
        <v>17121449</v>
      </c>
      <c r="D45" s="318"/>
      <c r="E45" s="317"/>
      <c r="F45" s="317"/>
      <c r="G45" s="350"/>
      <c r="H45" s="318"/>
      <c r="K45" s="333">
        <f>SUM(K40:K44)</f>
        <v>7881410</v>
      </c>
      <c r="M45" s="333"/>
      <c r="P45" s="215">
        <v>17121449</v>
      </c>
    </row>
    <row r="46" spans="1:16">
      <c r="A46" s="323"/>
      <c r="B46" s="1" t="s">
        <v>1108</v>
      </c>
      <c r="C46" s="317">
        <v>27614014</v>
      </c>
      <c r="D46" s="318"/>
      <c r="E46" s="317"/>
      <c r="F46" s="317"/>
      <c r="G46" s="350"/>
      <c r="H46" s="318"/>
      <c r="K46" s="333"/>
      <c r="M46" s="333"/>
    </row>
    <row r="47" spans="1:16">
      <c r="A47" s="323"/>
      <c r="B47" s="1" t="s">
        <v>1200</v>
      </c>
      <c r="C47" s="317">
        <v>30606878</v>
      </c>
      <c r="D47" s="318"/>
      <c r="E47" s="317"/>
      <c r="F47" s="317"/>
      <c r="G47" s="350"/>
      <c r="H47" s="318"/>
      <c r="K47" s="333"/>
      <c r="M47" s="333"/>
    </row>
    <row r="48" spans="1:16">
      <c r="A48" s="323"/>
      <c r="B48" s="1" t="s">
        <v>1499</v>
      </c>
      <c r="C48" s="317">
        <v>60117048</v>
      </c>
      <c r="D48" s="318"/>
      <c r="E48" s="317"/>
      <c r="F48" s="317"/>
      <c r="G48" s="350"/>
      <c r="H48" s="318"/>
      <c r="K48" s="333"/>
      <c r="M48" s="333"/>
    </row>
    <row r="49" spans="1:16">
      <c r="A49" s="323"/>
      <c r="B49" s="1"/>
      <c r="C49" s="317"/>
      <c r="D49" s="318"/>
      <c r="E49" s="317"/>
      <c r="F49" s="317"/>
      <c r="G49" s="350"/>
      <c r="H49" s="318"/>
      <c r="K49" s="333"/>
      <c r="M49" s="333"/>
    </row>
    <row r="50" spans="1:16">
      <c r="A50" s="323"/>
      <c r="B50" s="1"/>
      <c r="C50" s="328">
        <f>SUM(C42:C49)</f>
        <v>165429441</v>
      </c>
      <c r="D50" s="318">
        <f>+C40+C50</f>
        <v>171675737</v>
      </c>
      <c r="E50" s="317">
        <f>ROUND(D50*J15%,0)</f>
        <v>39313744</v>
      </c>
      <c r="F50" s="317">
        <f>'Deferred tax 20-21'!E46</f>
        <v>24803181</v>
      </c>
      <c r="G50" s="350">
        <f>+E50-F50</f>
        <v>14510563</v>
      </c>
      <c r="H50" s="318"/>
      <c r="J50" s="215" t="s">
        <v>1109</v>
      </c>
      <c r="K50" s="333">
        <f>E50-K45</f>
        <v>31432334</v>
      </c>
      <c r="P50" s="215">
        <v>403432</v>
      </c>
    </row>
    <row r="51" spans="1:16">
      <c r="A51" s="2"/>
      <c r="B51" s="1"/>
      <c r="C51" s="317"/>
      <c r="D51" s="318"/>
      <c r="E51" s="317"/>
      <c r="F51" s="317"/>
      <c r="G51" s="350"/>
      <c r="H51" s="318"/>
      <c r="P51" s="215">
        <f>+P45+P50</f>
        <v>17524881</v>
      </c>
    </row>
    <row r="52" spans="1:16">
      <c r="A52" s="2"/>
      <c r="B52" s="1"/>
      <c r="C52" s="317"/>
      <c r="D52" s="318"/>
      <c r="E52" s="317"/>
      <c r="F52" s="317"/>
      <c r="G52" s="350"/>
      <c r="H52" s="318"/>
    </row>
    <row r="53" spans="1:16">
      <c r="A53" s="2"/>
      <c r="B53" s="1"/>
      <c r="C53" s="317"/>
      <c r="D53" s="318"/>
      <c r="E53" s="317"/>
      <c r="F53" s="317"/>
      <c r="G53" s="350"/>
      <c r="H53" s="318"/>
    </row>
    <row r="54" spans="1:16">
      <c r="A54" s="2"/>
      <c r="B54" s="1" t="s">
        <v>984</v>
      </c>
      <c r="C54" s="317"/>
      <c r="D54" s="318"/>
      <c r="E54" s="317"/>
      <c r="F54" s="317"/>
      <c r="G54" s="350"/>
      <c r="H54" s="318"/>
      <c r="M54" s="333"/>
    </row>
    <row r="55" spans="1:16">
      <c r="A55" s="2"/>
      <c r="B55" s="1"/>
      <c r="C55" s="317"/>
      <c r="D55" s="318"/>
      <c r="E55" s="317"/>
      <c r="F55" s="317"/>
      <c r="G55" s="350"/>
      <c r="H55" s="318"/>
    </row>
    <row r="56" spans="1:16">
      <c r="A56" s="2"/>
      <c r="B56" s="312" t="s">
        <v>949</v>
      </c>
      <c r="C56" s="335"/>
      <c r="D56" s="336"/>
      <c r="E56" s="315">
        <f>+E16+E23+E27+E50+E54</f>
        <v>48102743</v>
      </c>
      <c r="F56" s="328"/>
      <c r="G56" s="352"/>
      <c r="H56" s="337"/>
      <c r="I56" s="333">
        <f>+K50+E27+E22+E16+I16+I27</f>
        <v>32109425</v>
      </c>
    </row>
    <row r="57" spans="1:16">
      <c r="A57" s="2"/>
      <c r="B57" s="1"/>
      <c r="C57" s="317"/>
      <c r="D57" s="318"/>
      <c r="E57" s="317"/>
      <c r="F57" s="317"/>
      <c r="G57" s="350"/>
      <c r="H57" s="318"/>
    </row>
    <row r="58" spans="1:16">
      <c r="A58" s="2"/>
      <c r="B58" s="1"/>
      <c r="C58" s="317"/>
      <c r="D58" s="318"/>
      <c r="E58" s="317"/>
      <c r="F58" s="317"/>
      <c r="G58" s="350"/>
      <c r="H58" s="318"/>
    </row>
    <row r="59" spans="1:16">
      <c r="A59" s="2"/>
      <c r="B59" s="1" t="s">
        <v>1201</v>
      </c>
      <c r="C59" s="317"/>
      <c r="D59" s="318"/>
      <c r="E59" s="317">
        <f>E19</f>
        <v>8165446</v>
      </c>
      <c r="F59" s="317"/>
      <c r="G59" s="350"/>
      <c r="H59" s="318"/>
    </row>
    <row r="60" spans="1:16">
      <c r="A60" s="2"/>
      <c r="B60" s="1" t="s">
        <v>57</v>
      </c>
      <c r="C60" s="317"/>
      <c r="D60" s="318"/>
      <c r="E60" s="317"/>
      <c r="F60" s="317"/>
      <c r="G60" s="350"/>
      <c r="H60" s="318"/>
    </row>
    <row r="61" spans="1:16">
      <c r="A61" s="2"/>
      <c r="B61" s="6" t="s">
        <v>950</v>
      </c>
      <c r="C61" s="317"/>
      <c r="D61" s="318"/>
      <c r="E61" s="317"/>
      <c r="F61" s="317"/>
      <c r="G61" s="350"/>
      <c r="H61" s="318"/>
    </row>
    <row r="62" spans="1:16">
      <c r="A62" s="2"/>
      <c r="B62" s="1" t="s">
        <v>951</v>
      </c>
      <c r="C62" s="317"/>
      <c r="D62" s="318"/>
      <c r="E62" s="317"/>
      <c r="F62" s="317"/>
      <c r="G62" s="350"/>
      <c r="H62" s="318"/>
    </row>
    <row r="63" spans="1:16">
      <c r="A63" s="2"/>
      <c r="B63" s="1"/>
      <c r="C63" s="317"/>
      <c r="D63" s="318"/>
      <c r="E63" s="317"/>
      <c r="F63" s="317"/>
      <c r="G63" s="350"/>
      <c r="H63" s="318"/>
    </row>
    <row r="64" spans="1:16">
      <c r="A64" s="2"/>
      <c r="B64" s="1" t="s">
        <v>984</v>
      </c>
      <c r="C64" s="317"/>
      <c r="D64" s="318"/>
      <c r="E64" s="317"/>
      <c r="F64" s="317"/>
      <c r="G64" s="350"/>
      <c r="H64" s="318"/>
    </row>
    <row r="65" spans="1:11">
      <c r="A65" s="2"/>
      <c r="B65" s="1"/>
      <c r="C65" s="317"/>
      <c r="D65" s="318"/>
      <c r="E65" s="317"/>
      <c r="F65" s="317"/>
      <c r="G65" s="350"/>
      <c r="H65" s="318"/>
    </row>
    <row r="66" spans="1:11">
      <c r="A66" s="2"/>
      <c r="B66" s="6" t="s">
        <v>952</v>
      </c>
      <c r="C66" s="317"/>
      <c r="D66" s="318"/>
      <c r="E66" s="317"/>
      <c r="F66" s="317"/>
      <c r="G66" s="350"/>
      <c r="H66" s="318"/>
    </row>
    <row r="67" spans="1:11">
      <c r="A67" s="2"/>
      <c r="B67" s="1" t="s">
        <v>953</v>
      </c>
      <c r="C67" s="317"/>
      <c r="D67" s="318"/>
      <c r="E67" s="317">
        <f>E22*0</f>
        <v>0</v>
      </c>
      <c r="F67" s="317"/>
      <c r="G67" s="350"/>
      <c r="H67" s="318"/>
    </row>
    <row r="68" spans="1:11">
      <c r="A68" s="2"/>
      <c r="B68" s="1"/>
      <c r="C68" s="317"/>
      <c r="D68" s="318"/>
      <c r="E68" s="317"/>
      <c r="F68" s="317"/>
      <c r="G68" s="350"/>
      <c r="H68" s="318"/>
    </row>
    <row r="69" spans="1:11" ht="16" thickBot="1">
      <c r="A69" s="2"/>
      <c r="B69" s="6" t="s">
        <v>987</v>
      </c>
      <c r="C69" s="328"/>
      <c r="D69" s="337"/>
      <c r="E69" s="327">
        <f>SUM(E59:E68)</f>
        <v>8165446</v>
      </c>
      <c r="F69" s="328"/>
      <c r="G69" s="352"/>
      <c r="H69" s="337"/>
    </row>
    <row r="70" spans="1:11" ht="16" thickTop="1">
      <c r="A70" s="2"/>
      <c r="B70" s="1"/>
      <c r="C70" s="317"/>
      <c r="D70" s="318"/>
      <c r="E70" s="317"/>
      <c r="F70" s="317"/>
      <c r="G70" s="350"/>
      <c r="H70" s="318"/>
    </row>
    <row r="71" spans="1:11" s="338" customFormat="1">
      <c r="A71" s="4"/>
      <c r="B71" s="6" t="s">
        <v>986</v>
      </c>
      <c r="C71" s="328"/>
      <c r="D71" s="337"/>
      <c r="E71" s="328">
        <f>E69-E59</f>
        <v>0</v>
      </c>
      <c r="F71" s="328"/>
      <c r="G71" s="352"/>
      <c r="H71" s="337"/>
    </row>
    <row r="72" spans="1:11">
      <c r="A72" s="339"/>
      <c r="B72" s="340"/>
      <c r="C72" s="341"/>
      <c r="D72" s="342"/>
      <c r="E72" s="341"/>
      <c r="F72" s="341"/>
      <c r="G72" s="353"/>
      <c r="H72" s="344"/>
    </row>
    <row r="73" spans="1:11">
      <c r="A73" s="343"/>
      <c r="B73" s="1"/>
      <c r="C73" s="344"/>
      <c r="D73" s="344"/>
      <c r="E73" s="344"/>
      <c r="F73" s="344"/>
      <c r="G73" s="344"/>
      <c r="H73" s="344"/>
    </row>
    <row r="74" spans="1:11">
      <c r="A74" s="1"/>
      <c r="B74" s="1"/>
      <c r="C74" s="306"/>
      <c r="D74" s="306"/>
      <c r="E74" s="306"/>
      <c r="F74" s="306"/>
      <c r="G74" s="306"/>
      <c r="H74" s="306"/>
    </row>
    <row r="75" spans="1:11">
      <c r="A75" s="1"/>
      <c r="B75" s="6" t="s">
        <v>0</v>
      </c>
      <c r="C75" s="306"/>
      <c r="D75" s="345" t="s">
        <v>954</v>
      </c>
      <c r="E75" s="345" t="s">
        <v>955</v>
      </c>
      <c r="F75" s="345" t="s">
        <v>956</v>
      </c>
      <c r="G75" s="345" t="s">
        <v>1110</v>
      </c>
      <c r="H75" s="345"/>
    </row>
    <row r="76" spans="1:11">
      <c r="A76" s="1"/>
      <c r="B76" s="1"/>
      <c r="C76" s="306"/>
      <c r="D76" s="306"/>
      <c r="E76" s="306"/>
      <c r="F76" s="306"/>
      <c r="H76" s="306"/>
    </row>
    <row r="77" spans="1:11">
      <c r="A77" s="1"/>
      <c r="B77" s="1" t="s">
        <v>957</v>
      </c>
      <c r="C77" s="306"/>
      <c r="D77" s="306">
        <f>C32+C42</f>
        <v>4256803</v>
      </c>
      <c r="E77" s="306">
        <v>11068237</v>
      </c>
      <c r="F77" s="306">
        <v>15736232</v>
      </c>
      <c r="G77" s="333">
        <f>+C35+C45</f>
        <v>17524881</v>
      </c>
      <c r="H77" s="306"/>
    </row>
    <row r="78" spans="1:11">
      <c r="A78" s="1"/>
      <c r="B78" s="1"/>
      <c r="C78" s="306"/>
      <c r="D78" s="306"/>
      <c r="E78" s="306"/>
      <c r="F78" s="306"/>
      <c r="H78" s="306"/>
    </row>
    <row r="79" spans="1:11">
      <c r="A79" s="1"/>
      <c r="B79" s="1" t="s">
        <v>958</v>
      </c>
      <c r="C79" s="306"/>
      <c r="D79" s="307">
        <f>+C32</f>
        <v>138359</v>
      </c>
      <c r="E79" s="307">
        <f>+C33</f>
        <v>482066</v>
      </c>
      <c r="F79" s="307">
        <v>470795</v>
      </c>
      <c r="G79" s="346">
        <f>+C35</f>
        <v>403432</v>
      </c>
      <c r="H79" s="307"/>
      <c r="K79" s="333"/>
    </row>
    <row r="80" spans="1:11">
      <c r="A80" s="1"/>
      <c r="B80" s="1" t="s">
        <v>959</v>
      </c>
      <c r="C80" s="306"/>
      <c r="D80" s="306">
        <f>+D77-D79</f>
        <v>4118444</v>
      </c>
      <c r="E80" s="306">
        <f>+E77-E79</f>
        <v>10586171</v>
      </c>
      <c r="F80" s="306">
        <f>+F77-F79</f>
        <v>15265437</v>
      </c>
      <c r="G80" s="306">
        <f>+G77-G79</f>
        <v>17121449</v>
      </c>
      <c r="H80" s="306"/>
    </row>
    <row r="81" spans="1:8">
      <c r="A81" s="1"/>
      <c r="B81" s="1"/>
      <c r="C81" s="306"/>
      <c r="D81" s="306"/>
      <c r="E81" s="306"/>
      <c r="F81" s="306"/>
      <c r="G81" s="306"/>
      <c r="H81" s="306"/>
    </row>
    <row r="82" spans="1:8">
      <c r="A82" s="1"/>
      <c r="B82" s="1"/>
      <c r="C82" s="306"/>
      <c r="D82" s="306"/>
      <c r="E82" s="306"/>
      <c r="F82" s="306"/>
      <c r="G82" s="306"/>
      <c r="H82" s="306"/>
    </row>
    <row r="83" spans="1:8">
      <c r="A83" s="1"/>
      <c r="B83" s="1"/>
      <c r="C83" s="306"/>
      <c r="D83" s="306"/>
      <c r="E83" s="306"/>
      <c r="F83" s="306"/>
      <c r="G83" s="306"/>
      <c r="H83" s="306"/>
    </row>
    <row r="84" spans="1:8">
      <c r="A84" s="1"/>
      <c r="B84" s="1"/>
      <c r="C84" s="306"/>
      <c r="D84" s="306"/>
      <c r="E84" s="306"/>
      <c r="F84" s="306"/>
      <c r="G84" s="306"/>
      <c r="H84" s="306"/>
    </row>
    <row r="85" spans="1:8">
      <c r="A85" s="1"/>
      <c r="B85" s="1"/>
      <c r="C85" s="306"/>
      <c r="D85" s="306"/>
      <c r="E85" s="306"/>
      <c r="F85" s="306"/>
      <c r="G85" s="306"/>
      <c r="H85" s="306"/>
    </row>
  </sheetData>
  <mergeCells count="2">
    <mergeCell ref="A1:E1"/>
    <mergeCell ref="A2:E2"/>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E7D44-2E5D-4E4A-9F27-311FD82062E2}">
  <dimension ref="A1:P81"/>
  <sheetViews>
    <sheetView showGridLines="0" topLeftCell="C5" zoomScale="115" zoomScaleNormal="115" workbookViewId="0">
      <selection activeCell="H37" sqref="H37"/>
    </sheetView>
  </sheetViews>
  <sheetFormatPr baseColWidth="10" defaultColWidth="9.1640625" defaultRowHeight="15"/>
  <cols>
    <col min="1" max="1" width="7.5" style="215" customWidth="1"/>
    <col min="2" max="2" width="57.1640625" style="215" bestFit="1" customWidth="1"/>
    <col min="3" max="4" width="15.33203125" style="215" bestFit="1" customWidth="1"/>
    <col min="5" max="5" width="15" style="215" bestFit="1" customWidth="1"/>
    <col min="6" max="6" width="15.6640625" style="215" customWidth="1"/>
    <col min="7" max="8" width="15" style="215" customWidth="1"/>
    <col min="9" max="9" width="12.83203125" style="215" bestFit="1" customWidth="1"/>
    <col min="10" max="10" width="27.5" style="215" customWidth="1"/>
    <col min="11" max="11" width="12.83203125" style="215" bestFit="1" customWidth="1"/>
    <col min="12" max="12" width="9.1640625" style="215"/>
    <col min="13" max="13" width="12.1640625" style="215" bestFit="1" customWidth="1"/>
    <col min="14" max="16384" width="9.1640625" style="215"/>
  </cols>
  <sheetData>
    <row r="1" spans="1:12">
      <c r="A1" s="1158" t="s">
        <v>927</v>
      </c>
      <c r="B1" s="1158"/>
      <c r="C1" s="1158"/>
      <c r="D1" s="1158"/>
      <c r="E1" s="1158"/>
      <c r="F1" s="312"/>
      <c r="G1" s="312"/>
      <c r="H1" s="312"/>
      <c r="J1" s="215" t="s">
        <v>1093</v>
      </c>
    </row>
    <row r="2" spans="1:12">
      <c r="A2" s="1158" t="s">
        <v>1094</v>
      </c>
      <c r="B2" s="1158"/>
      <c r="C2" s="1158"/>
      <c r="D2" s="1158"/>
      <c r="E2" s="1158"/>
      <c r="F2" s="312"/>
      <c r="G2" s="312"/>
      <c r="H2" s="312"/>
      <c r="J2" s="347" t="s">
        <v>1095</v>
      </c>
      <c r="K2" s="215">
        <v>22</v>
      </c>
    </row>
    <row r="3" spans="1:12">
      <c r="A3" s="1"/>
      <c r="B3" s="1"/>
      <c r="C3" s="306"/>
      <c r="D3" s="306"/>
      <c r="E3" s="306"/>
      <c r="F3" s="306"/>
      <c r="G3" s="306"/>
      <c r="H3" s="306"/>
      <c r="J3" s="347" t="s">
        <v>1096</v>
      </c>
      <c r="K3" s="215">
        <v>0</v>
      </c>
    </row>
    <row r="4" spans="1:12" ht="48">
      <c r="A4" s="313" t="s">
        <v>928</v>
      </c>
      <c r="B4" s="314" t="s">
        <v>0</v>
      </c>
      <c r="C4" s="315" t="s">
        <v>929</v>
      </c>
      <c r="D4" s="316" t="s">
        <v>929</v>
      </c>
      <c r="E4" s="315" t="s">
        <v>1118</v>
      </c>
      <c r="F4" s="348" t="s">
        <v>1198</v>
      </c>
      <c r="G4" s="348" t="s">
        <v>1098</v>
      </c>
      <c r="H4" s="337"/>
      <c r="J4" s="349" t="s">
        <v>1099</v>
      </c>
      <c r="K4" s="215">
        <f>(K2+K3)*0.04</f>
        <v>0.88</v>
      </c>
    </row>
    <row r="5" spans="1:12">
      <c r="A5" s="2"/>
      <c r="B5" s="1"/>
      <c r="C5" s="317"/>
      <c r="D5" s="318"/>
      <c r="E5" s="317"/>
      <c r="F5" s="317"/>
      <c r="G5" s="350"/>
      <c r="H5" s="318"/>
      <c r="J5" s="347" t="s">
        <v>1100</v>
      </c>
      <c r="K5" s="215">
        <f>+K2+K3+K4</f>
        <v>22.88</v>
      </c>
    </row>
    <row r="6" spans="1:12" ht="16">
      <c r="A6" s="319"/>
      <c r="B6" s="320" t="s">
        <v>931</v>
      </c>
      <c r="C6" s="321"/>
      <c r="D6" s="322"/>
      <c r="E6" s="321"/>
      <c r="F6" s="321"/>
      <c r="G6" s="351"/>
      <c r="H6" s="322"/>
    </row>
    <row r="7" spans="1:12">
      <c r="A7" s="2"/>
      <c r="B7" s="1"/>
      <c r="C7" s="317"/>
      <c r="D7" s="318"/>
      <c r="E7" s="317"/>
      <c r="F7" s="317"/>
      <c r="G7" s="350"/>
      <c r="H7" s="318"/>
    </row>
    <row r="8" spans="1:12">
      <c r="A8" s="323">
        <v>1</v>
      </c>
      <c r="B8" s="324" t="s">
        <v>932</v>
      </c>
      <c r="C8" s="317"/>
      <c r="D8" s="318"/>
      <c r="E8" s="317"/>
      <c r="F8" s="317"/>
      <c r="G8" s="350"/>
      <c r="H8" s="318"/>
      <c r="J8" s="215">
        <f>+L4+K4</f>
        <v>0.88</v>
      </c>
    </row>
    <row r="9" spans="1:12">
      <c r="A9" s="2"/>
      <c r="B9" s="1" t="s">
        <v>1197</v>
      </c>
      <c r="C9" s="317"/>
      <c r="D9" s="318"/>
      <c r="E9" s="317"/>
      <c r="F9" s="317"/>
      <c r="G9" s="350"/>
      <c r="H9" s="318"/>
    </row>
    <row r="10" spans="1:12">
      <c r="A10" s="2"/>
      <c r="B10" s="1" t="s">
        <v>933</v>
      </c>
      <c r="C10" s="317">
        <f>'Dep as per IT'!O38</f>
        <v>6963904</v>
      </c>
      <c r="D10" s="318"/>
      <c r="E10" s="317"/>
      <c r="F10" s="317"/>
      <c r="G10" s="350"/>
      <c r="H10" s="318"/>
      <c r="L10" s="215">
        <v>392034</v>
      </c>
    </row>
    <row r="11" spans="1:12">
      <c r="A11" s="2"/>
      <c r="B11" s="1"/>
      <c r="C11" s="317"/>
      <c r="D11" s="318"/>
      <c r="E11" s="317"/>
      <c r="F11" s="317"/>
      <c r="G11" s="350"/>
      <c r="H11" s="318"/>
    </row>
    <row r="12" spans="1:12">
      <c r="A12" s="2"/>
      <c r="B12" s="6" t="s">
        <v>934</v>
      </c>
      <c r="C12" s="317"/>
      <c r="D12" s="318"/>
      <c r="E12" s="317"/>
      <c r="F12" s="317"/>
      <c r="G12" s="350"/>
      <c r="H12" s="318"/>
    </row>
    <row r="13" spans="1:12">
      <c r="A13" s="2"/>
      <c r="B13" s="1" t="s">
        <v>1197</v>
      </c>
      <c r="C13" s="317"/>
      <c r="D13" s="318"/>
      <c r="E13" s="317"/>
      <c r="F13" s="317"/>
      <c r="G13" s="350"/>
      <c r="H13" s="318"/>
    </row>
    <row r="14" spans="1:12" ht="18">
      <c r="A14" s="2"/>
      <c r="B14" s="1" t="s">
        <v>935</v>
      </c>
      <c r="C14" s="325">
        <f>BS!E9+BS!E10</f>
        <v>18134972</v>
      </c>
      <c r="D14" s="63">
        <f>C10-C14</f>
        <v>-11171068</v>
      </c>
      <c r="E14" s="317">
        <f>ROUND(D14*J15%,0)</f>
        <v>-2558175</v>
      </c>
      <c r="F14" s="317">
        <f>'Deferred tax 19-20'!E14</f>
        <v>220856</v>
      </c>
      <c r="G14" s="350">
        <f>+(E14-F14)*0</f>
        <v>0</v>
      </c>
      <c r="H14" s="354" t="s">
        <v>1195</v>
      </c>
      <c r="L14" s="215">
        <v>586287</v>
      </c>
    </row>
    <row r="15" spans="1:12">
      <c r="A15" s="2"/>
      <c r="B15" s="1" t="s">
        <v>936</v>
      </c>
      <c r="C15" s="317"/>
      <c r="D15" s="318"/>
      <c r="E15" s="317"/>
      <c r="F15" s="317"/>
      <c r="G15" s="350"/>
      <c r="H15" s="318"/>
      <c r="I15" s="215" t="s">
        <v>1101</v>
      </c>
      <c r="J15" s="326">
        <v>22.9</v>
      </c>
    </row>
    <row r="16" spans="1:12" ht="16" thickBot="1">
      <c r="A16" s="2"/>
      <c r="B16" s="1"/>
      <c r="C16" s="317"/>
      <c r="D16" s="318"/>
      <c r="E16" s="327">
        <f>+E14+E15</f>
        <v>-2558175</v>
      </c>
      <c r="F16" s="328"/>
      <c r="G16" s="352"/>
      <c r="H16" s="337"/>
      <c r="I16" s="215">
        <f>+'Deferred tax 18-19'!E16</f>
        <v>198322</v>
      </c>
    </row>
    <row r="17" spans="1:14" ht="16" thickTop="1">
      <c r="A17" s="2"/>
      <c r="B17" s="1"/>
      <c r="C17" s="317"/>
      <c r="D17" s="318"/>
      <c r="E17" s="328"/>
      <c r="F17" s="328"/>
      <c r="G17" s="352"/>
      <c r="H17" s="337"/>
    </row>
    <row r="18" spans="1:14">
      <c r="A18" s="323">
        <v>2</v>
      </c>
      <c r="B18" s="324" t="s">
        <v>937</v>
      </c>
      <c r="C18" s="317"/>
      <c r="D18" s="318"/>
      <c r="E18" s="317"/>
      <c r="F18" s="317"/>
      <c r="G18" s="350"/>
      <c r="H18" s="318"/>
    </row>
    <row r="19" spans="1:14">
      <c r="A19" s="323"/>
      <c r="B19" s="1" t="s">
        <v>938</v>
      </c>
      <c r="C19" s="317"/>
      <c r="D19" s="318"/>
      <c r="E19" s="317">
        <f>Notes!C23</f>
        <v>8165446</v>
      </c>
      <c r="F19" s="317"/>
      <c r="G19" s="350"/>
      <c r="H19" s="318"/>
    </row>
    <row r="20" spans="1:14">
      <c r="A20" s="323"/>
      <c r="B20" s="329" t="s">
        <v>939</v>
      </c>
      <c r="C20" s="317"/>
      <c r="D20" s="318"/>
      <c r="E20" s="317"/>
      <c r="F20" s="317"/>
      <c r="G20" s="350"/>
      <c r="H20" s="318"/>
    </row>
    <row r="21" spans="1:14">
      <c r="A21" s="323"/>
      <c r="B21" s="330" t="s">
        <v>1194</v>
      </c>
      <c r="C21" s="317">
        <f>926310/5</f>
        <v>185262</v>
      </c>
      <c r="D21" s="318"/>
      <c r="E21" s="317"/>
      <c r="F21" s="317"/>
      <c r="G21" s="350"/>
      <c r="H21" s="318"/>
      <c r="J21" s="215" t="s">
        <v>989</v>
      </c>
      <c r="L21" s="215">
        <v>228983.83199999999</v>
      </c>
    </row>
    <row r="22" spans="1:14" ht="18">
      <c r="A22" s="2"/>
      <c r="B22" s="1"/>
      <c r="C22" s="325"/>
      <c r="D22" s="307">
        <f>+SUM(C19:C22)</f>
        <v>185262</v>
      </c>
      <c r="E22" s="317">
        <f>-ROUND(M25,0)</f>
        <v>-68695</v>
      </c>
      <c r="F22" s="317"/>
      <c r="G22" s="350">
        <f>+E22*0</f>
        <v>0</v>
      </c>
      <c r="H22" s="354" t="s">
        <v>1195</v>
      </c>
      <c r="J22" s="215" t="s">
        <v>990</v>
      </c>
      <c r="L22" s="215" t="s">
        <v>996</v>
      </c>
      <c r="M22" s="215" t="s">
        <v>997</v>
      </c>
      <c r="N22" s="215" t="s">
        <v>998</v>
      </c>
    </row>
    <row r="23" spans="1:14">
      <c r="A23" s="2"/>
      <c r="B23" s="324" t="s">
        <v>937</v>
      </c>
      <c r="C23" s="317"/>
      <c r="D23" s="318"/>
      <c r="E23" s="328">
        <f>+E19+E22</f>
        <v>8096751</v>
      </c>
      <c r="F23" s="328"/>
      <c r="G23" s="352"/>
      <c r="H23" s="337"/>
      <c r="J23" s="215" t="s">
        <v>991</v>
      </c>
      <c r="L23" s="215">
        <f>L21/4</f>
        <v>57245.957999999999</v>
      </c>
      <c r="M23" s="215">
        <v>55338</v>
      </c>
      <c r="N23" s="215">
        <f>L23-M23</f>
        <v>1907.9579999999987</v>
      </c>
    </row>
    <row r="24" spans="1:14">
      <c r="A24" s="2"/>
      <c r="B24" s="1"/>
      <c r="C24" s="317"/>
      <c r="D24" s="318"/>
      <c r="E24" s="317"/>
      <c r="F24" s="317"/>
      <c r="G24" s="350"/>
      <c r="H24" s="318"/>
      <c r="J24" s="215" t="s">
        <v>992</v>
      </c>
      <c r="L24" s="215">
        <f>L23</f>
        <v>57245.957999999999</v>
      </c>
      <c r="M24" s="215">
        <v>47705</v>
      </c>
      <c r="N24" s="215">
        <f>L24-M24</f>
        <v>9540.9579999999987</v>
      </c>
    </row>
    <row r="25" spans="1:14">
      <c r="A25" s="2"/>
      <c r="B25" s="1" t="s">
        <v>940</v>
      </c>
      <c r="C25" s="317">
        <v>0</v>
      </c>
      <c r="D25" s="318"/>
      <c r="E25" s="317"/>
      <c r="F25" s="317"/>
      <c r="G25" s="350"/>
      <c r="H25" s="318"/>
      <c r="J25" s="215" t="s">
        <v>993</v>
      </c>
      <c r="L25" s="215">
        <f>L24</f>
        <v>57245.957999999999</v>
      </c>
      <c r="M25" s="331">
        <f>L25+N24+N23</f>
        <v>68694.873999999996</v>
      </c>
      <c r="N25" s="215">
        <f>L25-M25</f>
        <v>-11448.915999999997</v>
      </c>
    </row>
    <row r="26" spans="1:14">
      <c r="A26" s="2"/>
      <c r="B26" s="1" t="s">
        <v>127</v>
      </c>
      <c r="C26" s="317">
        <v>403919</v>
      </c>
      <c r="D26" s="318"/>
      <c r="E26" s="317"/>
      <c r="F26" s="317"/>
      <c r="G26" s="350"/>
      <c r="H26" s="318"/>
      <c r="I26" s="215" t="s">
        <v>1101</v>
      </c>
      <c r="J26" s="215" t="s">
        <v>994</v>
      </c>
      <c r="L26" s="215">
        <f>L25</f>
        <v>57245.957999999999</v>
      </c>
      <c r="M26" s="215">
        <f>L26</f>
        <v>57245.957999999999</v>
      </c>
      <c r="N26" s="215">
        <f>L26-M26</f>
        <v>0</v>
      </c>
    </row>
    <row r="27" spans="1:14">
      <c r="A27" s="2"/>
      <c r="B27" s="1" t="s">
        <v>941</v>
      </c>
      <c r="C27" s="317">
        <v>924090</v>
      </c>
      <c r="D27" s="318">
        <f>SUM(C25:C27)</f>
        <v>1328009</v>
      </c>
      <c r="E27" s="317">
        <f>ROUND(D27*J15%,0)</f>
        <v>304114</v>
      </c>
      <c r="F27" s="317">
        <f>'Deferred tax 19-20'!E27</f>
        <v>250872</v>
      </c>
      <c r="G27" s="350">
        <f>+E27-F27</f>
        <v>53242</v>
      </c>
      <c r="H27" s="318"/>
      <c r="I27" s="215">
        <f>+'Deferred tax 18-19'!E27</f>
        <v>53538</v>
      </c>
      <c r="L27" s="215">
        <f>SUM(L23:L26)</f>
        <v>228983.83199999999</v>
      </c>
      <c r="M27" s="215">
        <f>SUM(M23:M26)</f>
        <v>228983.83199999999</v>
      </c>
      <c r="N27" s="215">
        <f>SUM(N23:N26)</f>
        <v>0</v>
      </c>
    </row>
    <row r="28" spans="1:14">
      <c r="A28" s="2"/>
      <c r="B28" s="1"/>
      <c r="C28" s="317"/>
      <c r="D28" s="318"/>
      <c r="E28" s="317"/>
      <c r="F28" s="317"/>
      <c r="G28" s="350"/>
      <c r="H28" s="318"/>
    </row>
    <row r="29" spans="1:14">
      <c r="A29" s="323">
        <v>3</v>
      </c>
      <c r="B29" s="324" t="s">
        <v>932</v>
      </c>
      <c r="C29" s="317"/>
      <c r="D29" s="318"/>
      <c r="E29" s="317"/>
      <c r="F29" s="317"/>
      <c r="G29" s="350"/>
      <c r="H29" s="318"/>
    </row>
    <row r="30" spans="1:14">
      <c r="A30" s="323"/>
      <c r="B30" s="324"/>
      <c r="C30" s="317"/>
      <c r="D30" s="318"/>
      <c r="E30" s="317"/>
      <c r="F30" s="317"/>
      <c r="G30" s="350"/>
      <c r="H30" s="318"/>
    </row>
    <row r="31" spans="1:14">
      <c r="A31" s="323"/>
      <c r="B31" s="6" t="s">
        <v>57</v>
      </c>
      <c r="C31" s="317"/>
      <c r="D31" s="318"/>
      <c r="E31" s="317"/>
      <c r="F31" s="317"/>
      <c r="G31" s="350"/>
      <c r="H31" s="318"/>
      <c r="J31" s="215" t="s">
        <v>989</v>
      </c>
      <c r="L31" s="215">
        <v>209104</v>
      </c>
    </row>
    <row r="32" spans="1:14">
      <c r="A32" s="323"/>
      <c r="B32" s="1" t="s">
        <v>942</v>
      </c>
      <c r="C32" s="317">
        <v>138359</v>
      </c>
      <c r="D32" s="318"/>
      <c r="E32" s="317"/>
      <c r="F32" s="317"/>
      <c r="G32" s="350"/>
      <c r="H32" s="318"/>
    </row>
    <row r="33" spans="1:16">
      <c r="A33" s="323"/>
      <c r="B33" s="1" t="s">
        <v>943</v>
      </c>
      <c r="C33" s="317">
        <v>482066</v>
      </c>
      <c r="D33" s="318"/>
      <c r="E33" s="317"/>
      <c r="F33" s="317"/>
      <c r="G33" s="350"/>
      <c r="H33" s="318"/>
    </row>
    <row r="34" spans="1:16">
      <c r="A34" s="323"/>
      <c r="B34" s="1" t="s">
        <v>944</v>
      </c>
      <c r="C34" s="317">
        <v>470795</v>
      </c>
      <c r="D34" s="318"/>
      <c r="E34" s="317"/>
      <c r="F34" s="317"/>
      <c r="G34" s="350"/>
      <c r="H34" s="318"/>
    </row>
    <row r="35" spans="1:16">
      <c r="A35" s="323"/>
      <c r="B35" s="1" t="s">
        <v>1103</v>
      </c>
      <c r="C35" s="325">
        <v>403432</v>
      </c>
      <c r="D35" s="318"/>
      <c r="E35" s="317"/>
      <c r="F35" s="317"/>
      <c r="G35" s="350"/>
      <c r="H35" s="318"/>
      <c r="J35" s="215" t="s">
        <v>1104</v>
      </c>
    </row>
    <row r="36" spans="1:16">
      <c r="A36" s="323"/>
      <c r="B36" s="1" t="s">
        <v>1105</v>
      </c>
      <c r="C36" s="317">
        <f>+'Dep as per IT'!K27</f>
        <v>392034</v>
      </c>
      <c r="D36" s="318"/>
      <c r="E36" s="317"/>
      <c r="F36" s="317"/>
      <c r="G36" s="350"/>
      <c r="H36" s="318"/>
    </row>
    <row r="37" spans="1:16">
      <c r="A37" s="323"/>
      <c r="B37" s="1" t="s">
        <v>1199</v>
      </c>
      <c r="C37" s="317">
        <f>'Dep as per IT'!K38</f>
        <v>1111755</v>
      </c>
      <c r="D37" s="318"/>
      <c r="E37" s="317"/>
      <c r="F37" s="317"/>
      <c r="G37" s="350"/>
      <c r="H37" s="318"/>
    </row>
    <row r="38" spans="1:16">
      <c r="A38" s="323"/>
      <c r="B38" s="1"/>
      <c r="C38" s="328">
        <f>SUM(C32:C37)</f>
        <v>2998441</v>
      </c>
      <c r="D38" s="318"/>
      <c r="E38" s="317"/>
      <c r="F38" s="317"/>
      <c r="G38" s="350"/>
      <c r="H38" s="318"/>
      <c r="J38" s="215" t="s">
        <v>1106</v>
      </c>
      <c r="K38" s="215">
        <v>0</v>
      </c>
    </row>
    <row r="39" spans="1:16">
      <c r="A39" s="323"/>
      <c r="B39" s="6" t="s">
        <v>945</v>
      </c>
      <c r="C39" s="317"/>
      <c r="D39" s="318"/>
      <c r="E39" s="317"/>
      <c r="F39" s="317"/>
      <c r="G39" s="350"/>
      <c r="H39" s="318"/>
      <c r="J39" s="215" t="s">
        <v>991</v>
      </c>
      <c r="K39" s="215">
        <v>4488703</v>
      </c>
    </row>
    <row r="40" spans="1:16">
      <c r="A40" s="323"/>
      <c r="B40" s="1" t="s">
        <v>946</v>
      </c>
      <c r="C40" s="317">
        <f>4118444</f>
        <v>4118444</v>
      </c>
      <c r="D40" s="318"/>
      <c r="E40" s="317"/>
      <c r="F40" s="317"/>
      <c r="G40" s="350"/>
      <c r="H40" s="318"/>
      <c r="J40" s="215" t="s">
        <v>992</v>
      </c>
      <c r="K40" s="215">
        <v>7881410</v>
      </c>
    </row>
    <row r="41" spans="1:16">
      <c r="A41" s="323"/>
      <c r="B41" s="1" t="s">
        <v>947</v>
      </c>
      <c r="C41" s="317">
        <f>10586171</f>
        <v>10586171</v>
      </c>
      <c r="D41" s="318"/>
      <c r="E41" s="317"/>
      <c r="F41" s="317"/>
      <c r="G41" s="350"/>
      <c r="H41" s="318"/>
      <c r="J41" s="215" t="s">
        <v>993</v>
      </c>
      <c r="K41" s="215">
        <v>-4488703</v>
      </c>
    </row>
    <row r="42" spans="1:16">
      <c r="A42" s="323"/>
      <c r="B42" s="1" t="s">
        <v>948</v>
      </c>
      <c r="C42" s="317">
        <v>15265437</v>
      </c>
      <c r="D42" s="318"/>
      <c r="E42" s="317"/>
      <c r="F42" s="317"/>
      <c r="G42" s="350"/>
      <c r="H42" s="318"/>
      <c r="J42" s="215" t="s">
        <v>994</v>
      </c>
    </row>
    <row r="43" spans="1:16">
      <c r="A43" s="323"/>
      <c r="B43" s="1" t="s">
        <v>1107</v>
      </c>
      <c r="C43" s="317">
        <v>17121449</v>
      </c>
      <c r="D43" s="318"/>
      <c r="E43" s="317"/>
      <c r="F43" s="317"/>
      <c r="G43" s="350"/>
      <c r="H43" s="318"/>
      <c r="K43" s="333">
        <f>SUM(K38:K42)</f>
        <v>7881410</v>
      </c>
      <c r="M43" s="333"/>
      <c r="P43" s="215">
        <v>17121449</v>
      </c>
    </row>
    <row r="44" spans="1:16">
      <c r="A44" s="323"/>
      <c r="B44" s="1" t="s">
        <v>1108</v>
      </c>
      <c r="C44" s="317">
        <v>27614014</v>
      </c>
      <c r="D44" s="318"/>
      <c r="E44" s="317"/>
      <c r="F44" s="317"/>
      <c r="G44" s="350"/>
      <c r="H44" s="318"/>
      <c r="K44" s="333"/>
      <c r="M44" s="333"/>
    </row>
    <row r="45" spans="1:16">
      <c r="A45" s="323"/>
      <c r="B45" s="1" t="s">
        <v>1200</v>
      </c>
      <c r="C45" s="317">
        <v>30606878</v>
      </c>
      <c r="D45" s="318"/>
      <c r="E45" s="317"/>
      <c r="F45" s="317"/>
      <c r="G45" s="350"/>
      <c r="H45" s="318"/>
      <c r="K45" s="333"/>
      <c r="M45" s="333"/>
    </row>
    <row r="46" spans="1:16">
      <c r="A46" s="323"/>
      <c r="B46" s="1"/>
      <c r="C46" s="328">
        <f>SUM(C40:C45)</f>
        <v>105312393</v>
      </c>
      <c r="D46" s="318">
        <f>+C38+C46</f>
        <v>108310834</v>
      </c>
      <c r="E46" s="317">
        <f>ROUND(D46*J15%,0)</f>
        <v>24803181</v>
      </c>
      <c r="F46" s="317">
        <f>'Deferred tax 19-20'!E44</f>
        <v>17539614</v>
      </c>
      <c r="G46" s="350">
        <f>+E46-F46</f>
        <v>7263567</v>
      </c>
      <c r="H46" s="318"/>
      <c r="J46" s="215" t="s">
        <v>1109</v>
      </c>
      <c r="K46" s="333">
        <f>E46-K43</f>
        <v>16921771</v>
      </c>
      <c r="P46" s="215">
        <v>403432</v>
      </c>
    </row>
    <row r="47" spans="1:16">
      <c r="A47" s="2"/>
      <c r="B47" s="1"/>
      <c r="C47" s="317"/>
      <c r="D47" s="318"/>
      <c r="E47" s="317"/>
      <c r="F47" s="317"/>
      <c r="G47" s="350"/>
      <c r="H47" s="318"/>
      <c r="P47" s="215">
        <f>+P43+P46</f>
        <v>17524881</v>
      </c>
    </row>
    <row r="48" spans="1:16">
      <c r="A48" s="2"/>
      <c r="B48" s="1"/>
      <c r="C48" s="317"/>
      <c r="D48" s="318"/>
      <c r="E48" s="317"/>
      <c r="F48" s="317"/>
      <c r="G48" s="350"/>
      <c r="H48" s="318"/>
    </row>
    <row r="49" spans="1:13">
      <c r="A49" s="2"/>
      <c r="B49" s="1"/>
      <c r="C49" s="317"/>
      <c r="D49" s="318"/>
      <c r="E49" s="317"/>
      <c r="F49" s="317"/>
      <c r="G49" s="350"/>
      <c r="H49" s="318"/>
    </row>
    <row r="50" spans="1:13">
      <c r="A50" s="2"/>
      <c r="B50" s="1" t="s">
        <v>984</v>
      </c>
      <c r="C50" s="317"/>
      <c r="D50" s="318"/>
      <c r="E50" s="317"/>
      <c r="F50" s="317"/>
      <c r="G50" s="350"/>
      <c r="H50" s="318"/>
      <c r="M50" s="333"/>
    </row>
    <row r="51" spans="1:13">
      <c r="A51" s="2"/>
      <c r="B51" s="1"/>
      <c r="C51" s="317"/>
      <c r="D51" s="318"/>
      <c r="E51" s="317"/>
      <c r="F51" s="317"/>
      <c r="G51" s="350"/>
      <c r="H51" s="318"/>
    </row>
    <row r="52" spans="1:13">
      <c r="A52" s="2"/>
      <c r="B52" s="312" t="s">
        <v>949</v>
      </c>
      <c r="C52" s="335"/>
      <c r="D52" s="336"/>
      <c r="E52" s="315">
        <f>+E16+E23+E27+E46+E50</f>
        <v>30645871</v>
      </c>
      <c r="F52" s="328"/>
      <c r="G52" s="352"/>
      <c r="H52" s="337"/>
      <c r="I52" s="333">
        <f>+K46+E27+E22+E16+I16+I27</f>
        <v>14850875</v>
      </c>
    </row>
    <row r="53" spans="1:13">
      <c r="A53" s="2"/>
      <c r="B53" s="1"/>
      <c r="C53" s="317"/>
      <c r="D53" s="318"/>
      <c r="E53" s="317"/>
      <c r="F53" s="317"/>
      <c r="G53" s="350"/>
      <c r="H53" s="318"/>
    </row>
    <row r="54" spans="1:13">
      <c r="A54" s="2"/>
      <c r="B54" s="1"/>
      <c r="C54" s="317"/>
      <c r="D54" s="318"/>
      <c r="E54" s="317"/>
      <c r="F54" s="317"/>
      <c r="G54" s="350"/>
      <c r="H54" s="318"/>
    </row>
    <row r="55" spans="1:13">
      <c r="A55" s="2"/>
      <c r="B55" s="1" t="s">
        <v>1201</v>
      </c>
      <c r="C55" s="317"/>
      <c r="D55" s="318"/>
      <c r="E55" s="317">
        <f>E19</f>
        <v>8165446</v>
      </c>
      <c r="F55" s="317"/>
      <c r="G55" s="350"/>
      <c r="H55" s="318"/>
    </row>
    <row r="56" spans="1:13">
      <c r="A56" s="2"/>
      <c r="B56" s="1" t="s">
        <v>57</v>
      </c>
      <c r="C56" s="317"/>
      <c r="D56" s="318"/>
      <c r="E56" s="317"/>
      <c r="F56" s="317"/>
      <c r="G56" s="350"/>
      <c r="H56" s="318"/>
    </row>
    <row r="57" spans="1:13">
      <c r="A57" s="2"/>
      <c r="B57" s="6" t="s">
        <v>950</v>
      </c>
      <c r="C57" s="317"/>
      <c r="D57" s="318"/>
      <c r="E57" s="317"/>
      <c r="F57" s="317"/>
      <c r="G57" s="350"/>
      <c r="H57" s="318"/>
    </row>
    <row r="58" spans="1:13">
      <c r="A58" s="2"/>
      <c r="B58" s="1" t="s">
        <v>951</v>
      </c>
      <c r="C58" s="317"/>
      <c r="D58" s="318"/>
      <c r="E58" s="317"/>
      <c r="F58" s="317"/>
      <c r="G58" s="350"/>
      <c r="H58" s="318"/>
    </row>
    <row r="59" spans="1:13">
      <c r="A59" s="2"/>
      <c r="B59" s="1"/>
      <c r="C59" s="317"/>
      <c r="D59" s="318"/>
      <c r="E59" s="317"/>
      <c r="F59" s="317"/>
      <c r="G59" s="350"/>
      <c r="H59" s="318"/>
    </row>
    <row r="60" spans="1:13">
      <c r="A60" s="2"/>
      <c r="B60" s="1" t="s">
        <v>984</v>
      </c>
      <c r="C60" s="317"/>
      <c r="D60" s="318"/>
      <c r="E60" s="317"/>
      <c r="F60" s="317"/>
      <c r="G60" s="350"/>
      <c r="H60" s="318"/>
    </row>
    <row r="61" spans="1:13">
      <c r="A61" s="2"/>
      <c r="B61" s="1"/>
      <c r="C61" s="317"/>
      <c r="D61" s="318"/>
      <c r="E61" s="317"/>
      <c r="F61" s="317"/>
      <c r="G61" s="350"/>
      <c r="H61" s="318"/>
    </row>
    <row r="62" spans="1:13">
      <c r="A62" s="2"/>
      <c r="B62" s="6" t="s">
        <v>952</v>
      </c>
      <c r="C62" s="317"/>
      <c r="D62" s="318"/>
      <c r="E62" s="317"/>
      <c r="F62" s="317"/>
      <c r="G62" s="350"/>
      <c r="H62" s="318"/>
    </row>
    <row r="63" spans="1:13">
      <c r="A63" s="2"/>
      <c r="B63" s="1" t="s">
        <v>953</v>
      </c>
      <c r="C63" s="317"/>
      <c r="D63" s="318"/>
      <c r="E63" s="317">
        <f>E22*0</f>
        <v>0</v>
      </c>
      <c r="F63" s="317"/>
      <c r="G63" s="350"/>
      <c r="H63" s="318"/>
    </row>
    <row r="64" spans="1:13">
      <c r="A64" s="2"/>
      <c r="B64" s="1"/>
      <c r="C64" s="317"/>
      <c r="D64" s="318"/>
      <c r="E64" s="317"/>
      <c r="F64" s="317"/>
      <c r="G64" s="350"/>
      <c r="H64" s="318"/>
    </row>
    <row r="65" spans="1:11" ht="16" thickBot="1">
      <c r="A65" s="2"/>
      <c r="B65" s="6" t="s">
        <v>987</v>
      </c>
      <c r="C65" s="328"/>
      <c r="D65" s="337"/>
      <c r="E65" s="327">
        <f>SUM(E55:E64)</f>
        <v>8165446</v>
      </c>
      <c r="F65" s="328"/>
      <c r="G65" s="352"/>
      <c r="H65" s="337"/>
    </row>
    <row r="66" spans="1:11" ht="16" thickTop="1">
      <c r="A66" s="2"/>
      <c r="B66" s="1"/>
      <c r="C66" s="317"/>
      <c r="D66" s="318"/>
      <c r="E66" s="317"/>
      <c r="F66" s="317"/>
      <c r="G66" s="350"/>
      <c r="H66" s="318"/>
    </row>
    <row r="67" spans="1:11" s="338" customFormat="1">
      <c r="A67" s="4"/>
      <c r="B67" s="6" t="s">
        <v>986</v>
      </c>
      <c r="C67" s="328"/>
      <c r="D67" s="337"/>
      <c r="E67" s="328">
        <f>E65-E55</f>
        <v>0</v>
      </c>
      <c r="F67" s="328"/>
      <c r="G67" s="352"/>
      <c r="H67" s="337"/>
    </row>
    <row r="68" spans="1:11">
      <c r="A68" s="339"/>
      <c r="B68" s="340"/>
      <c r="C68" s="341"/>
      <c r="D68" s="342"/>
      <c r="E68" s="341"/>
      <c r="F68" s="341"/>
      <c r="G68" s="353"/>
      <c r="H68" s="344"/>
    </row>
    <row r="69" spans="1:11">
      <c r="A69" s="343"/>
      <c r="B69" s="1"/>
      <c r="C69" s="344"/>
      <c r="D69" s="344"/>
      <c r="E69" s="344"/>
      <c r="F69" s="344"/>
      <c r="G69" s="344"/>
      <c r="H69" s="344"/>
    </row>
    <row r="70" spans="1:11">
      <c r="A70" s="1"/>
      <c r="B70" s="1"/>
      <c r="C70" s="306"/>
      <c r="D70" s="306"/>
      <c r="E70" s="306"/>
      <c r="F70" s="306"/>
      <c r="G70" s="306"/>
      <c r="H70" s="306"/>
    </row>
    <row r="71" spans="1:11">
      <c r="A71" s="1"/>
      <c r="B71" s="6" t="s">
        <v>0</v>
      </c>
      <c r="C71" s="306"/>
      <c r="D71" s="345" t="s">
        <v>954</v>
      </c>
      <c r="E71" s="345" t="s">
        <v>955</v>
      </c>
      <c r="F71" s="345" t="s">
        <v>956</v>
      </c>
      <c r="G71" s="345" t="s">
        <v>1110</v>
      </c>
      <c r="H71" s="345"/>
    </row>
    <row r="72" spans="1:11">
      <c r="A72" s="1"/>
      <c r="B72" s="1"/>
      <c r="C72" s="306"/>
      <c r="D72" s="306"/>
      <c r="E72" s="306"/>
      <c r="F72" s="306"/>
      <c r="H72" s="306"/>
    </row>
    <row r="73" spans="1:11">
      <c r="A73" s="1"/>
      <c r="B73" s="1" t="s">
        <v>957</v>
      </c>
      <c r="C73" s="306"/>
      <c r="D73" s="306">
        <f>C32+C40</f>
        <v>4256803</v>
      </c>
      <c r="E73" s="306">
        <v>11068237</v>
      </c>
      <c r="F73" s="306">
        <v>15736232</v>
      </c>
      <c r="G73" s="333">
        <f>+C35+C43</f>
        <v>17524881</v>
      </c>
      <c r="H73" s="306"/>
    </row>
    <row r="74" spans="1:11">
      <c r="A74" s="1"/>
      <c r="B74" s="1"/>
      <c r="C74" s="306"/>
      <c r="D74" s="306"/>
      <c r="E74" s="306"/>
      <c r="F74" s="306"/>
      <c r="H74" s="306"/>
    </row>
    <row r="75" spans="1:11">
      <c r="A75" s="1"/>
      <c r="B75" s="1" t="s">
        <v>958</v>
      </c>
      <c r="C75" s="306"/>
      <c r="D75" s="307">
        <f>+C32</f>
        <v>138359</v>
      </c>
      <c r="E75" s="307">
        <f>+C33</f>
        <v>482066</v>
      </c>
      <c r="F75" s="307">
        <v>470795</v>
      </c>
      <c r="G75" s="346">
        <f>+C35</f>
        <v>403432</v>
      </c>
      <c r="H75" s="307"/>
      <c r="K75" s="333"/>
    </row>
    <row r="76" spans="1:11">
      <c r="A76" s="1"/>
      <c r="B76" s="1" t="s">
        <v>959</v>
      </c>
      <c r="C76" s="306"/>
      <c r="D76" s="306">
        <f>+D73-D75</f>
        <v>4118444</v>
      </c>
      <c r="E76" s="306">
        <f>+E73-E75</f>
        <v>10586171</v>
      </c>
      <c r="F76" s="306">
        <f>+F73-F75</f>
        <v>15265437</v>
      </c>
      <c r="G76" s="306">
        <f>+G73-G75</f>
        <v>17121449</v>
      </c>
      <c r="H76" s="306"/>
    </row>
    <row r="77" spans="1:11">
      <c r="A77" s="1"/>
      <c r="B77" s="1"/>
      <c r="C77" s="306"/>
      <c r="D77" s="306"/>
      <c r="E77" s="306"/>
      <c r="F77" s="306"/>
      <c r="G77" s="306"/>
      <c r="H77" s="306"/>
    </row>
    <row r="78" spans="1:11">
      <c r="A78" s="1"/>
      <c r="B78" s="1"/>
      <c r="C78" s="306"/>
      <c r="D78" s="306"/>
      <c r="E78" s="306"/>
      <c r="F78" s="306"/>
      <c r="G78" s="306"/>
      <c r="H78" s="306"/>
    </row>
    <row r="79" spans="1:11">
      <c r="A79" s="1"/>
      <c r="B79" s="1"/>
      <c r="C79" s="306"/>
      <c r="D79" s="306"/>
      <c r="E79" s="306"/>
      <c r="F79" s="306"/>
      <c r="G79" s="306"/>
      <c r="H79" s="306"/>
    </row>
    <row r="80" spans="1:11">
      <c r="A80" s="1"/>
      <c r="B80" s="1"/>
      <c r="C80" s="306"/>
      <c r="D80" s="306"/>
      <c r="E80" s="306"/>
      <c r="F80" s="306"/>
      <c r="G80" s="306"/>
      <c r="H80" s="306"/>
    </row>
    <row r="81" spans="1:8">
      <c r="A81" s="1"/>
      <c r="B81" s="1"/>
      <c r="C81" s="306"/>
      <c r="D81" s="306"/>
      <c r="E81" s="306"/>
      <c r="F81" s="306"/>
      <c r="G81" s="306"/>
      <c r="H81" s="306"/>
    </row>
  </sheetData>
  <mergeCells count="2">
    <mergeCell ref="A1:E1"/>
    <mergeCell ref="A2:E2"/>
  </mergeCells>
  <pageMargins left="0.7" right="0.7" top="0.75" bottom="0.75" header="0.3" footer="0.3"/>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P77"/>
  <sheetViews>
    <sheetView showGridLines="0" topLeftCell="A3" zoomScale="115" zoomScaleNormal="115" workbookViewId="0">
      <selection activeCell="B25" sqref="B25"/>
    </sheetView>
  </sheetViews>
  <sheetFormatPr baseColWidth="10" defaultColWidth="9.1640625" defaultRowHeight="15"/>
  <cols>
    <col min="1" max="1" width="7.5" style="215" customWidth="1"/>
    <col min="2" max="2" width="57.1640625" style="215" bestFit="1" customWidth="1"/>
    <col min="3" max="4" width="15.33203125" style="215" bestFit="1" customWidth="1"/>
    <col min="5" max="5" width="15" style="215" bestFit="1" customWidth="1"/>
    <col min="6" max="6" width="15.6640625" style="215" customWidth="1"/>
    <col min="7" max="8" width="15" style="215" customWidth="1"/>
    <col min="9" max="9" width="12.83203125" style="215" bestFit="1" customWidth="1"/>
    <col min="10" max="10" width="27.5" style="215" customWidth="1"/>
    <col min="11" max="11" width="12.83203125" style="215" bestFit="1" customWidth="1"/>
    <col min="12" max="12" width="9.1640625" style="215"/>
    <col min="13" max="13" width="12.1640625" style="215" bestFit="1" customWidth="1"/>
    <col min="14" max="16384" width="9.1640625" style="215"/>
  </cols>
  <sheetData>
    <row r="1" spans="1:12">
      <c r="A1" s="1158" t="s">
        <v>927</v>
      </c>
      <c r="B1" s="1158"/>
      <c r="C1" s="1158"/>
      <c r="D1" s="1158"/>
      <c r="E1" s="1158"/>
      <c r="F1" s="312"/>
      <c r="G1" s="312"/>
      <c r="H1" s="312"/>
      <c r="J1" s="215" t="s">
        <v>1093</v>
      </c>
    </row>
    <row r="2" spans="1:12">
      <c r="A2" s="1158" t="s">
        <v>1094</v>
      </c>
      <c r="B2" s="1158"/>
      <c r="C2" s="1158"/>
      <c r="D2" s="1158"/>
      <c r="E2" s="1158"/>
      <c r="F2" s="312"/>
      <c r="G2" s="312"/>
      <c r="H2" s="312"/>
      <c r="J2" s="347" t="s">
        <v>1095</v>
      </c>
      <c r="K2" s="215">
        <v>22</v>
      </c>
    </row>
    <row r="3" spans="1:12">
      <c r="A3" s="1"/>
      <c r="B3" s="1"/>
      <c r="C3" s="306"/>
      <c r="D3" s="306"/>
      <c r="E3" s="306"/>
      <c r="F3" s="306"/>
      <c r="G3" s="306"/>
      <c r="H3" s="306"/>
      <c r="J3" s="347" t="s">
        <v>1096</v>
      </c>
      <c r="K3" s="215">
        <f>+(K2*0.1)</f>
        <v>2.2000000000000002</v>
      </c>
    </row>
    <row r="4" spans="1:12" ht="48">
      <c r="A4" s="313" t="s">
        <v>928</v>
      </c>
      <c r="B4" s="314" t="s">
        <v>0</v>
      </c>
      <c r="C4" s="315" t="s">
        <v>929</v>
      </c>
      <c r="D4" s="316" t="s">
        <v>929</v>
      </c>
      <c r="E4" s="315" t="s">
        <v>1118</v>
      </c>
      <c r="F4" s="348" t="s">
        <v>1097</v>
      </c>
      <c r="G4" s="348" t="s">
        <v>1098</v>
      </c>
      <c r="H4" s="337"/>
      <c r="J4" s="349" t="s">
        <v>1099</v>
      </c>
      <c r="K4" s="215">
        <f>(K2+K3)*0.04</f>
        <v>0.96799999999999997</v>
      </c>
    </row>
    <row r="5" spans="1:12">
      <c r="A5" s="2"/>
      <c r="B5" s="1"/>
      <c r="C5" s="317"/>
      <c r="D5" s="318"/>
      <c r="E5" s="317"/>
      <c r="F5" s="317"/>
      <c r="G5" s="350"/>
      <c r="H5" s="318"/>
      <c r="J5" s="347" t="s">
        <v>1100</v>
      </c>
      <c r="K5" s="215">
        <f>+K2+K3+K4</f>
        <v>25.167999999999999</v>
      </c>
    </row>
    <row r="6" spans="1:12" ht="16">
      <c r="A6" s="319"/>
      <c r="B6" s="320" t="s">
        <v>931</v>
      </c>
      <c r="C6" s="321"/>
      <c r="D6" s="322"/>
      <c r="E6" s="321"/>
      <c r="F6" s="321"/>
      <c r="G6" s="351"/>
      <c r="H6" s="322"/>
    </row>
    <row r="7" spans="1:12">
      <c r="A7" s="2"/>
      <c r="B7" s="1"/>
      <c r="C7" s="317"/>
      <c r="D7" s="318"/>
      <c r="E7" s="317"/>
      <c r="F7" s="317"/>
      <c r="G7" s="350"/>
      <c r="H7" s="318"/>
    </row>
    <row r="8" spans="1:12">
      <c r="A8" s="323">
        <v>1</v>
      </c>
      <c r="B8" s="324" t="s">
        <v>932</v>
      </c>
      <c r="C8" s="317"/>
      <c r="D8" s="318"/>
      <c r="E8" s="317"/>
      <c r="F8" s="317"/>
      <c r="G8" s="350"/>
      <c r="H8" s="318"/>
      <c r="J8" s="215">
        <f>+L4+K4</f>
        <v>0.96799999999999997</v>
      </c>
    </row>
    <row r="9" spans="1:12">
      <c r="A9" s="2"/>
      <c r="B9" s="1" t="s">
        <v>1119</v>
      </c>
      <c r="C9" s="317"/>
      <c r="D9" s="318"/>
      <c r="E9" s="317"/>
      <c r="F9" s="317"/>
      <c r="G9" s="350"/>
      <c r="H9" s="318"/>
    </row>
    <row r="10" spans="1:12">
      <c r="A10" s="2"/>
      <c r="B10" s="1" t="s">
        <v>933</v>
      </c>
      <c r="C10" s="317">
        <f>+'Dep as per IT'!O27</f>
        <v>1763665</v>
      </c>
      <c r="D10" s="318"/>
      <c r="E10" s="317"/>
      <c r="F10" s="317"/>
      <c r="G10" s="350"/>
      <c r="H10" s="318"/>
      <c r="L10" s="215">
        <v>392034</v>
      </c>
    </row>
    <row r="11" spans="1:12">
      <c r="A11" s="2"/>
      <c r="B11" s="1"/>
      <c r="C11" s="317"/>
      <c r="D11" s="318"/>
      <c r="E11" s="317"/>
      <c r="F11" s="317"/>
      <c r="G11" s="350"/>
      <c r="H11" s="318"/>
    </row>
    <row r="12" spans="1:12">
      <c r="A12" s="2"/>
      <c r="B12" s="6" t="s">
        <v>934</v>
      </c>
      <c r="C12" s="317"/>
      <c r="D12" s="318"/>
      <c r="E12" s="317"/>
      <c r="F12" s="317"/>
      <c r="G12" s="350"/>
      <c r="H12" s="318"/>
    </row>
    <row r="13" spans="1:12">
      <c r="A13" s="2"/>
      <c r="B13" s="1" t="s">
        <v>1119</v>
      </c>
      <c r="C13" s="317"/>
      <c r="D13" s="318"/>
      <c r="E13" s="317"/>
      <c r="F13" s="317"/>
      <c r="G13" s="350"/>
      <c r="H13" s="318"/>
    </row>
    <row r="14" spans="1:12">
      <c r="A14" s="2"/>
      <c r="B14" s="1" t="s">
        <v>935</v>
      </c>
      <c r="C14" s="325">
        <v>799228</v>
      </c>
      <c r="D14" s="63">
        <f>C10-C14</f>
        <v>964437</v>
      </c>
      <c r="E14" s="317">
        <f>ROUND(D14*J15%,0)</f>
        <v>220856</v>
      </c>
      <c r="F14" s="317">
        <f>+'Deferred tax 18-19'!F14</f>
        <v>200468</v>
      </c>
      <c r="G14" s="350">
        <f>+E14-F14</f>
        <v>20388</v>
      </c>
      <c r="H14" s="318"/>
      <c r="L14" s="215">
        <v>586287</v>
      </c>
    </row>
    <row r="15" spans="1:12">
      <c r="A15" s="2"/>
      <c r="B15" s="1" t="s">
        <v>936</v>
      </c>
      <c r="C15" s="317"/>
      <c r="D15" s="318"/>
      <c r="E15" s="317">
        <v>0</v>
      </c>
      <c r="F15" s="317"/>
      <c r="G15" s="350"/>
      <c r="H15" s="318"/>
      <c r="I15" s="215" t="s">
        <v>1101</v>
      </c>
      <c r="J15" s="326">
        <v>22.9</v>
      </c>
    </row>
    <row r="16" spans="1:12" ht="16" thickBot="1">
      <c r="A16" s="2"/>
      <c r="B16" s="1"/>
      <c r="C16" s="317"/>
      <c r="D16" s="318"/>
      <c r="E16" s="327">
        <f>+E14+E15</f>
        <v>220856</v>
      </c>
      <c r="F16" s="328"/>
      <c r="G16" s="352"/>
      <c r="H16" s="337"/>
      <c r="I16" s="215">
        <f>+'Deferred tax 18-19'!E16</f>
        <v>198322</v>
      </c>
    </row>
    <row r="17" spans="1:14" ht="16" thickTop="1">
      <c r="A17" s="2"/>
      <c r="B17" s="1"/>
      <c r="C17" s="317"/>
      <c r="D17" s="318"/>
      <c r="E17" s="328"/>
      <c r="F17" s="328"/>
      <c r="G17" s="352"/>
      <c r="H17" s="337"/>
    </row>
    <row r="18" spans="1:14">
      <c r="A18" s="323">
        <v>2</v>
      </c>
      <c r="B18" s="324" t="s">
        <v>937</v>
      </c>
      <c r="C18" s="317"/>
      <c r="D18" s="318"/>
      <c r="E18" s="317"/>
      <c r="F18" s="317"/>
      <c r="G18" s="350"/>
      <c r="H18" s="318"/>
    </row>
    <row r="19" spans="1:14">
      <c r="A19" s="323"/>
      <c r="B19" s="1" t="s">
        <v>938</v>
      </c>
      <c r="C19" s="317"/>
      <c r="D19" s="318"/>
      <c r="E19" s="317">
        <v>8234141</v>
      </c>
      <c r="F19" s="317"/>
      <c r="G19" s="350"/>
      <c r="H19" s="318"/>
    </row>
    <row r="20" spans="1:14">
      <c r="A20" s="323"/>
      <c r="B20" s="329" t="s">
        <v>939</v>
      </c>
      <c r="C20" s="317"/>
      <c r="D20" s="318"/>
      <c r="E20" s="317"/>
      <c r="F20" s="317"/>
      <c r="G20" s="350"/>
      <c r="H20" s="318"/>
    </row>
    <row r="21" spans="1:14">
      <c r="A21" s="323"/>
      <c r="B21" s="330" t="s">
        <v>1102</v>
      </c>
      <c r="C21" s="317">
        <f>926310/5</f>
        <v>185262</v>
      </c>
      <c r="D21" s="318"/>
      <c r="E21" s="317"/>
      <c r="F21" s="317"/>
      <c r="G21" s="350"/>
      <c r="H21" s="318"/>
      <c r="J21" s="215" t="s">
        <v>989</v>
      </c>
      <c r="L21" s="215">
        <v>228983.83199999999</v>
      </c>
    </row>
    <row r="22" spans="1:14">
      <c r="A22" s="2"/>
      <c r="B22" s="1"/>
      <c r="C22" s="325"/>
      <c r="D22" s="307">
        <f>+SUM(C19:C22)</f>
        <v>185262</v>
      </c>
      <c r="E22" s="317">
        <f>-ROUND(M25,0)</f>
        <v>-68695</v>
      </c>
      <c r="F22" s="317"/>
      <c r="G22" s="350">
        <f>+E22</f>
        <v>-68695</v>
      </c>
      <c r="H22" s="318"/>
      <c r="J22" s="215" t="s">
        <v>990</v>
      </c>
      <c r="L22" s="215" t="s">
        <v>996</v>
      </c>
      <c r="M22" s="215" t="s">
        <v>997</v>
      </c>
      <c r="N22" s="215" t="s">
        <v>998</v>
      </c>
    </row>
    <row r="23" spans="1:14">
      <c r="A23" s="2"/>
      <c r="B23" s="324" t="s">
        <v>937</v>
      </c>
      <c r="C23" s="317"/>
      <c r="D23" s="318"/>
      <c r="E23" s="328">
        <f>+E19+E22</f>
        <v>8165446</v>
      </c>
      <c r="F23" s="328"/>
      <c r="G23" s="352"/>
      <c r="H23" s="337"/>
      <c r="J23" s="215" t="s">
        <v>991</v>
      </c>
      <c r="L23" s="215">
        <f>L21/4</f>
        <v>57245.957999999999</v>
      </c>
      <c r="M23" s="215">
        <v>55338</v>
      </c>
      <c r="N23" s="215">
        <f>L23-M23</f>
        <v>1907.9579999999987</v>
      </c>
    </row>
    <row r="24" spans="1:14">
      <c r="A24" s="2"/>
      <c r="B24" s="1"/>
      <c r="C24" s="317"/>
      <c r="D24" s="318"/>
      <c r="E24" s="317"/>
      <c r="F24" s="317"/>
      <c r="G24" s="350"/>
      <c r="H24" s="318"/>
      <c r="J24" s="215" t="s">
        <v>992</v>
      </c>
      <c r="L24" s="215">
        <f>L23</f>
        <v>57245.957999999999</v>
      </c>
      <c r="M24" s="215">
        <v>47705</v>
      </c>
      <c r="N24" s="215">
        <f>L24-M24</f>
        <v>9540.9579999999987</v>
      </c>
    </row>
    <row r="25" spans="1:14">
      <c r="A25" s="2"/>
      <c r="B25" s="1" t="s">
        <v>940</v>
      </c>
      <c r="C25" s="317">
        <v>0</v>
      </c>
      <c r="D25" s="318"/>
      <c r="E25" s="317"/>
      <c r="F25" s="317"/>
      <c r="G25" s="350"/>
      <c r="H25" s="318"/>
      <c r="J25" s="215" t="s">
        <v>993</v>
      </c>
      <c r="L25" s="215">
        <f>L24</f>
        <v>57245.957999999999</v>
      </c>
      <c r="M25" s="331">
        <f>L25+N24+N23</f>
        <v>68694.873999999996</v>
      </c>
      <c r="N25" s="215">
        <f>L25-M25</f>
        <v>-11448.915999999997</v>
      </c>
    </row>
    <row r="26" spans="1:14">
      <c r="A26" s="2"/>
      <c r="B26" s="1" t="s">
        <v>127</v>
      </c>
      <c r="C26" s="317">
        <v>303312</v>
      </c>
      <c r="D26" s="318"/>
      <c r="E26" s="317"/>
      <c r="F26" s="317"/>
      <c r="G26" s="350"/>
      <c r="H26" s="318"/>
      <c r="I26" s="215" t="s">
        <v>1101</v>
      </c>
      <c r="J26" s="215" t="s">
        <v>994</v>
      </c>
      <c r="L26" s="215">
        <f>L25</f>
        <v>57245.957999999999</v>
      </c>
      <c r="M26" s="215">
        <f>L26</f>
        <v>57245.957999999999</v>
      </c>
      <c r="N26" s="215">
        <f>L26-M26</f>
        <v>0</v>
      </c>
    </row>
    <row r="27" spans="1:14">
      <c r="A27" s="2"/>
      <c r="B27" s="1" t="s">
        <v>941</v>
      </c>
      <c r="C27" s="317">
        <v>792201</v>
      </c>
      <c r="D27" s="318">
        <f>SUM(C25:C27)</f>
        <v>1095513</v>
      </c>
      <c r="E27" s="317">
        <f>ROUND(D27*J15%,0)</f>
        <v>250872</v>
      </c>
      <c r="F27" s="317">
        <f>+'Deferred tax 18-19'!E27+36848+74207</f>
        <v>164593</v>
      </c>
      <c r="G27" s="350">
        <f>+E27-F27</f>
        <v>86279</v>
      </c>
      <c r="H27" s="318"/>
      <c r="I27" s="215">
        <f>+'Deferred tax 18-19'!E27</f>
        <v>53538</v>
      </c>
      <c r="L27" s="215">
        <f>SUM(L23:L26)</f>
        <v>228983.83199999999</v>
      </c>
      <c r="M27" s="215">
        <f>SUM(M23:M26)</f>
        <v>228983.83199999999</v>
      </c>
      <c r="N27" s="215">
        <f>SUM(N23:N26)</f>
        <v>0</v>
      </c>
    </row>
    <row r="28" spans="1:14">
      <c r="A28" s="2"/>
      <c r="B28" s="1"/>
      <c r="C28" s="317"/>
      <c r="D28" s="318"/>
      <c r="E28" s="317"/>
      <c r="F28" s="317"/>
      <c r="G28" s="350"/>
      <c r="H28" s="318"/>
    </row>
    <row r="29" spans="1:14">
      <c r="A29" s="323">
        <v>3</v>
      </c>
      <c r="B29" s="324" t="s">
        <v>932</v>
      </c>
      <c r="C29" s="317"/>
      <c r="D29" s="318"/>
      <c r="E29" s="317"/>
      <c r="F29" s="317"/>
      <c r="G29" s="350"/>
      <c r="H29" s="318"/>
    </row>
    <row r="30" spans="1:14">
      <c r="A30" s="323"/>
      <c r="B30" s="324"/>
      <c r="C30" s="317"/>
      <c r="D30" s="318"/>
      <c r="E30" s="317"/>
      <c r="F30" s="317"/>
      <c r="G30" s="350"/>
      <c r="H30" s="318"/>
    </row>
    <row r="31" spans="1:14">
      <c r="A31" s="323"/>
      <c r="B31" s="6" t="s">
        <v>57</v>
      </c>
      <c r="C31" s="317"/>
      <c r="D31" s="318"/>
      <c r="E31" s="317"/>
      <c r="F31" s="317"/>
      <c r="G31" s="350"/>
      <c r="H31" s="318"/>
      <c r="J31" s="215" t="s">
        <v>989</v>
      </c>
      <c r="L31" s="215">
        <v>209104</v>
      </c>
    </row>
    <row r="32" spans="1:14">
      <c r="A32" s="323"/>
      <c r="B32" s="1" t="s">
        <v>942</v>
      </c>
      <c r="C32" s="317">
        <v>138359</v>
      </c>
      <c r="D32" s="318"/>
      <c r="E32" s="317"/>
      <c r="F32" s="317"/>
      <c r="G32" s="350"/>
      <c r="H32" s="318"/>
    </row>
    <row r="33" spans="1:16">
      <c r="A33" s="323"/>
      <c r="B33" s="1" t="s">
        <v>943</v>
      </c>
      <c r="C33" s="317">
        <v>482066</v>
      </c>
      <c r="D33" s="318"/>
      <c r="E33" s="317"/>
      <c r="F33" s="317"/>
      <c r="G33" s="350"/>
      <c r="H33" s="318"/>
    </row>
    <row r="34" spans="1:16">
      <c r="A34" s="323"/>
      <c r="B34" s="1" t="s">
        <v>944</v>
      </c>
      <c r="C34" s="317">
        <v>470795</v>
      </c>
      <c r="D34" s="318"/>
      <c r="E34" s="317"/>
      <c r="F34" s="317"/>
      <c r="G34" s="350"/>
      <c r="H34" s="318"/>
    </row>
    <row r="35" spans="1:16">
      <c r="A35" s="323"/>
      <c r="B35" s="1" t="s">
        <v>1103</v>
      </c>
      <c r="C35" s="325">
        <v>403432</v>
      </c>
      <c r="D35" s="318"/>
      <c r="E35" s="317"/>
      <c r="F35" s="317"/>
      <c r="G35" s="350"/>
      <c r="H35" s="318"/>
      <c r="J35" s="215" t="s">
        <v>1104</v>
      </c>
    </row>
    <row r="36" spans="1:16">
      <c r="A36" s="323"/>
      <c r="B36" s="1" t="s">
        <v>1105</v>
      </c>
      <c r="C36" s="317">
        <f>+'Dep as per IT'!K27</f>
        <v>392034</v>
      </c>
      <c r="D36" s="318"/>
      <c r="E36" s="317"/>
      <c r="F36" s="317"/>
      <c r="G36" s="350"/>
      <c r="H36" s="318"/>
    </row>
    <row r="37" spans="1:16">
      <c r="A37" s="323"/>
      <c r="B37" s="1"/>
      <c r="C37" s="328">
        <f>SUM(C32:C36)</f>
        <v>1886686</v>
      </c>
      <c r="D37" s="318"/>
      <c r="E37" s="317"/>
      <c r="F37" s="317"/>
      <c r="G37" s="350"/>
      <c r="H37" s="318"/>
      <c r="J37" s="215" t="s">
        <v>1106</v>
      </c>
      <c r="K37" s="215">
        <v>0</v>
      </c>
    </row>
    <row r="38" spans="1:16">
      <c r="A38" s="323"/>
      <c r="B38" s="6" t="s">
        <v>945</v>
      </c>
      <c r="C38" s="317"/>
      <c r="D38" s="318"/>
      <c r="E38" s="317"/>
      <c r="F38" s="317"/>
      <c r="G38" s="350"/>
      <c r="H38" s="318"/>
      <c r="J38" s="215" t="s">
        <v>991</v>
      </c>
      <c r="K38" s="215">
        <v>4488703</v>
      </c>
    </row>
    <row r="39" spans="1:16">
      <c r="A39" s="323"/>
      <c r="B39" s="1" t="s">
        <v>946</v>
      </c>
      <c r="C39" s="317">
        <f>4118444</f>
        <v>4118444</v>
      </c>
      <c r="D39" s="318"/>
      <c r="E39" s="317"/>
      <c r="F39" s="317"/>
      <c r="G39" s="350"/>
      <c r="H39" s="318"/>
      <c r="J39" s="215" t="s">
        <v>992</v>
      </c>
      <c r="K39" s="215">
        <v>7881410</v>
      </c>
    </row>
    <row r="40" spans="1:16">
      <c r="A40" s="323"/>
      <c r="B40" s="1" t="s">
        <v>947</v>
      </c>
      <c r="C40" s="317">
        <f>10586171</f>
        <v>10586171</v>
      </c>
      <c r="D40" s="318"/>
      <c r="E40" s="317"/>
      <c r="F40" s="317"/>
      <c r="G40" s="350"/>
      <c r="H40" s="318"/>
      <c r="J40" s="215" t="s">
        <v>993</v>
      </c>
      <c r="K40" s="215">
        <v>-4488703</v>
      </c>
    </row>
    <row r="41" spans="1:16">
      <c r="A41" s="323"/>
      <c r="B41" s="1" t="s">
        <v>948</v>
      </c>
      <c r="C41" s="317">
        <v>15265437</v>
      </c>
      <c r="D41" s="318"/>
      <c r="E41" s="317"/>
      <c r="F41" s="317"/>
      <c r="G41" s="350"/>
      <c r="H41" s="318"/>
      <c r="J41" s="215" t="s">
        <v>994</v>
      </c>
    </row>
    <row r="42" spans="1:16">
      <c r="A42" s="323"/>
      <c r="B42" s="1" t="s">
        <v>1107</v>
      </c>
      <c r="C42" s="317">
        <v>17121449</v>
      </c>
      <c r="D42" s="318"/>
      <c r="E42" s="317"/>
      <c r="F42" s="317"/>
      <c r="G42" s="350"/>
      <c r="H42" s="318"/>
      <c r="K42" s="333">
        <f>SUM(K37:K41)</f>
        <v>7881410</v>
      </c>
      <c r="M42" s="333"/>
      <c r="P42" s="215">
        <v>17121449</v>
      </c>
    </row>
    <row r="43" spans="1:16">
      <c r="A43" s="323"/>
      <c r="B43" s="1" t="s">
        <v>1108</v>
      </c>
      <c r="C43" s="317">
        <v>27614014</v>
      </c>
      <c r="D43" s="318"/>
      <c r="E43" s="317"/>
      <c r="F43" s="317"/>
      <c r="G43" s="350"/>
      <c r="H43" s="318"/>
      <c r="K43" s="333"/>
      <c r="M43" s="333"/>
    </row>
    <row r="44" spans="1:16">
      <c r="A44" s="323"/>
      <c r="B44" s="1"/>
      <c r="C44" s="328">
        <f>SUM(C39:C43)</f>
        <v>74705515</v>
      </c>
      <c r="D44" s="318">
        <f>+C37+C44</f>
        <v>76592201</v>
      </c>
      <c r="E44" s="317">
        <f>ROUND(D44*J15%,0)</f>
        <v>17539614</v>
      </c>
      <c r="F44" s="317">
        <f>+'Deferred tax 18-19'!E42</f>
        <v>12126062</v>
      </c>
      <c r="G44" s="350">
        <f>+E44-F44</f>
        <v>5413552</v>
      </c>
      <c r="H44" s="318"/>
      <c r="J44" s="215" t="s">
        <v>1109</v>
      </c>
      <c r="K44" s="333">
        <f>E44-K42</f>
        <v>9658204</v>
      </c>
      <c r="P44" s="215">
        <v>403432</v>
      </c>
    </row>
    <row r="45" spans="1:16">
      <c r="A45" s="2"/>
      <c r="B45" s="1"/>
      <c r="C45" s="317"/>
      <c r="D45" s="318"/>
      <c r="E45" s="317"/>
      <c r="F45" s="317"/>
      <c r="G45" s="350"/>
      <c r="H45" s="318"/>
      <c r="P45" s="215">
        <f>+P42+P44</f>
        <v>17524881</v>
      </c>
    </row>
    <row r="46" spans="1:16">
      <c r="A46" s="2"/>
      <c r="B46" s="1" t="s">
        <v>984</v>
      </c>
      <c r="C46" s="317"/>
      <c r="D46" s="318"/>
      <c r="E46" s="317"/>
      <c r="F46" s="317"/>
      <c r="G46" s="350"/>
      <c r="H46" s="318"/>
      <c r="M46" s="333"/>
    </row>
    <row r="47" spans="1:16">
      <c r="A47" s="2"/>
      <c r="B47" s="1"/>
      <c r="C47" s="317"/>
      <c r="D47" s="318"/>
      <c r="E47" s="317"/>
      <c r="F47" s="317"/>
      <c r="G47" s="350"/>
      <c r="H47" s="318"/>
    </row>
    <row r="48" spans="1:16">
      <c r="A48" s="2"/>
      <c r="B48" s="312" t="s">
        <v>949</v>
      </c>
      <c r="C48" s="335"/>
      <c r="D48" s="336"/>
      <c r="E48" s="315">
        <f>+E16+E23+E27+E44+E46</f>
        <v>26176788</v>
      </c>
      <c r="F48" s="328"/>
      <c r="G48" s="352"/>
      <c r="H48" s="337"/>
      <c r="I48" s="333">
        <f>+K44+E27+E22+E16+I16+I27</f>
        <v>10313097</v>
      </c>
    </row>
    <row r="49" spans="1:8">
      <c r="A49" s="2"/>
      <c r="B49" s="1"/>
      <c r="C49" s="317"/>
      <c r="D49" s="318"/>
      <c r="E49" s="317"/>
      <c r="F49" s="317"/>
      <c r="G49" s="350"/>
      <c r="H49" s="318"/>
    </row>
    <row r="50" spans="1:8">
      <c r="A50" s="2"/>
      <c r="B50" s="1"/>
      <c r="C50" s="317"/>
      <c r="D50" s="318"/>
      <c r="E50" s="317"/>
      <c r="F50" s="317"/>
      <c r="G50" s="350"/>
      <c r="H50" s="318"/>
    </row>
    <row r="51" spans="1:8">
      <c r="A51" s="2"/>
      <c r="B51" s="1" t="s">
        <v>985</v>
      </c>
      <c r="C51" s="317"/>
      <c r="D51" s="318"/>
      <c r="E51" s="317">
        <f>E19</f>
        <v>8234141</v>
      </c>
      <c r="F51" s="317"/>
      <c r="G51" s="350"/>
      <c r="H51" s="318"/>
    </row>
    <row r="52" spans="1:8">
      <c r="A52" s="2"/>
      <c r="B52" s="1" t="s">
        <v>57</v>
      </c>
      <c r="C52" s="317"/>
      <c r="D52" s="318"/>
      <c r="E52" s="317"/>
      <c r="F52" s="317"/>
      <c r="G52" s="350"/>
      <c r="H52" s="318"/>
    </row>
    <row r="53" spans="1:8">
      <c r="A53" s="2"/>
      <c r="B53" s="6" t="s">
        <v>950</v>
      </c>
      <c r="C53" s="317"/>
      <c r="D53" s="318"/>
      <c r="E53" s="317"/>
      <c r="F53" s="317"/>
      <c r="G53" s="350"/>
      <c r="H53" s="318"/>
    </row>
    <row r="54" spans="1:8">
      <c r="A54" s="2"/>
      <c r="B54" s="1" t="s">
        <v>951</v>
      </c>
      <c r="C54" s="317"/>
      <c r="D54" s="318"/>
      <c r="E54" s="317"/>
      <c r="F54" s="317"/>
      <c r="G54" s="350"/>
      <c r="H54" s="318"/>
    </row>
    <row r="55" spans="1:8">
      <c r="A55" s="2"/>
      <c r="B55" s="1"/>
      <c r="C55" s="317"/>
      <c r="D55" s="318"/>
      <c r="E55" s="317"/>
      <c r="F55" s="317"/>
      <c r="G55" s="350"/>
      <c r="H55" s="318"/>
    </row>
    <row r="56" spans="1:8">
      <c r="A56" s="2"/>
      <c r="B56" s="1" t="s">
        <v>984</v>
      </c>
      <c r="C56" s="317"/>
      <c r="D56" s="318"/>
      <c r="E56" s="317"/>
      <c r="F56" s="317"/>
      <c r="G56" s="350"/>
      <c r="H56" s="318"/>
    </row>
    <row r="57" spans="1:8">
      <c r="A57" s="2"/>
      <c r="B57" s="1"/>
      <c r="C57" s="317"/>
      <c r="D57" s="318"/>
      <c r="E57" s="317"/>
      <c r="F57" s="317"/>
      <c r="G57" s="350"/>
      <c r="H57" s="318"/>
    </row>
    <row r="58" spans="1:8">
      <c r="A58" s="2"/>
      <c r="B58" s="6" t="s">
        <v>952</v>
      </c>
      <c r="C58" s="317"/>
      <c r="D58" s="318"/>
      <c r="E58" s="317"/>
      <c r="F58" s="317"/>
      <c r="G58" s="350"/>
      <c r="H58" s="318"/>
    </row>
    <row r="59" spans="1:8">
      <c r="A59" s="2"/>
      <c r="B59" s="1" t="s">
        <v>953</v>
      </c>
      <c r="C59" s="317"/>
      <c r="D59" s="318"/>
      <c r="E59" s="317">
        <f>E22</f>
        <v>-68695</v>
      </c>
      <c r="F59" s="317"/>
      <c r="G59" s="350"/>
      <c r="H59" s="318"/>
    </row>
    <row r="60" spans="1:8">
      <c r="A60" s="2"/>
      <c r="B60" s="1"/>
      <c r="C60" s="317"/>
      <c r="D60" s="318"/>
      <c r="E60" s="317"/>
      <c r="F60" s="317"/>
      <c r="G60" s="350"/>
      <c r="H60" s="318"/>
    </row>
    <row r="61" spans="1:8" ht="16" thickBot="1">
      <c r="A61" s="2"/>
      <c r="B61" s="6" t="s">
        <v>987</v>
      </c>
      <c r="C61" s="328"/>
      <c r="D61" s="337"/>
      <c r="E61" s="327">
        <f>SUM(E51:E60)</f>
        <v>8165446</v>
      </c>
      <c r="F61" s="328"/>
      <c r="G61" s="352"/>
      <c r="H61" s="337"/>
    </row>
    <row r="62" spans="1:8" ht="16" thickTop="1">
      <c r="A62" s="2"/>
      <c r="B62" s="1"/>
      <c r="C62" s="317"/>
      <c r="D62" s="318"/>
      <c r="E62" s="317"/>
      <c r="F62" s="317"/>
      <c r="G62" s="350"/>
      <c r="H62" s="318"/>
    </row>
    <row r="63" spans="1:8" s="338" customFormat="1">
      <c r="A63" s="4"/>
      <c r="B63" s="6" t="s">
        <v>986</v>
      </c>
      <c r="C63" s="328"/>
      <c r="D63" s="337"/>
      <c r="E63" s="328">
        <f>E61-E51</f>
        <v>-68695</v>
      </c>
      <c r="F63" s="328"/>
      <c r="G63" s="352"/>
      <c r="H63" s="337"/>
    </row>
    <row r="64" spans="1:8">
      <c r="A64" s="339"/>
      <c r="B64" s="340"/>
      <c r="C64" s="341"/>
      <c r="D64" s="342"/>
      <c r="E64" s="341"/>
      <c r="F64" s="341"/>
      <c r="G64" s="353"/>
      <c r="H64" s="344"/>
    </row>
    <row r="65" spans="1:11">
      <c r="A65" s="343"/>
      <c r="B65" s="1"/>
      <c r="C65" s="344"/>
      <c r="D65" s="344"/>
      <c r="E65" s="344"/>
      <c r="F65" s="344"/>
      <c r="G65" s="344"/>
      <c r="H65" s="344"/>
    </row>
    <row r="66" spans="1:11">
      <c r="A66" s="1"/>
      <c r="B66" s="1"/>
      <c r="C66" s="306"/>
      <c r="D66" s="306"/>
      <c r="E66" s="306"/>
      <c r="F66" s="306"/>
      <c r="G66" s="306"/>
      <c r="H66" s="306"/>
    </row>
    <row r="67" spans="1:11">
      <c r="A67" s="1"/>
      <c r="B67" s="6" t="s">
        <v>0</v>
      </c>
      <c r="C67" s="306"/>
      <c r="D67" s="345" t="s">
        <v>954</v>
      </c>
      <c r="E67" s="345" t="s">
        <v>955</v>
      </c>
      <c r="F67" s="345" t="s">
        <v>956</v>
      </c>
      <c r="G67" s="345" t="s">
        <v>1110</v>
      </c>
      <c r="H67" s="345"/>
    </row>
    <row r="68" spans="1:11">
      <c r="A68" s="1"/>
      <c r="B68" s="1"/>
      <c r="C68" s="306"/>
      <c r="D68" s="306"/>
      <c r="E68" s="306"/>
      <c r="F68" s="306"/>
      <c r="H68" s="306"/>
    </row>
    <row r="69" spans="1:11">
      <c r="A69" s="1"/>
      <c r="B69" s="1" t="s">
        <v>957</v>
      </c>
      <c r="C69" s="306"/>
      <c r="D69" s="306">
        <f>C32+C39</f>
        <v>4256803</v>
      </c>
      <c r="E69" s="306">
        <v>11068237</v>
      </c>
      <c r="F69" s="306">
        <v>15736232</v>
      </c>
      <c r="G69" s="333">
        <f>+C35+C42</f>
        <v>17524881</v>
      </c>
      <c r="H69" s="306"/>
    </row>
    <row r="70" spans="1:11">
      <c r="A70" s="1"/>
      <c r="B70" s="1"/>
      <c r="C70" s="306"/>
      <c r="D70" s="306"/>
      <c r="E70" s="306"/>
      <c r="F70" s="306"/>
      <c r="H70" s="306"/>
    </row>
    <row r="71" spans="1:11">
      <c r="A71" s="1"/>
      <c r="B71" s="1" t="s">
        <v>958</v>
      </c>
      <c r="C71" s="306"/>
      <c r="D71" s="307">
        <f>+C32</f>
        <v>138359</v>
      </c>
      <c r="E71" s="307">
        <f>+C33</f>
        <v>482066</v>
      </c>
      <c r="F71" s="307">
        <v>470795</v>
      </c>
      <c r="G71" s="346">
        <f>+C35</f>
        <v>403432</v>
      </c>
      <c r="H71" s="307"/>
      <c r="K71" s="333"/>
    </row>
    <row r="72" spans="1:11">
      <c r="A72" s="1"/>
      <c r="B72" s="1" t="s">
        <v>959</v>
      </c>
      <c r="C72" s="306"/>
      <c r="D72" s="306">
        <f>+D69-D71</f>
        <v>4118444</v>
      </c>
      <c r="E72" s="306">
        <f>+E69-E71</f>
        <v>10586171</v>
      </c>
      <c r="F72" s="306">
        <f>+F69-F71</f>
        <v>15265437</v>
      </c>
      <c r="G72" s="306">
        <f>+G69-G71</f>
        <v>17121449</v>
      </c>
      <c r="H72" s="306"/>
    </row>
    <row r="73" spans="1:11">
      <c r="A73" s="1"/>
      <c r="B73" s="1"/>
      <c r="C73" s="306"/>
      <c r="D73" s="306"/>
      <c r="E73" s="306"/>
      <c r="F73" s="306"/>
      <c r="G73" s="306"/>
      <c r="H73" s="306"/>
    </row>
    <row r="74" spans="1:11">
      <c r="A74" s="1"/>
      <c r="B74" s="1"/>
      <c r="C74" s="306"/>
      <c r="D74" s="306"/>
      <c r="E74" s="306"/>
      <c r="F74" s="306"/>
      <c r="G74" s="306"/>
      <c r="H74" s="306"/>
    </row>
    <row r="75" spans="1:11">
      <c r="A75" s="1"/>
      <c r="B75" s="1"/>
      <c r="C75" s="306"/>
      <c r="D75" s="306"/>
      <c r="E75" s="306"/>
      <c r="F75" s="306"/>
      <c r="G75" s="306"/>
      <c r="H75" s="306"/>
    </row>
    <row r="76" spans="1:11">
      <c r="A76" s="1"/>
      <c r="B76" s="1"/>
      <c r="C76" s="306"/>
      <c r="D76" s="306"/>
      <c r="E76" s="306"/>
      <c r="F76" s="306"/>
      <c r="G76" s="306"/>
      <c r="H76" s="306"/>
    </row>
    <row r="77" spans="1:11">
      <c r="A77" s="1"/>
      <c r="B77" s="1"/>
      <c r="C77" s="306"/>
      <c r="D77" s="306"/>
      <c r="E77" s="306"/>
      <c r="F77" s="306"/>
      <c r="G77" s="306"/>
      <c r="H77" s="306"/>
    </row>
  </sheetData>
  <mergeCells count="2">
    <mergeCell ref="A1:E1"/>
    <mergeCell ref="A2:E2"/>
  </mergeCells>
  <pageMargins left="0.7" right="0.7" top="0.75" bottom="0.75" header="0.3" footer="0.3"/>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M75"/>
  <sheetViews>
    <sheetView showGridLines="0" topLeftCell="A37" zoomScale="115" zoomScaleNormal="115" workbookViewId="0">
      <selection activeCell="B25" sqref="B25"/>
    </sheetView>
  </sheetViews>
  <sheetFormatPr baseColWidth="10" defaultColWidth="9.1640625" defaultRowHeight="15"/>
  <cols>
    <col min="1" max="1" width="7.5" style="215" customWidth="1"/>
    <col min="2" max="2" width="57.1640625" style="215" bestFit="1" customWidth="1"/>
    <col min="3" max="4" width="15.33203125" style="215" bestFit="1" customWidth="1"/>
    <col min="5" max="5" width="15" style="215" bestFit="1" customWidth="1"/>
    <col min="6" max="6" width="14" style="215" bestFit="1" customWidth="1"/>
    <col min="7" max="7" width="18.5" style="215" customWidth="1"/>
    <col min="8" max="8" width="12.83203125" style="215" bestFit="1" customWidth="1"/>
    <col min="9" max="9" width="11.1640625" style="215" bestFit="1" customWidth="1"/>
    <col min="10" max="10" width="12.1640625" style="215" bestFit="1" customWidth="1"/>
    <col min="11" max="16384" width="9.1640625" style="215"/>
  </cols>
  <sheetData>
    <row r="1" spans="1:9">
      <c r="A1" s="1158" t="s">
        <v>927</v>
      </c>
      <c r="B1" s="1158"/>
      <c r="C1" s="1158"/>
      <c r="D1" s="1158"/>
      <c r="E1" s="1158"/>
    </row>
    <row r="2" spans="1:9">
      <c r="A2" s="1158" t="s">
        <v>960</v>
      </c>
      <c r="B2" s="1158"/>
      <c r="C2" s="1158"/>
      <c r="D2" s="1158"/>
      <c r="E2" s="1158"/>
      <c r="F2" s="215" t="s">
        <v>992</v>
      </c>
      <c r="G2" s="215" t="s">
        <v>1111</v>
      </c>
    </row>
    <row r="3" spans="1:9">
      <c r="A3" s="1"/>
      <c r="B3" s="1"/>
      <c r="C3" s="306"/>
      <c r="D3" s="306"/>
      <c r="E3" s="306"/>
    </row>
    <row r="4" spans="1:9">
      <c r="A4" s="313" t="s">
        <v>928</v>
      </c>
      <c r="B4" s="314" t="s">
        <v>0</v>
      </c>
      <c r="C4" s="315" t="s">
        <v>929</v>
      </c>
      <c r="D4" s="316" t="s">
        <v>929</v>
      </c>
      <c r="E4" s="315" t="s">
        <v>930</v>
      </c>
    </row>
    <row r="5" spans="1:9">
      <c r="A5" s="2"/>
      <c r="B5" s="1"/>
      <c r="C5" s="317"/>
      <c r="D5" s="318"/>
      <c r="E5" s="317"/>
    </row>
    <row r="6" spans="1:9" ht="16">
      <c r="A6" s="319"/>
      <c r="B6" s="320" t="s">
        <v>931</v>
      </c>
      <c r="C6" s="321"/>
      <c r="D6" s="322"/>
      <c r="E6" s="321"/>
    </row>
    <row r="7" spans="1:9">
      <c r="A7" s="2"/>
      <c r="B7" s="1"/>
      <c r="C7" s="317"/>
      <c r="D7" s="318"/>
      <c r="E7" s="317"/>
    </row>
    <row r="8" spans="1:9">
      <c r="A8" s="323">
        <v>1</v>
      </c>
      <c r="B8" s="324" t="s">
        <v>932</v>
      </c>
      <c r="C8" s="317"/>
      <c r="D8" s="318"/>
      <c r="E8" s="317"/>
    </row>
    <row r="9" spans="1:9">
      <c r="A9" s="2"/>
      <c r="B9" s="1" t="s">
        <v>983</v>
      </c>
      <c r="C9" s="317"/>
      <c r="D9" s="318"/>
      <c r="E9" s="317"/>
    </row>
    <row r="10" spans="1:9">
      <c r="A10" s="2"/>
      <c r="B10" s="1" t="s">
        <v>933</v>
      </c>
      <c r="C10" s="317">
        <f>+'Dep as per IT'!O13</f>
        <v>1891368</v>
      </c>
      <c r="D10" s="318"/>
      <c r="E10" s="317"/>
      <c r="I10" s="215">
        <v>392034</v>
      </c>
    </row>
    <row r="11" spans="1:9">
      <c r="A11" s="2"/>
      <c r="B11" s="1"/>
      <c r="C11" s="317"/>
      <c r="D11" s="318"/>
      <c r="E11" s="317"/>
    </row>
    <row r="12" spans="1:9">
      <c r="A12" s="2"/>
      <c r="B12" s="6" t="s">
        <v>934</v>
      </c>
      <c r="C12" s="317"/>
      <c r="D12" s="318"/>
      <c r="E12" s="317"/>
    </row>
    <row r="13" spans="1:9">
      <c r="A13" s="2"/>
      <c r="B13" s="1" t="s">
        <v>983</v>
      </c>
      <c r="C13" s="317"/>
      <c r="D13" s="318"/>
      <c r="E13" s="317"/>
    </row>
    <row r="14" spans="1:9">
      <c r="A14" s="2"/>
      <c r="B14" s="1" t="s">
        <v>935</v>
      </c>
      <c r="C14" s="325">
        <v>1121184</v>
      </c>
      <c r="D14" s="63">
        <f>C10-C14</f>
        <v>770184</v>
      </c>
      <c r="E14" s="317">
        <f>ROUND(D14*I15%,0)</f>
        <v>198322</v>
      </c>
      <c r="F14" s="215">
        <v>200468</v>
      </c>
      <c r="I14" s="215">
        <v>586287</v>
      </c>
    </row>
    <row r="15" spans="1:9">
      <c r="A15" s="2"/>
      <c r="B15" s="1" t="s">
        <v>936</v>
      </c>
      <c r="C15" s="317"/>
      <c r="D15" s="318"/>
      <c r="E15" s="317">
        <v>0</v>
      </c>
      <c r="I15" s="326">
        <v>25.75</v>
      </c>
    </row>
    <row r="16" spans="1:9" ht="16" thickBot="1">
      <c r="A16" s="2"/>
      <c r="B16" s="1"/>
      <c r="C16" s="317"/>
      <c r="D16" s="318"/>
      <c r="E16" s="327">
        <f>+E14+E15</f>
        <v>198322</v>
      </c>
    </row>
    <row r="17" spans="1:11" ht="16" thickTop="1">
      <c r="A17" s="2"/>
      <c r="B17" s="1"/>
      <c r="C17" s="317"/>
      <c r="D17" s="318"/>
      <c r="E17" s="328"/>
    </row>
    <row r="18" spans="1:11">
      <c r="A18" s="323">
        <v>2</v>
      </c>
      <c r="B18" s="324" t="s">
        <v>937</v>
      </c>
      <c r="C18" s="317"/>
      <c r="D18" s="318"/>
      <c r="E18" s="317"/>
    </row>
    <row r="19" spans="1:11">
      <c r="A19" s="323"/>
      <c r="B19" s="1" t="s">
        <v>938</v>
      </c>
      <c r="C19" s="317"/>
      <c r="D19" s="318"/>
      <c r="E19" s="317"/>
      <c r="F19" s="317">
        <v>8234141</v>
      </c>
    </row>
    <row r="20" spans="1:11">
      <c r="A20" s="323"/>
      <c r="B20" s="329" t="s">
        <v>939</v>
      </c>
      <c r="C20" s="317"/>
      <c r="D20" s="318"/>
      <c r="E20" s="317"/>
    </row>
    <row r="21" spans="1:11">
      <c r="A21" s="323"/>
      <c r="B21" s="330" t="s">
        <v>995</v>
      </c>
      <c r="C21" s="317">
        <f>926310/5</f>
        <v>185262</v>
      </c>
      <c r="D21" s="318"/>
      <c r="E21" s="317"/>
      <c r="G21" s="215" t="s">
        <v>989</v>
      </c>
      <c r="I21" s="215">
        <v>228983.83199999999</v>
      </c>
    </row>
    <row r="22" spans="1:11">
      <c r="A22" s="2"/>
      <c r="B22" s="1"/>
      <c r="C22" s="325"/>
      <c r="D22" s="307">
        <f>+SUM(C19:C22)</f>
        <v>185262</v>
      </c>
      <c r="E22" s="317">
        <f>-ROUND(J25,0)</f>
        <v>-68695</v>
      </c>
      <c r="G22" s="215" t="s">
        <v>990</v>
      </c>
      <c r="I22" s="215" t="s">
        <v>996</v>
      </c>
      <c r="J22" s="215" t="s">
        <v>997</v>
      </c>
      <c r="K22" s="215" t="s">
        <v>998</v>
      </c>
    </row>
    <row r="23" spans="1:11">
      <c r="A23" s="2"/>
      <c r="B23" s="324" t="s">
        <v>937</v>
      </c>
      <c r="C23" s="317"/>
      <c r="D23" s="318"/>
      <c r="E23" s="328">
        <f>+E19+E22</f>
        <v>-68695</v>
      </c>
      <c r="G23" s="215" t="s">
        <v>991</v>
      </c>
      <c r="I23" s="215">
        <f>I21/4</f>
        <v>57245.957999999999</v>
      </c>
      <c r="J23" s="215">
        <v>55338</v>
      </c>
      <c r="K23" s="215">
        <f>I23-J23</f>
        <v>1907.9579999999987</v>
      </c>
    </row>
    <row r="24" spans="1:11">
      <c r="A24" s="2"/>
      <c r="B24" s="1"/>
      <c r="C24" s="317"/>
      <c r="D24" s="318"/>
      <c r="E24" s="317"/>
      <c r="G24" s="215" t="s">
        <v>992</v>
      </c>
      <c r="I24" s="215">
        <f>I23</f>
        <v>57245.957999999999</v>
      </c>
      <c r="J24" s="215">
        <v>47705</v>
      </c>
      <c r="K24" s="215">
        <f>I24-J24</f>
        <v>9540.9579999999987</v>
      </c>
    </row>
    <row r="25" spans="1:11">
      <c r="A25" s="2"/>
      <c r="B25" s="1" t="s">
        <v>940</v>
      </c>
      <c r="C25" s="317">
        <v>0</v>
      </c>
      <c r="D25" s="318"/>
      <c r="E25" s="317"/>
      <c r="G25" s="215" t="s">
        <v>993</v>
      </c>
      <c r="I25" s="215">
        <f>I24</f>
        <v>57245.957999999999</v>
      </c>
      <c r="J25" s="331">
        <f>I25+K24+K23</f>
        <v>68694.873999999996</v>
      </c>
      <c r="K25" s="215">
        <f>I25-J25</f>
        <v>-11448.915999999997</v>
      </c>
    </row>
    <row r="26" spans="1:11">
      <c r="A26" s="2"/>
      <c r="B26" s="1" t="s">
        <v>127</v>
      </c>
      <c r="C26" s="317">
        <v>30414</v>
      </c>
      <c r="D26" s="318"/>
      <c r="E26" s="317"/>
      <c r="G26" s="215" t="s">
        <v>994</v>
      </c>
      <c r="I26" s="215">
        <f>I25</f>
        <v>57245.957999999999</v>
      </c>
      <c r="J26" s="215">
        <f>I26</f>
        <v>57245.957999999999</v>
      </c>
      <c r="K26" s="215">
        <f>I26-J26</f>
        <v>0</v>
      </c>
    </row>
    <row r="27" spans="1:11">
      <c r="A27" s="2"/>
      <c r="B27" s="1" t="s">
        <v>941</v>
      </c>
      <c r="C27" s="317">
        <v>177502</v>
      </c>
      <c r="D27" s="318">
        <f>SUM(C25:C27)</f>
        <v>207916</v>
      </c>
      <c r="E27" s="317">
        <f>ROUND(D27*I15%,0)</f>
        <v>53538</v>
      </c>
      <c r="F27" s="215">
        <v>1</v>
      </c>
      <c r="I27" s="215">
        <f>SUM(I23:I26)</f>
        <v>228983.83199999999</v>
      </c>
      <c r="J27" s="215">
        <f>SUM(J23:J26)</f>
        <v>228983.83199999999</v>
      </c>
      <c r="K27" s="215">
        <f>SUM(K23:K26)</f>
        <v>0</v>
      </c>
    </row>
    <row r="28" spans="1:11">
      <c r="A28" s="2"/>
      <c r="B28" s="1"/>
      <c r="C28" s="317"/>
      <c r="D28" s="318"/>
      <c r="E28" s="317"/>
    </row>
    <row r="29" spans="1:11">
      <c r="A29" s="323">
        <v>3</v>
      </c>
      <c r="B29" s="324" t="s">
        <v>932</v>
      </c>
      <c r="C29" s="317"/>
      <c r="D29" s="318"/>
      <c r="E29" s="317"/>
    </row>
    <row r="30" spans="1:11">
      <c r="A30" s="323"/>
      <c r="B30" s="324"/>
      <c r="C30" s="317"/>
      <c r="D30" s="318"/>
      <c r="E30" s="317"/>
    </row>
    <row r="31" spans="1:11">
      <c r="A31" s="323"/>
      <c r="B31" s="6" t="s">
        <v>57</v>
      </c>
      <c r="C31" s="317"/>
      <c r="D31" s="318"/>
      <c r="E31" s="317"/>
      <c r="G31" s="215" t="s">
        <v>989</v>
      </c>
      <c r="I31" s="215">
        <v>209104</v>
      </c>
    </row>
    <row r="32" spans="1:11">
      <c r="A32" s="323"/>
      <c r="B32" s="1" t="s">
        <v>942</v>
      </c>
      <c r="C32" s="317">
        <v>138359</v>
      </c>
      <c r="D32" s="318"/>
      <c r="E32" s="317"/>
    </row>
    <row r="33" spans="1:13">
      <c r="A33" s="323"/>
      <c r="B33" s="1" t="s">
        <v>943</v>
      </c>
      <c r="C33" s="317">
        <v>482066</v>
      </c>
      <c r="D33" s="318"/>
      <c r="E33" s="317"/>
    </row>
    <row r="34" spans="1:13">
      <c r="A34" s="323"/>
      <c r="B34" s="1" t="s">
        <v>944</v>
      </c>
      <c r="C34" s="317">
        <v>470795</v>
      </c>
      <c r="D34" s="318"/>
      <c r="E34" s="317"/>
    </row>
    <row r="35" spans="1:13">
      <c r="A35" s="323"/>
      <c r="B35" s="1" t="s">
        <v>1103</v>
      </c>
      <c r="C35" s="325">
        <f>403432</f>
        <v>403432</v>
      </c>
      <c r="D35" s="318"/>
      <c r="E35" s="317"/>
      <c r="F35" s="215">
        <f>+C35*25.75%</f>
        <v>103883.74</v>
      </c>
    </row>
    <row r="36" spans="1:13">
      <c r="A36" s="323"/>
      <c r="B36" s="1"/>
      <c r="C36" s="328">
        <f>SUM(C32:C35)</f>
        <v>1494652</v>
      </c>
      <c r="D36" s="318">
        <f>+C36</f>
        <v>1494652</v>
      </c>
      <c r="E36" s="317">
        <f>ROUND(D36*I15%,0)</f>
        <v>384873</v>
      </c>
      <c r="F36" s="332">
        <f>+F42-F39</f>
        <v>242455.25301905908</v>
      </c>
      <c r="G36" s="333">
        <f>+E36-F36</f>
        <v>142417.74698094092</v>
      </c>
    </row>
    <row r="37" spans="1:13">
      <c r="A37" s="323"/>
      <c r="B37" s="6" t="s">
        <v>945</v>
      </c>
      <c r="C37" s="317"/>
      <c r="D37" s="318"/>
      <c r="E37" s="317"/>
    </row>
    <row r="38" spans="1:13">
      <c r="A38" s="323"/>
      <c r="B38" s="1" t="s">
        <v>946</v>
      </c>
      <c r="C38" s="317">
        <f>4118444</f>
        <v>4118444</v>
      </c>
      <c r="D38" s="318"/>
      <c r="E38" s="317"/>
    </row>
    <row r="39" spans="1:13">
      <c r="A39" s="323"/>
      <c r="B39" s="1" t="s">
        <v>947</v>
      </c>
      <c r="C39" s="317">
        <f>10586171</f>
        <v>10586171</v>
      </c>
      <c r="D39" s="318"/>
      <c r="E39" s="317"/>
      <c r="F39" s="332">
        <v>7638954.7469809409</v>
      </c>
    </row>
    <row r="40" spans="1:13">
      <c r="A40" s="323"/>
      <c r="B40" s="1" t="s">
        <v>948</v>
      </c>
      <c r="C40" s="317">
        <v>15265437</v>
      </c>
      <c r="D40" s="318"/>
      <c r="E40" s="317"/>
    </row>
    <row r="41" spans="1:13">
      <c r="A41" s="323"/>
      <c r="B41" s="1" t="s">
        <v>1107</v>
      </c>
      <c r="C41" s="317">
        <f>17121449</f>
        <v>17121449</v>
      </c>
      <c r="D41" s="318"/>
      <c r="E41" s="317"/>
      <c r="F41" s="332">
        <v>7638954.7469809409</v>
      </c>
      <c r="G41" s="333">
        <f>+E42-F39</f>
        <v>4487107.2530190591</v>
      </c>
      <c r="H41" s="333"/>
      <c r="J41" s="333"/>
      <c r="M41" s="215">
        <v>17121449</v>
      </c>
    </row>
    <row r="42" spans="1:13">
      <c r="A42" s="323"/>
      <c r="B42" s="1"/>
      <c r="C42" s="328">
        <f>SUM(C38:C41)</f>
        <v>47091501</v>
      </c>
      <c r="D42" s="318">
        <f>+C42</f>
        <v>47091501</v>
      </c>
      <c r="E42" s="317">
        <f>ROUND(D42*I15%,0)</f>
        <v>12126062</v>
      </c>
      <c r="F42" s="215">
        <v>7881410</v>
      </c>
      <c r="G42" s="333">
        <f>+E42+E36-F42</f>
        <v>4629525</v>
      </c>
      <c r="H42" s="333"/>
      <c r="I42" s="333">
        <f>+G41-G36</f>
        <v>4344689.5060381182</v>
      </c>
      <c r="M42" s="215">
        <v>403432</v>
      </c>
    </row>
    <row r="43" spans="1:13">
      <c r="A43" s="2"/>
      <c r="B43" s="1"/>
      <c r="C43" s="317"/>
      <c r="D43" s="318"/>
      <c r="E43" s="317"/>
      <c r="G43" s="333">
        <f>+G42-G49</f>
        <v>4487389.6320000011</v>
      </c>
      <c r="M43" s="215">
        <f>+M41+M42</f>
        <v>17524881</v>
      </c>
    </row>
    <row r="44" spans="1:13">
      <c r="A44" s="2"/>
      <c r="B44" s="1" t="s">
        <v>984</v>
      </c>
      <c r="C44" s="317"/>
      <c r="D44" s="318"/>
      <c r="E44" s="317"/>
      <c r="F44" s="334">
        <f>+E42/(E42+E36)*F42</f>
        <v>7638954.7469809409</v>
      </c>
      <c r="J44" s="333"/>
    </row>
    <row r="45" spans="1:13">
      <c r="A45" s="2"/>
      <c r="B45" s="1"/>
      <c r="C45" s="317"/>
      <c r="D45" s="318"/>
      <c r="E45" s="317"/>
    </row>
    <row r="46" spans="1:13">
      <c r="A46" s="2"/>
      <c r="B46" s="312" t="s">
        <v>949</v>
      </c>
      <c r="C46" s="335"/>
      <c r="D46" s="336"/>
      <c r="E46" s="315">
        <f>+E16+E23+E27+E42+E44+E36</f>
        <v>12694100</v>
      </c>
      <c r="F46" s="333"/>
    </row>
    <row r="47" spans="1:13">
      <c r="A47" s="2"/>
      <c r="B47" s="1"/>
      <c r="C47" s="317"/>
      <c r="D47" s="318"/>
      <c r="E47" s="317"/>
    </row>
    <row r="48" spans="1:13">
      <c r="A48" s="2"/>
      <c r="B48" s="1"/>
      <c r="C48" s="317"/>
      <c r="D48" s="318"/>
      <c r="E48" s="317"/>
    </row>
    <row r="49" spans="1:7">
      <c r="A49" s="2"/>
      <c r="B49" s="1" t="s">
        <v>985</v>
      </c>
      <c r="C49" s="317"/>
      <c r="D49" s="318"/>
      <c r="E49" s="317">
        <v>12791539.2358</v>
      </c>
      <c r="F49" s="215">
        <v>12649403.867800001</v>
      </c>
      <c r="G49" s="333">
        <f>+E49-F49</f>
        <v>142135.36799999885</v>
      </c>
    </row>
    <row r="50" spans="1:7">
      <c r="A50" s="2"/>
      <c r="B50" s="1" t="s">
        <v>57</v>
      </c>
      <c r="C50" s="317"/>
      <c r="D50" s="318"/>
      <c r="E50" s="317"/>
    </row>
    <row r="51" spans="1:7">
      <c r="A51" s="2"/>
      <c r="B51" s="6" t="s">
        <v>950</v>
      </c>
      <c r="C51" s="317"/>
      <c r="D51" s="318"/>
      <c r="E51" s="317"/>
    </row>
    <row r="52" spans="1:7">
      <c r="A52" s="2"/>
      <c r="B52" s="1" t="s">
        <v>951</v>
      </c>
      <c r="C52" s="317"/>
      <c r="D52" s="318"/>
      <c r="E52" s="317"/>
    </row>
    <row r="53" spans="1:7">
      <c r="A53" s="2"/>
      <c r="B53" s="1"/>
      <c r="C53" s="317"/>
      <c r="D53" s="318"/>
      <c r="E53" s="317"/>
    </row>
    <row r="54" spans="1:7">
      <c r="A54" s="2"/>
      <c r="B54" s="1" t="s">
        <v>984</v>
      </c>
      <c r="C54" s="317"/>
      <c r="D54" s="318"/>
      <c r="E54" s="317">
        <v>-4488703</v>
      </c>
      <c r="G54" s="333">
        <f>+E49+E54</f>
        <v>8302836.2357999999</v>
      </c>
    </row>
    <row r="55" spans="1:7">
      <c r="A55" s="2"/>
      <c r="B55" s="1"/>
      <c r="C55" s="317"/>
      <c r="D55" s="318"/>
      <c r="E55" s="317"/>
    </row>
    <row r="56" spans="1:7">
      <c r="A56" s="2"/>
      <c r="B56" s="6" t="s">
        <v>952</v>
      </c>
      <c r="C56" s="317"/>
      <c r="D56" s="318"/>
      <c r="E56" s="317"/>
    </row>
    <row r="57" spans="1:7">
      <c r="A57" s="2"/>
      <c r="B57" s="1" t="s">
        <v>953</v>
      </c>
      <c r="C57" s="317"/>
      <c r="D57" s="318"/>
      <c r="E57" s="317">
        <f>E22</f>
        <v>-68695</v>
      </c>
    </row>
    <row r="58" spans="1:7">
      <c r="A58" s="2"/>
      <c r="B58" s="1"/>
      <c r="C58" s="317"/>
      <c r="D58" s="318"/>
      <c r="E58" s="317"/>
    </row>
    <row r="59" spans="1:7" ht="16" thickBot="1">
      <c r="A59" s="2"/>
      <c r="B59" s="6" t="s">
        <v>987</v>
      </c>
      <c r="C59" s="328"/>
      <c r="D59" s="337"/>
      <c r="E59" s="327">
        <f>SUM(E49:E58)</f>
        <v>8234141.2357999999</v>
      </c>
    </row>
    <row r="60" spans="1:7" ht="16" thickTop="1">
      <c r="A60" s="2"/>
      <c r="B60" s="1"/>
      <c r="C60" s="317"/>
      <c r="D60" s="318"/>
      <c r="E60" s="317"/>
    </row>
    <row r="61" spans="1:7" s="338" customFormat="1">
      <c r="A61" s="4"/>
      <c r="B61" s="6" t="s">
        <v>986</v>
      </c>
      <c r="C61" s="328"/>
      <c r="D61" s="337"/>
      <c r="E61" s="328">
        <f>E59-E49</f>
        <v>-4557398</v>
      </c>
    </row>
    <row r="62" spans="1:7">
      <c r="A62" s="339"/>
      <c r="B62" s="340"/>
      <c r="C62" s="341"/>
      <c r="D62" s="342"/>
      <c r="E62" s="341"/>
    </row>
    <row r="63" spans="1:7">
      <c r="A63" s="343"/>
      <c r="B63" s="1"/>
      <c r="C63" s="344"/>
      <c r="D63" s="344"/>
      <c r="E63" s="344"/>
    </row>
    <row r="64" spans="1:7">
      <c r="A64" s="1"/>
      <c r="B64" s="1"/>
      <c r="C64" s="306"/>
      <c r="D64" s="306"/>
      <c r="E64" s="306"/>
    </row>
    <row r="65" spans="1:8">
      <c r="A65" s="1"/>
      <c r="B65" s="6" t="s">
        <v>0</v>
      </c>
      <c r="C65" s="306"/>
      <c r="D65" s="345" t="s">
        <v>954</v>
      </c>
      <c r="E65" s="345" t="s">
        <v>955</v>
      </c>
      <c r="F65" s="345" t="s">
        <v>956</v>
      </c>
      <c r="G65" s="345" t="s">
        <v>1110</v>
      </c>
    </row>
    <row r="66" spans="1:8">
      <c r="A66" s="1"/>
      <c r="B66" s="1"/>
      <c r="C66" s="306"/>
      <c r="D66" s="306"/>
      <c r="E66" s="306"/>
      <c r="F66" s="306"/>
    </row>
    <row r="67" spans="1:8">
      <c r="A67" s="1"/>
      <c r="B67" s="1" t="s">
        <v>957</v>
      </c>
      <c r="C67" s="306"/>
      <c r="D67" s="306">
        <f>C32+C38</f>
        <v>4256803</v>
      </c>
      <c r="E67" s="306">
        <v>11068237</v>
      </c>
      <c r="F67" s="306">
        <v>15736232</v>
      </c>
      <c r="G67" s="333">
        <f>+C35+C41</f>
        <v>17524881</v>
      </c>
    </row>
    <row r="68" spans="1:8">
      <c r="A68" s="1"/>
      <c r="B68" s="1"/>
      <c r="C68" s="306"/>
      <c r="D68" s="306"/>
      <c r="E68" s="306"/>
      <c r="F68" s="306"/>
    </row>
    <row r="69" spans="1:8">
      <c r="A69" s="1"/>
      <c r="B69" s="1" t="s">
        <v>958</v>
      </c>
      <c r="C69" s="306"/>
      <c r="D69" s="307">
        <f>+C32</f>
        <v>138359</v>
      </c>
      <c r="E69" s="307">
        <f>+C33</f>
        <v>482066</v>
      </c>
      <c r="F69" s="307">
        <v>470795</v>
      </c>
      <c r="G69" s="346">
        <f>+C35</f>
        <v>403432</v>
      </c>
      <c r="H69" s="333"/>
    </row>
    <row r="70" spans="1:8">
      <c r="A70" s="1"/>
      <c r="B70" s="1" t="s">
        <v>959</v>
      </c>
      <c r="C70" s="306"/>
      <c r="D70" s="306">
        <f>+D67-D69</f>
        <v>4118444</v>
      </c>
      <c r="E70" s="306">
        <f>+E67-E69</f>
        <v>10586171</v>
      </c>
      <c r="F70" s="306">
        <f>+F67-F69</f>
        <v>15265437</v>
      </c>
      <c r="G70" s="306">
        <f>+G67-G69</f>
        <v>17121449</v>
      </c>
    </row>
    <row r="71" spans="1:8">
      <c r="A71" s="1"/>
      <c r="B71" s="1"/>
      <c r="C71" s="306"/>
      <c r="D71" s="306"/>
      <c r="E71" s="306"/>
    </row>
    <row r="72" spans="1:8">
      <c r="A72" s="1"/>
      <c r="B72" s="1"/>
      <c r="C72" s="306"/>
      <c r="D72" s="306"/>
      <c r="E72" s="306"/>
    </row>
    <row r="73" spans="1:8">
      <c r="A73" s="1"/>
      <c r="B73" s="1"/>
      <c r="C73" s="306"/>
      <c r="D73" s="306"/>
      <c r="E73" s="306"/>
    </row>
    <row r="74" spans="1:8">
      <c r="A74" s="1"/>
      <c r="B74" s="1"/>
      <c r="C74" s="306"/>
      <c r="D74" s="306"/>
      <c r="E74" s="306"/>
    </row>
    <row r="75" spans="1:8">
      <c r="A75" s="1"/>
      <c r="B75" s="1"/>
      <c r="C75" s="306"/>
      <c r="D75" s="306"/>
      <c r="E75" s="306"/>
    </row>
  </sheetData>
  <mergeCells count="2">
    <mergeCell ref="A1:E1"/>
    <mergeCell ref="A2:E2"/>
  </mergeCells>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P60"/>
  <sheetViews>
    <sheetView showGridLines="0" topLeftCell="F47" workbookViewId="0">
      <selection activeCell="B25" sqref="B25"/>
    </sheetView>
  </sheetViews>
  <sheetFormatPr baseColWidth="10" defaultColWidth="9.1640625" defaultRowHeight="15"/>
  <cols>
    <col min="1" max="1" width="6.1640625" style="311" customWidth="1"/>
    <col min="2" max="2" width="21.5" style="311" customWidth="1"/>
    <col min="3" max="3" width="16.5" style="305" customWidth="1"/>
    <col min="4" max="4" width="6.5" style="305" customWidth="1"/>
    <col min="5" max="5" width="17.33203125" style="305" customWidth="1"/>
    <col min="6" max="6" width="16" style="305" customWidth="1"/>
    <col min="7" max="7" width="19.1640625" style="305" customWidth="1"/>
    <col min="8" max="8" width="17.33203125" style="305" customWidth="1"/>
    <col min="9" max="9" width="13.1640625" style="305" customWidth="1"/>
    <col min="10" max="10" width="12.33203125" style="305" bestFit="1" customWidth="1"/>
    <col min="11" max="11" width="14.6640625" style="305" customWidth="1"/>
    <col min="12" max="12" width="17.5" style="305" customWidth="1"/>
    <col min="13" max="13" width="16.5" style="305" customWidth="1"/>
    <col min="14" max="14" width="13.6640625" style="305" customWidth="1"/>
    <col min="15" max="15" width="12.33203125" style="305" bestFit="1" customWidth="1"/>
    <col min="16" max="16" width="11.6640625" style="305" customWidth="1"/>
    <col min="17" max="16384" width="9.1640625" style="296"/>
  </cols>
  <sheetData>
    <row r="1" spans="1:16">
      <c r="A1" s="296"/>
      <c r="B1" s="296"/>
      <c r="C1" s="296"/>
      <c r="D1" s="296"/>
      <c r="E1" s="296"/>
      <c r="F1" s="296"/>
      <c r="G1" s="296"/>
      <c r="H1" s="296"/>
      <c r="I1" s="296"/>
      <c r="J1" s="296"/>
      <c r="K1" s="296"/>
      <c r="L1" s="296"/>
      <c r="M1" s="296"/>
      <c r="N1" s="296"/>
      <c r="O1" s="296"/>
      <c r="P1" s="296"/>
    </row>
    <row r="2" spans="1:16">
      <c r="A2" s="1162"/>
      <c r="B2" s="1162"/>
      <c r="C2" s="1162"/>
      <c r="D2" s="1162"/>
      <c r="E2" s="1162"/>
      <c r="F2" s="1162"/>
      <c r="G2" s="1162"/>
      <c r="H2" s="1162"/>
      <c r="I2" s="1162"/>
      <c r="J2" s="1162"/>
      <c r="K2" s="1162"/>
      <c r="L2" s="1162"/>
      <c r="M2" s="1162"/>
      <c r="N2" s="1162"/>
      <c r="O2" s="1162"/>
      <c r="P2" s="1162"/>
    </row>
    <row r="3" spans="1:16" ht="16">
      <c r="A3" s="1163" t="s">
        <v>95</v>
      </c>
      <c r="B3" s="1163"/>
      <c r="C3" s="1163"/>
      <c r="D3" s="1163"/>
      <c r="E3" s="1163"/>
      <c r="F3" s="1163"/>
      <c r="G3" s="1163"/>
      <c r="H3" s="1163"/>
      <c r="I3" s="1163"/>
      <c r="J3" s="1163"/>
      <c r="K3" s="1163"/>
      <c r="L3" s="1163"/>
      <c r="M3" s="1163"/>
      <c r="N3" s="1163"/>
      <c r="O3" s="1163"/>
      <c r="P3" s="1163"/>
    </row>
    <row r="4" spans="1:16">
      <c r="A4" s="1160" t="s">
        <v>1112</v>
      </c>
      <c r="B4" s="1160"/>
      <c r="C4" s="1160"/>
      <c r="D4" s="1160"/>
      <c r="E4" s="1160"/>
      <c r="F4" s="1160"/>
      <c r="G4" s="1160"/>
      <c r="H4" s="1160"/>
      <c r="I4" s="1160"/>
      <c r="J4" s="1160"/>
      <c r="K4" s="1160"/>
      <c r="L4" s="1160"/>
      <c r="M4" s="1160"/>
      <c r="N4" s="1160"/>
      <c r="O4" s="1160"/>
      <c r="P4" s="1160"/>
    </row>
    <row r="5" spans="1:16">
      <c r="A5" s="1160"/>
      <c r="B5" s="1160"/>
      <c r="C5" s="1160"/>
      <c r="D5" s="1160"/>
      <c r="E5" s="1160"/>
      <c r="F5" s="1160"/>
      <c r="G5" s="1160"/>
      <c r="H5" s="1160"/>
      <c r="I5" s="1160"/>
      <c r="J5" s="1160"/>
      <c r="K5" s="1160"/>
      <c r="L5" s="1160"/>
      <c r="M5" s="1160"/>
      <c r="N5" s="1160"/>
      <c r="O5" s="1160"/>
      <c r="P5" s="1160"/>
    </row>
    <row r="6" spans="1:16">
      <c r="A6" s="1160"/>
      <c r="B6" s="1160"/>
      <c r="C6" s="1160"/>
      <c r="D6" s="1160"/>
      <c r="E6" s="1160"/>
      <c r="F6" s="1160"/>
      <c r="G6" s="1160"/>
      <c r="H6" s="1160"/>
      <c r="I6" s="1160"/>
      <c r="J6" s="1160"/>
      <c r="K6" s="1160"/>
      <c r="L6" s="1160"/>
      <c r="M6" s="1160"/>
      <c r="N6" s="1160"/>
      <c r="O6" s="1160"/>
      <c r="P6" s="1160"/>
    </row>
    <row r="7" spans="1:16">
      <c r="A7" s="1159"/>
      <c r="B7" s="1159"/>
      <c r="C7" s="1159"/>
      <c r="D7" s="1159"/>
      <c r="E7" s="1161" t="s">
        <v>961</v>
      </c>
      <c r="F7" s="1161"/>
      <c r="G7" s="1161" t="s">
        <v>962</v>
      </c>
      <c r="H7" s="1161"/>
      <c r="I7" s="1161"/>
      <c r="J7" s="1161"/>
      <c r="K7" s="1161"/>
      <c r="L7" s="1161"/>
      <c r="M7" s="1161"/>
      <c r="N7" s="1161"/>
      <c r="O7" s="1161"/>
      <c r="P7" s="1161"/>
    </row>
    <row r="8" spans="1:16" ht="45">
      <c r="A8" s="297" t="s">
        <v>963</v>
      </c>
      <c r="B8" s="297" t="s">
        <v>964</v>
      </c>
      <c r="C8" s="298" t="s">
        <v>965</v>
      </c>
      <c r="D8" s="298" t="s">
        <v>966</v>
      </c>
      <c r="E8" s="298" t="s">
        <v>967</v>
      </c>
      <c r="F8" s="298" t="s">
        <v>968</v>
      </c>
      <c r="G8" s="298" t="s">
        <v>967</v>
      </c>
      <c r="H8" s="298" t="s">
        <v>968</v>
      </c>
      <c r="I8" s="298" t="s">
        <v>969</v>
      </c>
      <c r="J8" s="298" t="s">
        <v>51</v>
      </c>
      <c r="K8" s="298" t="s">
        <v>57</v>
      </c>
      <c r="L8" s="298" t="s">
        <v>970</v>
      </c>
      <c r="M8" s="298" t="s">
        <v>971</v>
      </c>
      <c r="N8" s="298" t="s">
        <v>972</v>
      </c>
      <c r="O8" s="298" t="s">
        <v>973</v>
      </c>
      <c r="P8" s="298" t="s">
        <v>974</v>
      </c>
    </row>
    <row r="9" spans="1:16">
      <c r="A9" s="299">
        <v>1</v>
      </c>
      <c r="B9" s="300" t="s">
        <v>975</v>
      </c>
      <c r="C9" s="301">
        <v>644693</v>
      </c>
      <c r="D9" s="302" t="s">
        <v>976</v>
      </c>
      <c r="E9" s="301">
        <v>15678</v>
      </c>
      <c r="F9" s="301">
        <v>0</v>
      </c>
      <c r="G9" s="301">
        <v>0</v>
      </c>
      <c r="H9" s="303">
        <v>0</v>
      </c>
      <c r="I9" s="301">
        <v>0</v>
      </c>
      <c r="J9" s="301">
        <f>C9+E9+F9-G9-H9+I9</f>
        <v>660371</v>
      </c>
      <c r="K9" s="304">
        <f>ROUND((E9+C9)*D9+(F9/2)*D9,0)</f>
        <v>165093</v>
      </c>
      <c r="L9" s="301">
        <v>0</v>
      </c>
      <c r="M9" s="301">
        <v>0</v>
      </c>
      <c r="N9" s="301">
        <f>+K9</f>
        <v>165093</v>
      </c>
      <c r="O9" s="301">
        <f>J9-M9-N9</f>
        <v>495278</v>
      </c>
      <c r="P9" s="301" t="s">
        <v>977</v>
      </c>
    </row>
    <row r="10" spans="1:16">
      <c r="A10" s="299">
        <v>2</v>
      </c>
      <c r="B10" s="300" t="s">
        <v>978</v>
      </c>
      <c r="C10" s="301">
        <v>833616</v>
      </c>
      <c r="D10" s="302" t="s">
        <v>979</v>
      </c>
      <c r="E10" s="301">
        <v>0</v>
      </c>
      <c r="F10" s="301">
        <v>171948</v>
      </c>
      <c r="G10" s="301">
        <v>0</v>
      </c>
      <c r="H10" s="303">
        <v>0</v>
      </c>
      <c r="I10" s="301">
        <v>0</v>
      </c>
      <c r="J10" s="301">
        <f>C10+E10+F10-G10-H10+I10</f>
        <v>1005564</v>
      </c>
      <c r="K10" s="305">
        <f>(E10+C10)*D10+(F10/2)*D10</f>
        <v>91959</v>
      </c>
      <c r="L10" s="301">
        <v>0</v>
      </c>
      <c r="M10" s="301">
        <v>0</v>
      </c>
      <c r="N10" s="301">
        <f>+K10</f>
        <v>91959</v>
      </c>
      <c r="O10" s="301">
        <f>J10-M10-N10</f>
        <v>913605</v>
      </c>
      <c r="P10" s="301" t="s">
        <v>977</v>
      </c>
    </row>
    <row r="11" spans="1:16" ht="30">
      <c r="A11" s="299">
        <v>3</v>
      </c>
      <c r="B11" s="300" t="s">
        <v>1113</v>
      </c>
      <c r="C11" s="301">
        <v>218076</v>
      </c>
      <c r="D11" s="302" t="s">
        <v>980</v>
      </c>
      <c r="E11" s="301">
        <v>0</v>
      </c>
      <c r="F11" s="301">
        <v>0</v>
      </c>
      <c r="G11" s="301">
        <v>0</v>
      </c>
      <c r="H11" s="303">
        <v>0</v>
      </c>
      <c r="I11" s="301">
        <v>0</v>
      </c>
      <c r="J11" s="301">
        <f>C11+E11+F11-G11-H11+I11</f>
        <v>218076</v>
      </c>
      <c r="K11" s="305">
        <f>ROUND((E11+C11)*D11+(F11/2)*D11,0)</f>
        <v>87230</v>
      </c>
      <c r="L11" s="301">
        <v>0</v>
      </c>
      <c r="M11" s="301">
        <v>0</v>
      </c>
      <c r="N11" s="301">
        <f>+K11</f>
        <v>87230</v>
      </c>
      <c r="O11" s="301">
        <f>J11-M11-N11</f>
        <v>130846</v>
      </c>
      <c r="P11" s="301" t="s">
        <v>977</v>
      </c>
    </row>
    <row r="12" spans="1:16">
      <c r="A12" s="299">
        <v>4</v>
      </c>
      <c r="B12" s="300" t="s">
        <v>981</v>
      </c>
      <c r="C12" s="306">
        <v>324806</v>
      </c>
      <c r="D12" s="306" t="s">
        <v>982</v>
      </c>
      <c r="E12" s="306">
        <v>53074</v>
      </c>
      <c r="F12" s="306">
        <v>32909</v>
      </c>
      <c r="G12" s="306">
        <v>0</v>
      </c>
      <c r="H12" s="306">
        <v>0</v>
      </c>
      <c r="I12" s="63">
        <v>0</v>
      </c>
      <c r="J12" s="307">
        <f>C12+E12+F12-G12-H12+I12</f>
        <v>410789</v>
      </c>
      <c r="K12" s="308">
        <f>ROUND((E12+C12)*D12+(F12/2)*D12,0)</f>
        <v>59150</v>
      </c>
      <c r="L12" s="301">
        <v>0</v>
      </c>
      <c r="M12" s="301">
        <v>0</v>
      </c>
      <c r="N12" s="301">
        <f>+K12</f>
        <v>59150</v>
      </c>
      <c r="O12" s="301">
        <f>J12-M12-N12</f>
        <v>351639</v>
      </c>
      <c r="P12" s="301" t="s">
        <v>977</v>
      </c>
    </row>
    <row r="13" spans="1:16">
      <c r="A13" s="1159" t="s">
        <v>51</v>
      </c>
      <c r="B13" s="1159"/>
      <c r="C13" s="309">
        <f>SUM(C9:C12)</f>
        <v>2021191</v>
      </c>
      <c r="D13" s="310"/>
      <c r="E13" s="309">
        <f t="shared" ref="E13:O13" si="0">SUM(E9:E12)</f>
        <v>68752</v>
      </c>
      <c r="F13" s="309">
        <f t="shared" si="0"/>
        <v>204857</v>
      </c>
      <c r="G13" s="309">
        <f t="shared" si="0"/>
        <v>0</v>
      </c>
      <c r="H13" s="309">
        <f t="shared" si="0"/>
        <v>0</v>
      </c>
      <c r="I13" s="309">
        <f t="shared" si="0"/>
        <v>0</v>
      </c>
      <c r="J13" s="309">
        <f t="shared" si="0"/>
        <v>2294800</v>
      </c>
      <c r="K13" s="309">
        <f>SUM(K9:K12)</f>
        <v>403432</v>
      </c>
      <c r="L13" s="309">
        <f t="shared" si="0"/>
        <v>0</v>
      </c>
      <c r="M13" s="309">
        <f t="shared" si="0"/>
        <v>0</v>
      </c>
      <c r="N13" s="309">
        <f t="shared" si="0"/>
        <v>403432</v>
      </c>
      <c r="O13" s="309">
        <f t="shared" si="0"/>
        <v>1891368</v>
      </c>
      <c r="P13" s="298"/>
    </row>
    <row r="14" spans="1:16">
      <c r="A14" s="1164"/>
      <c r="B14" s="1164"/>
      <c r="C14" s="1164"/>
      <c r="D14" s="1164"/>
      <c r="E14" s="1164"/>
      <c r="F14" s="1164"/>
      <c r="G14" s="1164"/>
      <c r="H14" s="1164"/>
      <c r="I14" s="1164"/>
      <c r="J14" s="1164"/>
      <c r="K14" s="1164"/>
      <c r="L14" s="1164"/>
      <c r="M14" s="1164"/>
      <c r="N14" s="1164"/>
      <c r="O14" s="1164"/>
      <c r="P14" s="1164"/>
    </row>
    <row r="17" spans="1:16" ht="16">
      <c r="A17" s="1163" t="s">
        <v>95</v>
      </c>
      <c r="B17" s="1163"/>
      <c r="C17" s="1163"/>
      <c r="D17" s="1163"/>
      <c r="E17" s="1163"/>
      <c r="F17" s="1163"/>
      <c r="G17" s="1163"/>
      <c r="H17" s="1163"/>
      <c r="I17" s="1163"/>
      <c r="J17" s="1163"/>
      <c r="K17" s="1163"/>
      <c r="L17" s="1163"/>
      <c r="M17" s="1163"/>
      <c r="N17" s="1163"/>
      <c r="O17" s="1163"/>
      <c r="P17" s="1163"/>
    </row>
    <row r="18" spans="1:16">
      <c r="A18" s="1160" t="s">
        <v>1196</v>
      </c>
      <c r="B18" s="1160"/>
      <c r="C18" s="1160"/>
      <c r="D18" s="1160"/>
      <c r="E18" s="1160"/>
      <c r="F18" s="1160"/>
      <c r="G18" s="1160"/>
      <c r="H18" s="1160"/>
      <c r="I18" s="1160"/>
      <c r="J18" s="1160"/>
      <c r="K18" s="1160"/>
      <c r="L18" s="1160"/>
      <c r="M18" s="1160"/>
      <c r="N18" s="1160"/>
      <c r="O18" s="1160"/>
      <c r="P18" s="1160"/>
    </row>
    <row r="19" spans="1:16">
      <c r="A19" s="1160"/>
      <c r="B19" s="1160"/>
      <c r="C19" s="1160"/>
      <c r="D19" s="1160"/>
      <c r="E19" s="1160"/>
      <c r="F19" s="1160"/>
      <c r="G19" s="1160"/>
      <c r="H19" s="1160"/>
      <c r="I19" s="1160"/>
      <c r="J19" s="1160"/>
      <c r="K19" s="1160"/>
      <c r="L19" s="1160"/>
      <c r="M19" s="1160"/>
      <c r="N19" s="1160"/>
      <c r="O19" s="1160"/>
      <c r="P19" s="1160"/>
    </row>
    <row r="20" spans="1:16">
      <c r="A20" s="1160"/>
      <c r="B20" s="1160"/>
      <c r="C20" s="1160"/>
      <c r="D20" s="1160"/>
      <c r="E20" s="1160"/>
      <c r="F20" s="1160"/>
      <c r="G20" s="1160"/>
      <c r="H20" s="1160"/>
      <c r="I20" s="1160"/>
      <c r="J20" s="1160"/>
      <c r="K20" s="1160"/>
      <c r="L20" s="1160"/>
      <c r="M20" s="1160"/>
      <c r="N20" s="1160"/>
      <c r="O20" s="1160"/>
      <c r="P20" s="1160"/>
    </row>
    <row r="21" spans="1:16">
      <c r="A21" s="1159"/>
      <c r="B21" s="1159"/>
      <c r="C21" s="1159"/>
      <c r="D21" s="1159"/>
      <c r="E21" s="1161" t="s">
        <v>961</v>
      </c>
      <c r="F21" s="1161"/>
      <c r="G21" s="1161" t="s">
        <v>962</v>
      </c>
      <c r="H21" s="1161"/>
      <c r="I21" s="1161"/>
      <c r="J21" s="1161"/>
      <c r="K21" s="1161"/>
      <c r="L21" s="1161"/>
      <c r="M21" s="1161"/>
      <c r="N21" s="1161"/>
      <c r="O21" s="1161"/>
      <c r="P21" s="1161"/>
    </row>
    <row r="22" spans="1:16" ht="45">
      <c r="A22" s="297" t="s">
        <v>963</v>
      </c>
      <c r="B22" s="297" t="s">
        <v>964</v>
      </c>
      <c r="C22" s="298" t="s">
        <v>965</v>
      </c>
      <c r="D22" s="298" t="s">
        <v>966</v>
      </c>
      <c r="E22" s="298" t="s">
        <v>967</v>
      </c>
      <c r="F22" s="298" t="s">
        <v>968</v>
      </c>
      <c r="G22" s="298" t="s">
        <v>967</v>
      </c>
      <c r="H22" s="298" t="s">
        <v>968</v>
      </c>
      <c r="I22" s="298" t="s">
        <v>969</v>
      </c>
      <c r="J22" s="298" t="s">
        <v>51</v>
      </c>
      <c r="K22" s="298" t="s">
        <v>57</v>
      </c>
      <c r="L22" s="298" t="s">
        <v>970</v>
      </c>
      <c r="M22" s="298" t="s">
        <v>971</v>
      </c>
      <c r="N22" s="298" t="s">
        <v>972</v>
      </c>
      <c r="O22" s="298" t="s">
        <v>973</v>
      </c>
      <c r="P22" s="298" t="s">
        <v>974</v>
      </c>
    </row>
    <row r="23" spans="1:16">
      <c r="A23" s="299">
        <v>1</v>
      </c>
      <c r="B23" s="300" t="s">
        <v>975</v>
      </c>
      <c r="C23" s="301">
        <f>+O9</f>
        <v>495278</v>
      </c>
      <c r="D23" s="302" t="s">
        <v>976</v>
      </c>
      <c r="E23" s="301">
        <v>0</v>
      </c>
      <c r="F23" s="301">
        <v>25000</v>
      </c>
      <c r="G23" s="301">
        <v>0</v>
      </c>
      <c r="H23" s="301">
        <v>0</v>
      </c>
      <c r="I23" s="301">
        <v>0</v>
      </c>
      <c r="J23" s="301">
        <f>C23+E23+F23-G23-H23+I23</f>
        <v>520278</v>
      </c>
      <c r="K23" s="310">
        <f>ROUND((E23+C23)*D23+(F23/2)*D23,0)</f>
        <v>126945</v>
      </c>
      <c r="L23" s="301">
        <v>0</v>
      </c>
      <c r="M23" s="301">
        <v>0</v>
      </c>
      <c r="N23" s="301">
        <f>+K23+L23+M23</f>
        <v>126945</v>
      </c>
      <c r="O23" s="301">
        <f>J23-M23-N23</f>
        <v>393333</v>
      </c>
      <c r="P23" s="301" t="s">
        <v>977</v>
      </c>
    </row>
    <row r="24" spans="1:16">
      <c r="A24" s="299">
        <v>2</v>
      </c>
      <c r="B24" s="300" t="s">
        <v>978</v>
      </c>
      <c r="C24" s="301">
        <f>+O10</f>
        <v>913605</v>
      </c>
      <c r="D24" s="302" t="s">
        <v>979</v>
      </c>
      <c r="E24" s="301">
        <v>0</v>
      </c>
      <c r="F24" s="301">
        <v>0</v>
      </c>
      <c r="G24" s="301">
        <v>0</v>
      </c>
      <c r="H24" s="301">
        <v>0</v>
      </c>
      <c r="I24" s="301">
        <v>0</v>
      </c>
      <c r="J24" s="301">
        <f>C24+E24+F24-G24-H24+I24</f>
        <v>913605</v>
      </c>
      <c r="K24" s="310">
        <f>ROUND((E24+C24)*D24+(F24/2)*D24,0)</f>
        <v>91361</v>
      </c>
      <c r="L24" s="301">
        <v>0</v>
      </c>
      <c r="M24" s="301">
        <v>0</v>
      </c>
      <c r="N24" s="301">
        <f>+K24+L24+M24</f>
        <v>91361</v>
      </c>
      <c r="O24" s="301">
        <f>J24-M24-N24</f>
        <v>822244</v>
      </c>
      <c r="P24" s="301" t="s">
        <v>977</v>
      </c>
    </row>
    <row r="25" spans="1:16" ht="30">
      <c r="A25" s="299">
        <v>3</v>
      </c>
      <c r="B25" s="300" t="s">
        <v>1113</v>
      </c>
      <c r="C25" s="301">
        <f>+O11</f>
        <v>130846</v>
      </c>
      <c r="D25" s="302" t="s">
        <v>980</v>
      </c>
      <c r="E25" s="301">
        <v>130977</v>
      </c>
      <c r="F25" s="301">
        <v>0</v>
      </c>
      <c r="G25" s="301">
        <v>0</v>
      </c>
      <c r="H25" s="301">
        <v>0</v>
      </c>
      <c r="I25" s="301">
        <v>0</v>
      </c>
      <c r="J25" s="301">
        <f>C25+E25+F25-G25-H25+I25</f>
        <v>261823</v>
      </c>
      <c r="K25" s="310">
        <f>ROUND((E25+C25)*D25+(F25/2)*D25,0)</f>
        <v>104729</v>
      </c>
      <c r="L25" s="301">
        <v>0</v>
      </c>
      <c r="M25" s="301">
        <v>0</v>
      </c>
      <c r="N25" s="301">
        <f>+K25+L25+M25</f>
        <v>104729</v>
      </c>
      <c r="O25" s="301">
        <f>J25-M25-N25</f>
        <v>157094</v>
      </c>
      <c r="P25" s="301" t="s">
        <v>977</v>
      </c>
    </row>
    <row r="26" spans="1:16">
      <c r="A26" s="299">
        <v>4</v>
      </c>
      <c r="B26" s="300" t="s">
        <v>981</v>
      </c>
      <c r="C26" s="301">
        <f>+O12</f>
        <v>351639</v>
      </c>
      <c r="D26" s="302" t="s">
        <v>982</v>
      </c>
      <c r="E26" s="301">
        <v>108354</v>
      </c>
      <c r="F26" s="301">
        <v>0</v>
      </c>
      <c r="G26" s="301">
        <v>0</v>
      </c>
      <c r="H26" s="301">
        <v>0</v>
      </c>
      <c r="I26" s="301">
        <v>0</v>
      </c>
      <c r="J26" s="301">
        <f>C26+E26+F26-G26-H26+I26</f>
        <v>459993</v>
      </c>
      <c r="K26" s="310">
        <f>ROUND((E26+C26)*D26+(F26/2)*D26,0)</f>
        <v>68999</v>
      </c>
      <c r="L26" s="301">
        <v>0</v>
      </c>
      <c r="M26" s="301">
        <v>0</v>
      </c>
      <c r="N26" s="301">
        <f>+K26+L26+M26</f>
        <v>68999</v>
      </c>
      <c r="O26" s="301">
        <f>J26-M26-N26</f>
        <v>390994</v>
      </c>
      <c r="P26" s="301" t="s">
        <v>977</v>
      </c>
    </row>
    <row r="27" spans="1:16">
      <c r="A27" s="1159" t="s">
        <v>51</v>
      </c>
      <c r="B27" s="1159"/>
      <c r="C27" s="309">
        <f>SUM(C23:C26)</f>
        <v>1891368</v>
      </c>
      <c r="D27" s="310"/>
      <c r="E27" s="309">
        <f t="shared" ref="E27:O27" si="1">SUM(E23:E26)</f>
        <v>239331</v>
      </c>
      <c r="F27" s="309">
        <f t="shared" si="1"/>
        <v>25000</v>
      </c>
      <c r="G27" s="309">
        <f t="shared" si="1"/>
        <v>0</v>
      </c>
      <c r="H27" s="309">
        <f t="shared" si="1"/>
        <v>0</v>
      </c>
      <c r="I27" s="309">
        <f t="shared" si="1"/>
        <v>0</v>
      </c>
      <c r="J27" s="309">
        <f t="shared" si="1"/>
        <v>2155699</v>
      </c>
      <c r="K27" s="309">
        <f t="shared" si="1"/>
        <v>392034</v>
      </c>
      <c r="L27" s="309">
        <f t="shared" si="1"/>
        <v>0</v>
      </c>
      <c r="M27" s="309">
        <f t="shared" si="1"/>
        <v>0</v>
      </c>
      <c r="N27" s="309">
        <f t="shared" si="1"/>
        <v>392034</v>
      </c>
      <c r="O27" s="309">
        <f t="shared" si="1"/>
        <v>1763665</v>
      </c>
      <c r="P27" s="298"/>
    </row>
    <row r="29" spans="1:16">
      <c r="A29" s="1160" t="s">
        <v>1495</v>
      </c>
      <c r="B29" s="1160"/>
      <c r="C29" s="1160"/>
      <c r="D29" s="1160"/>
      <c r="E29" s="1160"/>
      <c r="F29" s="1160"/>
      <c r="G29" s="1160"/>
      <c r="H29" s="1160"/>
      <c r="I29" s="1160"/>
      <c r="J29" s="1160"/>
      <c r="K29" s="1160"/>
      <c r="L29" s="1160"/>
      <c r="M29" s="1160"/>
      <c r="N29" s="1160"/>
      <c r="O29" s="1160"/>
      <c r="P29" s="1160"/>
    </row>
    <row r="32" spans="1:16">
      <c r="A32" s="1159"/>
      <c r="B32" s="1159"/>
      <c r="C32" s="1159"/>
      <c r="D32" s="1159"/>
      <c r="E32" s="1161" t="s">
        <v>961</v>
      </c>
      <c r="F32" s="1161"/>
      <c r="G32" s="1161" t="s">
        <v>962</v>
      </c>
      <c r="H32" s="1161"/>
      <c r="I32" s="1161"/>
      <c r="J32" s="1161"/>
      <c r="K32" s="1161"/>
      <c r="L32" s="1161"/>
      <c r="M32" s="1161"/>
      <c r="N32" s="1161"/>
      <c r="O32" s="1161"/>
      <c r="P32" s="1161"/>
    </row>
    <row r="33" spans="1:16" ht="45">
      <c r="A33" s="297" t="s">
        <v>963</v>
      </c>
      <c r="B33" s="297" t="s">
        <v>964</v>
      </c>
      <c r="C33" s="298" t="s">
        <v>965</v>
      </c>
      <c r="D33" s="298" t="s">
        <v>966</v>
      </c>
      <c r="E33" s="298" t="s">
        <v>967</v>
      </c>
      <c r="F33" s="298" t="s">
        <v>968</v>
      </c>
      <c r="G33" s="298" t="s">
        <v>967</v>
      </c>
      <c r="H33" s="298" t="s">
        <v>968</v>
      </c>
      <c r="I33" s="298" t="s">
        <v>969</v>
      </c>
      <c r="J33" s="298" t="s">
        <v>51</v>
      </c>
      <c r="K33" s="298" t="s">
        <v>57</v>
      </c>
      <c r="L33" s="298" t="s">
        <v>970</v>
      </c>
      <c r="M33" s="298" t="s">
        <v>971</v>
      </c>
      <c r="N33" s="298" t="s">
        <v>972</v>
      </c>
      <c r="O33" s="298" t="s">
        <v>973</v>
      </c>
      <c r="P33" s="298" t="s">
        <v>974</v>
      </c>
    </row>
    <row r="34" spans="1:16">
      <c r="A34" s="299">
        <v>1</v>
      </c>
      <c r="B34" s="300" t="s">
        <v>975</v>
      </c>
      <c r="C34" s="301">
        <f>+O23</f>
        <v>393333</v>
      </c>
      <c r="D34" s="302" t="s">
        <v>976</v>
      </c>
      <c r="E34" s="301">
        <v>0</v>
      </c>
      <c r="F34" s="301">
        <v>6000000</v>
      </c>
      <c r="G34" s="301">
        <v>0</v>
      </c>
      <c r="H34" s="301">
        <v>0</v>
      </c>
      <c r="I34" s="301">
        <v>0</v>
      </c>
      <c r="J34" s="301">
        <f>C34+E34+F34-G34-H34+I34</f>
        <v>6393333</v>
      </c>
      <c r="K34" s="310">
        <f>ROUND((E34+C34)*D34+(F34/2)*D34,0)</f>
        <v>848333</v>
      </c>
      <c r="L34" s="301">
        <v>0</v>
      </c>
      <c r="M34" s="301">
        <v>0</v>
      </c>
      <c r="N34" s="301">
        <f>+K34+L34+M34</f>
        <v>848333</v>
      </c>
      <c r="O34" s="301">
        <f>J34-M34-N34</f>
        <v>5545000</v>
      </c>
      <c r="P34" s="301" t="s">
        <v>977</v>
      </c>
    </row>
    <row r="35" spans="1:16">
      <c r="A35" s="299">
        <v>2</v>
      </c>
      <c r="B35" s="300" t="s">
        <v>978</v>
      </c>
      <c r="C35" s="301">
        <f>+O24</f>
        <v>822244</v>
      </c>
      <c r="D35" s="302" t="s">
        <v>979</v>
      </c>
      <c r="E35" s="301">
        <v>0</v>
      </c>
      <c r="F35" s="301">
        <v>0</v>
      </c>
      <c r="G35" s="301">
        <v>0</v>
      </c>
      <c r="H35" s="301">
        <v>0</v>
      </c>
      <c r="I35" s="301">
        <v>0</v>
      </c>
      <c r="J35" s="301">
        <f>C35+E35+F35-G35-H35+I35</f>
        <v>822244</v>
      </c>
      <c r="K35" s="310">
        <f>ROUND((E35+C35)*D35+(F35/2)*D35,0)</f>
        <v>82224</v>
      </c>
      <c r="L35" s="301">
        <v>0</v>
      </c>
      <c r="M35" s="301">
        <v>0</v>
      </c>
      <c r="N35" s="301">
        <f>+K35+L35+M35</f>
        <v>82224</v>
      </c>
      <c r="O35" s="301">
        <f>J35-M35-N35</f>
        <v>740020</v>
      </c>
      <c r="P35" s="301" t="s">
        <v>977</v>
      </c>
    </row>
    <row r="36" spans="1:16" ht="30">
      <c r="A36" s="299">
        <v>3</v>
      </c>
      <c r="B36" s="300" t="s">
        <v>1113</v>
      </c>
      <c r="C36" s="301">
        <f>+O25</f>
        <v>157094</v>
      </c>
      <c r="D36" s="302" t="s">
        <v>980</v>
      </c>
      <c r="E36" s="301">
        <v>0</v>
      </c>
      <c r="F36" s="301">
        <v>290491</v>
      </c>
      <c r="G36" s="301">
        <v>0</v>
      </c>
      <c r="H36" s="301">
        <v>0</v>
      </c>
      <c r="I36" s="301">
        <v>0</v>
      </c>
      <c r="J36" s="301">
        <f>C36+E36+F36-G36-H36+I36</f>
        <v>447585</v>
      </c>
      <c r="K36" s="310">
        <f>ROUND((E36+C36)*D36+(F36/2)*D36,0)</f>
        <v>120936</v>
      </c>
      <c r="L36" s="301">
        <v>0</v>
      </c>
      <c r="M36" s="301">
        <v>0</v>
      </c>
      <c r="N36" s="301">
        <f>+K36+L36+M36</f>
        <v>120936</v>
      </c>
      <c r="O36" s="301">
        <f>J36-M36-N36</f>
        <v>326649</v>
      </c>
      <c r="P36" s="301" t="s">
        <v>977</v>
      </c>
    </row>
    <row r="37" spans="1:16">
      <c r="A37" s="299">
        <v>4</v>
      </c>
      <c r="B37" s="300" t="s">
        <v>981</v>
      </c>
      <c r="C37" s="301">
        <f>+O26</f>
        <v>390994</v>
      </c>
      <c r="D37" s="302" t="s">
        <v>982</v>
      </c>
      <c r="E37" s="301">
        <v>0</v>
      </c>
      <c r="F37" s="301">
        <v>21503</v>
      </c>
      <c r="G37" s="301">
        <v>0</v>
      </c>
      <c r="H37" s="301">
        <v>0</v>
      </c>
      <c r="I37" s="301">
        <v>0</v>
      </c>
      <c r="J37" s="301">
        <f>C37+E37+F37-G37-H37+I37</f>
        <v>412497</v>
      </c>
      <c r="K37" s="310">
        <f>ROUND((E37+C37)*D37+(F37/2)*D37,0)</f>
        <v>60262</v>
      </c>
      <c r="L37" s="301">
        <v>0</v>
      </c>
      <c r="M37" s="301">
        <v>0</v>
      </c>
      <c r="N37" s="301">
        <f>+K37+L37+M37</f>
        <v>60262</v>
      </c>
      <c r="O37" s="301">
        <f>J37-M37-N37</f>
        <v>352235</v>
      </c>
      <c r="P37" s="301" t="s">
        <v>977</v>
      </c>
    </row>
    <row r="38" spans="1:16">
      <c r="A38" s="1159" t="s">
        <v>51</v>
      </c>
      <c r="B38" s="1159"/>
      <c r="C38" s="309">
        <f>SUM(C34:C37)</f>
        <v>1763665</v>
      </c>
      <c r="D38" s="310"/>
      <c r="E38" s="309">
        <f t="shared" ref="E38:O38" si="2">SUM(E34:E37)</f>
        <v>0</v>
      </c>
      <c r="F38" s="309">
        <f t="shared" si="2"/>
        <v>6311994</v>
      </c>
      <c r="G38" s="309">
        <f t="shared" si="2"/>
        <v>0</v>
      </c>
      <c r="H38" s="309">
        <f t="shared" si="2"/>
        <v>0</v>
      </c>
      <c r="I38" s="309">
        <f t="shared" si="2"/>
        <v>0</v>
      </c>
      <c r="J38" s="309">
        <f t="shared" si="2"/>
        <v>8075659</v>
      </c>
      <c r="K38" s="309">
        <f t="shared" si="2"/>
        <v>1111755</v>
      </c>
      <c r="L38" s="309">
        <f t="shared" si="2"/>
        <v>0</v>
      </c>
      <c r="M38" s="309">
        <f t="shared" si="2"/>
        <v>0</v>
      </c>
      <c r="N38" s="309">
        <f t="shared" si="2"/>
        <v>1111755</v>
      </c>
      <c r="O38" s="309">
        <f t="shared" si="2"/>
        <v>6963904</v>
      </c>
      <c r="P38" s="298"/>
    </row>
    <row r="40" spans="1:16">
      <c r="A40" s="1160" t="s">
        <v>1496</v>
      </c>
      <c r="B40" s="1160"/>
      <c r="C40" s="1160"/>
      <c r="D40" s="1160"/>
      <c r="E40" s="1160"/>
      <c r="F40" s="1160"/>
      <c r="G40" s="1160"/>
      <c r="H40" s="1160"/>
      <c r="I40" s="1160"/>
      <c r="J40" s="1160"/>
      <c r="K40" s="1160"/>
      <c r="L40" s="1160"/>
      <c r="M40" s="1160"/>
      <c r="N40" s="1160"/>
      <c r="O40" s="1160"/>
      <c r="P40" s="1160"/>
    </row>
    <row r="43" spans="1:16">
      <c r="A43" s="1159"/>
      <c r="B43" s="1159"/>
      <c r="C43" s="1159"/>
      <c r="D43" s="1159"/>
      <c r="E43" s="1161" t="s">
        <v>961</v>
      </c>
      <c r="F43" s="1161"/>
      <c r="G43" s="1161" t="s">
        <v>962</v>
      </c>
      <c r="H43" s="1161"/>
      <c r="I43" s="1161"/>
      <c r="J43" s="1161"/>
      <c r="K43" s="1161"/>
      <c r="L43" s="1161"/>
      <c r="M43" s="1161"/>
      <c r="N43" s="1161"/>
      <c r="O43" s="1161"/>
      <c r="P43" s="1161"/>
    </row>
    <row r="44" spans="1:16" ht="45">
      <c r="A44" s="297" t="s">
        <v>963</v>
      </c>
      <c r="B44" s="297" t="s">
        <v>964</v>
      </c>
      <c r="C44" s="298" t="s">
        <v>965</v>
      </c>
      <c r="D44" s="298" t="s">
        <v>966</v>
      </c>
      <c r="E44" s="298" t="s">
        <v>967</v>
      </c>
      <c r="F44" s="298" t="s">
        <v>968</v>
      </c>
      <c r="G44" s="298" t="s">
        <v>967</v>
      </c>
      <c r="H44" s="298" t="s">
        <v>968</v>
      </c>
      <c r="I44" s="298" t="s">
        <v>969</v>
      </c>
      <c r="J44" s="298" t="s">
        <v>51</v>
      </c>
      <c r="K44" s="298" t="s">
        <v>57</v>
      </c>
      <c r="L44" s="298" t="s">
        <v>970</v>
      </c>
      <c r="M44" s="298" t="s">
        <v>971</v>
      </c>
      <c r="N44" s="298" t="s">
        <v>972</v>
      </c>
      <c r="O44" s="298" t="s">
        <v>973</v>
      </c>
      <c r="P44" s="298" t="s">
        <v>974</v>
      </c>
    </row>
    <row r="45" spans="1:16">
      <c r="A45" s="299">
        <v>1</v>
      </c>
      <c r="B45" s="300" t="s">
        <v>975</v>
      </c>
      <c r="C45" s="301">
        <f>+O34</f>
        <v>5545000</v>
      </c>
      <c r="D45" s="302" t="s">
        <v>976</v>
      </c>
      <c r="E45" s="301">
        <v>0</v>
      </c>
      <c r="F45" s="301">
        <v>12525600</v>
      </c>
      <c r="G45" s="301">
        <v>0</v>
      </c>
      <c r="H45" s="301">
        <v>0</v>
      </c>
      <c r="I45" s="301">
        <v>0</v>
      </c>
      <c r="J45" s="301">
        <f>C45+E45+F45-G45-H45+I45</f>
        <v>18070600</v>
      </c>
      <c r="K45" s="310">
        <f>ROUND((E45+C45)*D45+(F45/2)*D45,0)</f>
        <v>2951950</v>
      </c>
      <c r="L45" s="301">
        <v>0</v>
      </c>
      <c r="M45" s="301">
        <v>0</v>
      </c>
      <c r="N45" s="301">
        <f>+K45+L45+M45</f>
        <v>2951950</v>
      </c>
      <c r="O45" s="301">
        <f>J45-M45-N45</f>
        <v>15118650</v>
      </c>
      <c r="P45" s="301" t="s">
        <v>977</v>
      </c>
    </row>
    <row r="46" spans="1:16">
      <c r="A46" s="299">
        <v>2</v>
      </c>
      <c r="B46" s="300" t="s">
        <v>978</v>
      </c>
      <c r="C46" s="301">
        <f>+O35</f>
        <v>740020</v>
      </c>
      <c r="D46" s="302" t="s">
        <v>979</v>
      </c>
      <c r="E46" s="301">
        <v>70160</v>
      </c>
      <c r="F46" s="301">
        <v>436121</v>
      </c>
      <c r="G46" s="301">
        <v>0</v>
      </c>
      <c r="H46" s="301">
        <v>0</v>
      </c>
      <c r="I46" s="301">
        <v>0</v>
      </c>
      <c r="J46" s="301">
        <f>C46+E46+F46-G46-H46+I46</f>
        <v>1246301</v>
      </c>
      <c r="K46" s="310">
        <f>ROUND((E46+C46)*D46+(F46/2)*D46,0)</f>
        <v>102824</v>
      </c>
      <c r="L46" s="301">
        <v>0</v>
      </c>
      <c r="M46" s="301">
        <v>0</v>
      </c>
      <c r="N46" s="301">
        <f>+K46+L46+M46</f>
        <v>102824</v>
      </c>
      <c r="O46" s="301">
        <f>J46-M46-N46</f>
        <v>1143477</v>
      </c>
      <c r="P46" s="301" t="s">
        <v>977</v>
      </c>
    </row>
    <row r="47" spans="1:16" ht="30">
      <c r="A47" s="299">
        <v>3</v>
      </c>
      <c r="B47" s="300" t="s">
        <v>1113</v>
      </c>
      <c r="C47" s="301">
        <f>+O36</f>
        <v>326649</v>
      </c>
      <c r="D47" s="302" t="s">
        <v>980</v>
      </c>
      <c r="E47" s="301">
        <v>0</v>
      </c>
      <c r="F47" s="301">
        <v>0</v>
      </c>
      <c r="G47" s="301">
        <v>0</v>
      </c>
      <c r="H47" s="301">
        <v>0</v>
      </c>
      <c r="I47" s="301">
        <v>0</v>
      </c>
      <c r="J47" s="301">
        <f>C47+E47+F47-G47-H47+I47</f>
        <v>326649</v>
      </c>
      <c r="K47" s="310">
        <f>ROUND((E47+C47)*D47+(F47/2)*D47,0)</f>
        <v>130660</v>
      </c>
      <c r="L47" s="301">
        <v>0</v>
      </c>
      <c r="M47" s="301">
        <v>0</v>
      </c>
      <c r="N47" s="301">
        <f>+K47+L47+M47</f>
        <v>130660</v>
      </c>
      <c r="O47" s="301">
        <f>J47-M47-N47</f>
        <v>195989</v>
      </c>
      <c r="P47" s="301" t="s">
        <v>977</v>
      </c>
    </row>
    <row r="48" spans="1:16">
      <c r="A48" s="299">
        <v>4</v>
      </c>
      <c r="B48" s="300" t="s">
        <v>981</v>
      </c>
      <c r="C48" s="301">
        <f>+O37</f>
        <v>352235</v>
      </c>
      <c r="D48" s="302" t="s">
        <v>982</v>
      </c>
      <c r="E48" s="301">
        <v>8558</v>
      </c>
      <c r="F48" s="301">
        <v>110688</v>
      </c>
      <c r="G48" s="301">
        <v>0</v>
      </c>
      <c r="H48" s="301">
        <v>0</v>
      </c>
      <c r="I48" s="301">
        <v>0</v>
      </c>
      <c r="J48" s="301">
        <f>C48+E48+F48-G48-H48+I48</f>
        <v>471481</v>
      </c>
      <c r="K48" s="310">
        <f>ROUND((E48+C48)*D48+(F48/2)*D48,0)</f>
        <v>62421</v>
      </c>
      <c r="L48" s="301">
        <v>0</v>
      </c>
      <c r="M48" s="301">
        <v>0</v>
      </c>
      <c r="N48" s="301">
        <f>+K48+L48+M48</f>
        <v>62421</v>
      </c>
      <c r="O48" s="301">
        <f>J48-M48-N48</f>
        <v>409060</v>
      </c>
      <c r="P48" s="301" t="s">
        <v>977</v>
      </c>
    </row>
    <row r="49" spans="1:16">
      <c r="A49" s="1159" t="s">
        <v>51</v>
      </c>
      <c r="B49" s="1159"/>
      <c r="C49" s="309">
        <f>SUM(C45:C48)</f>
        <v>6963904</v>
      </c>
      <c r="D49" s="310"/>
      <c r="E49" s="309">
        <f t="shared" ref="E49:O49" si="3">SUM(E45:E48)</f>
        <v>78718</v>
      </c>
      <c r="F49" s="309">
        <f t="shared" si="3"/>
        <v>13072409</v>
      </c>
      <c r="G49" s="309">
        <f t="shared" si="3"/>
        <v>0</v>
      </c>
      <c r="H49" s="309">
        <f t="shared" si="3"/>
        <v>0</v>
      </c>
      <c r="I49" s="309">
        <f t="shared" si="3"/>
        <v>0</v>
      </c>
      <c r="J49" s="309">
        <f t="shared" si="3"/>
        <v>20115031</v>
      </c>
      <c r="K49" s="309">
        <f t="shared" si="3"/>
        <v>3247855</v>
      </c>
      <c r="L49" s="309">
        <f t="shared" si="3"/>
        <v>0</v>
      </c>
      <c r="M49" s="309">
        <f t="shared" si="3"/>
        <v>0</v>
      </c>
      <c r="N49" s="309">
        <f t="shared" si="3"/>
        <v>3247855</v>
      </c>
      <c r="O49" s="309">
        <f t="shared" si="3"/>
        <v>16867176</v>
      </c>
      <c r="P49" s="298"/>
    </row>
    <row r="51" spans="1:16">
      <c r="A51" s="1160" t="s">
        <v>1680</v>
      </c>
      <c r="B51" s="1160"/>
      <c r="C51" s="1160"/>
      <c r="D51" s="1160"/>
      <c r="E51" s="1160"/>
      <c r="F51" s="1160"/>
      <c r="G51" s="1160"/>
      <c r="H51" s="1160"/>
      <c r="I51" s="1160"/>
      <c r="J51" s="1160"/>
      <c r="K51" s="1160"/>
      <c r="L51" s="1160"/>
      <c r="M51" s="1160"/>
      <c r="N51" s="1160"/>
      <c r="O51" s="1160"/>
      <c r="P51" s="1160"/>
    </row>
    <row r="54" spans="1:16">
      <c r="A54" s="1159"/>
      <c r="B54" s="1159"/>
      <c r="C54" s="1159"/>
      <c r="D54" s="1159"/>
      <c r="E54" s="1161" t="s">
        <v>961</v>
      </c>
      <c r="F54" s="1161"/>
      <c r="G54" s="1161" t="s">
        <v>962</v>
      </c>
      <c r="H54" s="1161"/>
      <c r="I54" s="1161"/>
      <c r="J54" s="1161"/>
      <c r="K54" s="1161"/>
      <c r="L54" s="1161"/>
      <c r="M54" s="1161"/>
      <c r="N54" s="1161"/>
      <c r="O54" s="1161"/>
      <c r="P54" s="1161"/>
    </row>
    <row r="55" spans="1:16" ht="45">
      <c r="A55" s="297" t="s">
        <v>963</v>
      </c>
      <c r="B55" s="297" t="s">
        <v>964</v>
      </c>
      <c r="C55" s="298" t="s">
        <v>965</v>
      </c>
      <c r="D55" s="298" t="s">
        <v>966</v>
      </c>
      <c r="E55" s="298" t="s">
        <v>967</v>
      </c>
      <c r="F55" s="298" t="s">
        <v>968</v>
      </c>
      <c r="G55" s="298" t="s">
        <v>967</v>
      </c>
      <c r="H55" s="298" t="s">
        <v>968</v>
      </c>
      <c r="I55" s="298" t="s">
        <v>969</v>
      </c>
      <c r="J55" s="298" t="s">
        <v>51</v>
      </c>
      <c r="K55" s="298" t="s">
        <v>57</v>
      </c>
      <c r="L55" s="298" t="s">
        <v>970</v>
      </c>
      <c r="M55" s="298" t="s">
        <v>971</v>
      </c>
      <c r="N55" s="298" t="s">
        <v>972</v>
      </c>
      <c r="O55" s="298" t="s">
        <v>973</v>
      </c>
      <c r="P55" s="298" t="s">
        <v>974</v>
      </c>
    </row>
    <row r="56" spans="1:16">
      <c r="A56" s="299">
        <v>1</v>
      </c>
      <c r="B56" s="300" t="s">
        <v>975</v>
      </c>
      <c r="C56" s="301">
        <f>+O45</f>
        <v>15118650</v>
      </c>
      <c r="D56" s="302" t="s">
        <v>976</v>
      </c>
      <c r="E56" s="301">
        <v>136500</v>
      </c>
      <c r="F56" s="301">
        <v>0</v>
      </c>
      <c r="G56" s="301">
        <v>0</v>
      </c>
      <c r="H56" s="301">
        <v>0</v>
      </c>
      <c r="I56" s="301">
        <v>0</v>
      </c>
      <c r="J56" s="301">
        <f>C56+E56+F56-G56-H56+I56</f>
        <v>15255150</v>
      </c>
      <c r="K56" s="310">
        <f>ROUND((E56+C56)*D56+(F56/2)*D56,0)</f>
        <v>3813788</v>
      </c>
      <c r="L56" s="301">
        <v>0</v>
      </c>
      <c r="M56" s="301">
        <v>0</v>
      </c>
      <c r="N56" s="301">
        <f>+K56+L56+M56</f>
        <v>3813788</v>
      </c>
      <c r="O56" s="301">
        <f>J56-M56-N56</f>
        <v>11441362</v>
      </c>
      <c r="P56" s="301" t="s">
        <v>977</v>
      </c>
    </row>
    <row r="57" spans="1:16">
      <c r="A57" s="299">
        <v>2</v>
      </c>
      <c r="B57" s="300" t="s">
        <v>978</v>
      </c>
      <c r="C57" s="301">
        <f>+O46</f>
        <v>1143477</v>
      </c>
      <c r="D57" s="302" t="s">
        <v>979</v>
      </c>
      <c r="E57" s="301">
        <v>111300</v>
      </c>
      <c r="F57" s="301">
        <v>0</v>
      </c>
      <c r="G57" s="301">
        <v>0</v>
      </c>
      <c r="H57" s="301">
        <v>0</v>
      </c>
      <c r="I57" s="301">
        <v>0</v>
      </c>
      <c r="J57" s="301">
        <f>C57+E57+F57-G57-H57+I57</f>
        <v>1254777</v>
      </c>
      <c r="K57" s="310">
        <f>ROUND((E57+C57)*D57+(F57/2)*D57,0)</f>
        <v>125478</v>
      </c>
      <c r="L57" s="301">
        <v>0</v>
      </c>
      <c r="M57" s="301">
        <v>0</v>
      </c>
      <c r="N57" s="301">
        <f>+K57+L57+M57</f>
        <v>125478</v>
      </c>
      <c r="O57" s="301">
        <f>J57-M57-N57</f>
        <v>1129299</v>
      </c>
      <c r="P57" s="301" t="s">
        <v>977</v>
      </c>
    </row>
    <row r="58" spans="1:16" ht="30">
      <c r="A58" s="299">
        <v>3</v>
      </c>
      <c r="B58" s="300" t="s">
        <v>1113</v>
      </c>
      <c r="C58" s="301">
        <f>+O47</f>
        <v>195989</v>
      </c>
      <c r="D58" s="302" t="s">
        <v>980</v>
      </c>
      <c r="E58" s="301">
        <v>629707</v>
      </c>
      <c r="F58" s="301">
        <v>76167</v>
      </c>
      <c r="G58" s="301">
        <v>0</v>
      </c>
      <c r="H58" s="301">
        <v>0</v>
      </c>
      <c r="I58" s="301">
        <v>0</v>
      </c>
      <c r="J58" s="301">
        <f>C58+E58+F58-G58-H58+I58</f>
        <v>901863</v>
      </c>
      <c r="K58" s="310">
        <f>ROUND((E58+C58)*D58+(F58/2)*D58,0)</f>
        <v>345512</v>
      </c>
      <c r="L58" s="301">
        <v>0</v>
      </c>
      <c r="M58" s="301">
        <v>0</v>
      </c>
      <c r="N58" s="301">
        <f>+K58+L58+M58</f>
        <v>345512</v>
      </c>
      <c r="O58" s="301">
        <f>J58-M58-N58</f>
        <v>556351</v>
      </c>
      <c r="P58" s="301" t="s">
        <v>977</v>
      </c>
    </row>
    <row r="59" spans="1:16">
      <c r="A59" s="299">
        <v>4</v>
      </c>
      <c r="B59" s="300" t="s">
        <v>981</v>
      </c>
      <c r="C59" s="301">
        <f>+O48</f>
        <v>409060</v>
      </c>
      <c r="D59" s="302" t="s">
        <v>982</v>
      </c>
      <c r="E59" s="301">
        <v>124068</v>
      </c>
      <c r="F59" s="301">
        <v>16101</v>
      </c>
      <c r="G59" s="301">
        <v>0</v>
      </c>
      <c r="H59" s="301">
        <v>0</v>
      </c>
      <c r="I59" s="301">
        <v>0</v>
      </c>
      <c r="J59" s="301">
        <f>C59+E59+F59-G59-H59+I59</f>
        <v>549229</v>
      </c>
      <c r="K59" s="310">
        <f>ROUND((E59+C59)*D59+(F59/2)*D59,0)</f>
        <v>81177</v>
      </c>
      <c r="L59" s="301">
        <v>0</v>
      </c>
      <c r="M59" s="301">
        <v>0</v>
      </c>
      <c r="N59" s="301">
        <f>+K59+L59+M59</f>
        <v>81177</v>
      </c>
      <c r="O59" s="301">
        <f>J59-M59-N59</f>
        <v>468052</v>
      </c>
      <c r="P59" s="301" t="s">
        <v>977</v>
      </c>
    </row>
    <row r="60" spans="1:16">
      <c r="A60" s="1159" t="s">
        <v>51</v>
      </c>
      <c r="B60" s="1159"/>
      <c r="C60" s="309">
        <f>SUM(C56:C59)</f>
        <v>16867176</v>
      </c>
      <c r="D60" s="310"/>
      <c r="E60" s="309">
        <f t="shared" ref="E60:O60" si="4">SUM(E56:E59)</f>
        <v>1001575</v>
      </c>
      <c r="F60" s="309">
        <f t="shared" si="4"/>
        <v>92268</v>
      </c>
      <c r="G60" s="309">
        <f t="shared" si="4"/>
        <v>0</v>
      </c>
      <c r="H60" s="309">
        <f t="shared" si="4"/>
        <v>0</v>
      </c>
      <c r="I60" s="309">
        <f t="shared" si="4"/>
        <v>0</v>
      </c>
      <c r="J60" s="309">
        <f t="shared" si="4"/>
        <v>17961019</v>
      </c>
      <c r="K60" s="309">
        <f t="shared" si="4"/>
        <v>4365955</v>
      </c>
      <c r="L60" s="309">
        <f t="shared" si="4"/>
        <v>0</v>
      </c>
      <c r="M60" s="309">
        <f t="shared" si="4"/>
        <v>0</v>
      </c>
      <c r="N60" s="309">
        <f t="shared" si="4"/>
        <v>4365955</v>
      </c>
      <c r="O60" s="309">
        <f t="shared" si="4"/>
        <v>13595064</v>
      </c>
      <c r="P60" s="298"/>
    </row>
  </sheetData>
  <mergeCells count="38">
    <mergeCell ref="A49:B49"/>
    <mergeCell ref="A40:P40"/>
    <mergeCell ref="A43:D43"/>
    <mergeCell ref="E43:F43"/>
    <mergeCell ref="G43:H43"/>
    <mergeCell ref="I43:P43"/>
    <mergeCell ref="A38:B38"/>
    <mergeCell ref="A32:D32"/>
    <mergeCell ref="E32:F32"/>
    <mergeCell ref="G32:H32"/>
    <mergeCell ref="I32:P32"/>
    <mergeCell ref="A29:P29"/>
    <mergeCell ref="A20:P20"/>
    <mergeCell ref="A2:P2"/>
    <mergeCell ref="A3:P3"/>
    <mergeCell ref="A4:P4"/>
    <mergeCell ref="A5:P5"/>
    <mergeCell ref="A6:P6"/>
    <mergeCell ref="A7:D7"/>
    <mergeCell ref="E7:F7"/>
    <mergeCell ref="G7:H7"/>
    <mergeCell ref="I7:P7"/>
    <mergeCell ref="A13:B13"/>
    <mergeCell ref="A14:P14"/>
    <mergeCell ref="A17:P17"/>
    <mergeCell ref="A18:P18"/>
    <mergeCell ref="A19:P19"/>
    <mergeCell ref="A21:D21"/>
    <mergeCell ref="E21:F21"/>
    <mergeCell ref="G21:H21"/>
    <mergeCell ref="I21:P21"/>
    <mergeCell ref="A27:B27"/>
    <mergeCell ref="A60:B60"/>
    <mergeCell ref="A51:P51"/>
    <mergeCell ref="A54:D54"/>
    <mergeCell ref="E54:F54"/>
    <mergeCell ref="G54:H54"/>
    <mergeCell ref="I54:P54"/>
  </mergeCells>
  <pageMargins left="0.5" right="0.25" top="0.5" bottom="0.5" header="0.25" footer="0.2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34</vt:i4>
      </vt:variant>
      <vt:variant>
        <vt:lpstr>Named Ranges</vt:lpstr>
      </vt:variant>
      <vt:variant>
        <vt:i4>18</vt:i4>
      </vt:variant>
    </vt:vector>
  </HeadingPairs>
  <TitlesOfParts>
    <vt:vector size="52" baseType="lpstr">
      <vt:lpstr>Profit reco</vt:lpstr>
      <vt:lpstr>BS</vt:lpstr>
      <vt:lpstr>PL</vt:lpstr>
      <vt:lpstr>Cash flow</vt:lpstr>
      <vt:lpstr>Notes</vt:lpstr>
      <vt:lpstr>SOCE</vt:lpstr>
      <vt:lpstr>cash loss</vt:lpstr>
      <vt:lpstr>Accounting Policies(2)</vt:lpstr>
      <vt:lpstr>FA</vt:lpstr>
      <vt:lpstr>Employee benefits Note 35</vt:lpstr>
      <vt:lpstr>Note 36</vt:lpstr>
      <vt:lpstr>Note 37 ratios</vt:lpstr>
      <vt:lpstr>Note 38 FVM_1</vt:lpstr>
      <vt:lpstr>Note 38 FRM1_credit &amp; liquidity</vt:lpstr>
      <vt:lpstr>Note 38 FRM2_Currency &amp; price</vt:lpstr>
      <vt:lpstr>Notes 39 to 41</vt:lpstr>
      <vt:lpstr>Notes 42 to 43</vt:lpstr>
      <vt:lpstr>BS Grouping</vt:lpstr>
      <vt:lpstr>TB Other</vt:lpstr>
      <vt:lpstr>PL Grouping</vt:lpstr>
      <vt:lpstr>TB CY</vt:lpstr>
      <vt:lpstr>TB PY</vt:lpstr>
      <vt:lpstr>Sheet2</vt:lpstr>
      <vt:lpstr>AE 21_22</vt:lpstr>
      <vt:lpstr>AE 22_23</vt:lpstr>
      <vt:lpstr>Sales return</vt:lpstr>
      <vt:lpstr>SDS JBA</vt:lpstr>
      <vt:lpstr>ROU</vt:lpstr>
      <vt:lpstr>Deferred tax 22-23</vt:lpstr>
      <vt:lpstr>Deferred tax 21-22</vt:lpstr>
      <vt:lpstr>Deferred tax 20-21</vt:lpstr>
      <vt:lpstr>Deferred tax 19-20</vt:lpstr>
      <vt:lpstr>Deferred tax 18-19</vt:lpstr>
      <vt:lpstr>Dep as per IT</vt:lpstr>
      <vt:lpstr>'Note 38 FRM1_credit &amp; liquidity'!_Ref472675261</vt:lpstr>
      <vt:lpstr>'Accounting Policies(2)'!Print_Area</vt:lpstr>
      <vt:lpstr>BS!Print_Area</vt:lpstr>
      <vt:lpstr>'Cash flow'!Print_Area</vt:lpstr>
      <vt:lpstr>'Employee benefits Note 35'!Print_Area</vt:lpstr>
      <vt:lpstr>FA!Print_Area</vt:lpstr>
      <vt:lpstr>'Note 36'!Print_Area</vt:lpstr>
      <vt:lpstr>'Note 38 FRM1_credit &amp; liquidity'!Print_Area</vt:lpstr>
      <vt:lpstr>'Note 38 FVM_1'!Print_Area</vt:lpstr>
      <vt:lpstr>Notes!Print_Area</vt:lpstr>
      <vt:lpstr>'Notes 39 to 41'!Print_Area</vt:lpstr>
      <vt:lpstr>'Notes 42 to 43'!Print_Area</vt:lpstr>
      <vt:lpstr>PL!Print_Area</vt:lpstr>
      <vt:lpstr>SOCE!Print_Area</vt:lpstr>
      <vt:lpstr>'Accounting Policies(2)'!Print_Titles</vt:lpstr>
      <vt:lpstr>'Employee benefits Note 35'!Print_Titles</vt:lpstr>
      <vt:lpstr>'Note 36'!Print_Titles</vt:lpstr>
      <vt:lpstr>Notes!Print_Titles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2023-06-29T04:13:12Z</dcterms:modified>
</cp:coreProperties>
</file>